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1217" sheetId="1" r:id="rId1"/>
  </sheets>
  <calcPr calcId="0"/>
</workbook>
</file>

<file path=xl/calcChain.xml><?xml version="1.0" encoding="utf-8"?>
<calcChain xmlns="http://schemas.openxmlformats.org/spreadsheetml/2006/main">
  <c r="C3422" i="1" l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90" i="1"/>
  <c r="F1390" i="1"/>
  <c r="E1391" i="1"/>
  <c r="F1391" i="1"/>
  <c r="E1392" i="1"/>
  <c r="F1392" i="1"/>
  <c r="E1393" i="1"/>
  <c r="F1393" i="1"/>
  <c r="E1394" i="1"/>
  <c r="F1394" i="1"/>
  <c r="E1395" i="1"/>
  <c r="F1395" i="1"/>
  <c r="E1396" i="1"/>
  <c r="F1396" i="1"/>
  <c r="E1397" i="1"/>
  <c r="F1397" i="1"/>
  <c r="E1398" i="1"/>
  <c r="F1398" i="1"/>
  <c r="E1399" i="1"/>
  <c r="F1399" i="1"/>
  <c r="E1400" i="1"/>
  <c r="F1400" i="1"/>
  <c r="E1401" i="1"/>
  <c r="F1401" i="1"/>
  <c r="E1402" i="1"/>
  <c r="F1402" i="1"/>
  <c r="E1403" i="1"/>
  <c r="F1403" i="1"/>
  <c r="E1404" i="1"/>
  <c r="F1404" i="1"/>
  <c r="E1405" i="1"/>
  <c r="F1405" i="1"/>
  <c r="E1406" i="1"/>
  <c r="F1406" i="1"/>
  <c r="E1407" i="1"/>
  <c r="F1407" i="1"/>
  <c r="E1408" i="1"/>
  <c r="F1408" i="1"/>
  <c r="E1409" i="1"/>
  <c r="F1409" i="1"/>
  <c r="E1410" i="1"/>
  <c r="F1410" i="1"/>
  <c r="E1411" i="1"/>
  <c r="F1411" i="1"/>
  <c r="E1412" i="1"/>
  <c r="F1412" i="1"/>
  <c r="E1413" i="1"/>
  <c r="F1413" i="1"/>
  <c r="E1414" i="1"/>
  <c r="F1414" i="1"/>
  <c r="E1415" i="1"/>
  <c r="F1415" i="1"/>
  <c r="E1416" i="1"/>
  <c r="F1416" i="1"/>
  <c r="E1417" i="1"/>
  <c r="F1417" i="1"/>
  <c r="E1418" i="1"/>
  <c r="F1418" i="1"/>
  <c r="E1419" i="1"/>
  <c r="F1419" i="1"/>
  <c r="E1420" i="1"/>
  <c r="F1420" i="1"/>
  <c r="E1421" i="1"/>
  <c r="F1421" i="1"/>
  <c r="E1422" i="1"/>
  <c r="F1422" i="1"/>
  <c r="E1423" i="1"/>
  <c r="F1423" i="1"/>
  <c r="E1424" i="1"/>
  <c r="F1424" i="1"/>
  <c r="E1425" i="1"/>
  <c r="F1425" i="1"/>
  <c r="E1426" i="1"/>
  <c r="F1426" i="1"/>
  <c r="E1427" i="1"/>
  <c r="F1427" i="1"/>
  <c r="E1428" i="1"/>
  <c r="F1428" i="1"/>
  <c r="E1429" i="1"/>
  <c r="F1429" i="1"/>
  <c r="E1430" i="1"/>
  <c r="F1430" i="1"/>
  <c r="E1431" i="1"/>
  <c r="F1431" i="1"/>
  <c r="E1432" i="1"/>
  <c r="F1432" i="1"/>
  <c r="E1433" i="1"/>
  <c r="F1433" i="1"/>
  <c r="E1434" i="1"/>
  <c r="F1434" i="1"/>
  <c r="E1435" i="1"/>
  <c r="F1435" i="1"/>
  <c r="E1436" i="1"/>
  <c r="F1436" i="1"/>
  <c r="E1437" i="1"/>
  <c r="F1437" i="1"/>
  <c r="E1438" i="1"/>
  <c r="F1438" i="1"/>
  <c r="E1439" i="1"/>
  <c r="F1439" i="1"/>
  <c r="E1440" i="1"/>
  <c r="F1440" i="1"/>
  <c r="E1441" i="1"/>
  <c r="F1441" i="1"/>
  <c r="E1442" i="1"/>
  <c r="F1442" i="1"/>
  <c r="E1443" i="1"/>
  <c r="F1443" i="1"/>
  <c r="E1444" i="1"/>
  <c r="F1444" i="1"/>
  <c r="E1445" i="1"/>
  <c r="F1445" i="1"/>
  <c r="E1446" i="1"/>
  <c r="F1446" i="1"/>
  <c r="E1447" i="1"/>
  <c r="F1447" i="1"/>
  <c r="E1448" i="1"/>
  <c r="F1448" i="1"/>
  <c r="E1449" i="1"/>
  <c r="F1449" i="1"/>
  <c r="E1450" i="1"/>
  <c r="F1450" i="1"/>
  <c r="E1451" i="1"/>
  <c r="F1451" i="1"/>
  <c r="E1452" i="1"/>
  <c r="F1452" i="1"/>
  <c r="E1453" i="1"/>
  <c r="F1453" i="1"/>
  <c r="E1454" i="1"/>
  <c r="F1454" i="1"/>
  <c r="E1455" i="1"/>
  <c r="F1455" i="1"/>
  <c r="E1456" i="1"/>
  <c r="F1456" i="1"/>
  <c r="E1457" i="1"/>
  <c r="F1457" i="1"/>
  <c r="E1458" i="1"/>
  <c r="F1458" i="1"/>
  <c r="E1459" i="1"/>
  <c r="F1459" i="1"/>
  <c r="E1460" i="1"/>
  <c r="F1460" i="1"/>
  <c r="E1461" i="1"/>
  <c r="F1461" i="1"/>
  <c r="E1462" i="1"/>
  <c r="F1462" i="1"/>
  <c r="E1463" i="1"/>
  <c r="F1463" i="1"/>
  <c r="E1464" i="1"/>
  <c r="F1464" i="1"/>
  <c r="E1465" i="1"/>
  <c r="F1465" i="1"/>
  <c r="E1466" i="1"/>
  <c r="F1466" i="1"/>
  <c r="E1467" i="1"/>
  <c r="F1467" i="1"/>
  <c r="E1468" i="1"/>
  <c r="F1468" i="1"/>
  <c r="E1469" i="1"/>
  <c r="F1469" i="1"/>
  <c r="E1470" i="1"/>
  <c r="F1470" i="1"/>
  <c r="E1471" i="1"/>
  <c r="F1471" i="1"/>
  <c r="E1472" i="1"/>
  <c r="F1472" i="1"/>
  <c r="E1473" i="1"/>
  <c r="F1473" i="1"/>
  <c r="E1474" i="1"/>
  <c r="F1474" i="1"/>
  <c r="E1475" i="1"/>
  <c r="F1475" i="1"/>
  <c r="E1476" i="1"/>
  <c r="F1476" i="1"/>
  <c r="E1477" i="1"/>
  <c r="F1477" i="1"/>
  <c r="E1478" i="1"/>
  <c r="F1478" i="1"/>
  <c r="E1479" i="1"/>
  <c r="F1479" i="1"/>
  <c r="E1480" i="1"/>
  <c r="F1480" i="1"/>
  <c r="E1481" i="1"/>
  <c r="F1481" i="1"/>
  <c r="E1482" i="1"/>
  <c r="F1482" i="1"/>
  <c r="E1483" i="1"/>
  <c r="F1483" i="1"/>
  <c r="E1484" i="1"/>
  <c r="F1484" i="1"/>
  <c r="E1485" i="1"/>
  <c r="F1485" i="1"/>
  <c r="E1486" i="1"/>
  <c r="F1486" i="1"/>
  <c r="E1487" i="1"/>
  <c r="F1487" i="1"/>
  <c r="E1488" i="1"/>
  <c r="F1488" i="1"/>
  <c r="E1489" i="1"/>
  <c r="F1489" i="1"/>
  <c r="E1490" i="1"/>
  <c r="F1490" i="1"/>
  <c r="E1491" i="1"/>
  <c r="F1491" i="1"/>
  <c r="E1492" i="1"/>
  <c r="F1492" i="1"/>
  <c r="E1493" i="1"/>
  <c r="F1493" i="1"/>
  <c r="E1494" i="1"/>
  <c r="F1494" i="1"/>
  <c r="E1495" i="1"/>
  <c r="F1495" i="1"/>
  <c r="E1496" i="1"/>
  <c r="F1496" i="1"/>
  <c r="E1497" i="1"/>
  <c r="F1497" i="1"/>
  <c r="E1498" i="1"/>
  <c r="F1498" i="1"/>
  <c r="E1499" i="1"/>
  <c r="F1499" i="1"/>
  <c r="E1500" i="1"/>
  <c r="F1500" i="1"/>
  <c r="E1501" i="1"/>
  <c r="F1501" i="1"/>
  <c r="E1502" i="1"/>
  <c r="F1502" i="1"/>
  <c r="E1503" i="1"/>
  <c r="F1503" i="1"/>
  <c r="E1504" i="1"/>
  <c r="F1504" i="1"/>
  <c r="E1505" i="1"/>
  <c r="F1505" i="1"/>
  <c r="E1506" i="1"/>
  <c r="F1506" i="1"/>
  <c r="E1507" i="1"/>
  <c r="F1507" i="1"/>
  <c r="E1508" i="1"/>
  <c r="F1508" i="1"/>
  <c r="E1509" i="1"/>
  <c r="F1509" i="1"/>
  <c r="E1510" i="1"/>
  <c r="F1510" i="1"/>
  <c r="E1511" i="1"/>
  <c r="F1511" i="1"/>
  <c r="E1512" i="1"/>
  <c r="F1512" i="1"/>
  <c r="E1513" i="1"/>
  <c r="F1513" i="1"/>
  <c r="E1514" i="1"/>
  <c r="F1514" i="1"/>
  <c r="E1515" i="1"/>
  <c r="F1515" i="1"/>
  <c r="E1516" i="1"/>
  <c r="F1516" i="1"/>
  <c r="E1517" i="1"/>
  <c r="F1517" i="1"/>
  <c r="E1518" i="1"/>
  <c r="F1518" i="1"/>
  <c r="E1519" i="1"/>
  <c r="F1519" i="1"/>
  <c r="E1520" i="1"/>
  <c r="F1520" i="1"/>
  <c r="E1521" i="1"/>
  <c r="F1521" i="1"/>
  <c r="E1522" i="1"/>
  <c r="F1522" i="1"/>
  <c r="E1523" i="1"/>
  <c r="F1523" i="1"/>
  <c r="E1524" i="1"/>
  <c r="F1524" i="1"/>
  <c r="E1525" i="1"/>
  <c r="F1525" i="1"/>
  <c r="E1526" i="1"/>
  <c r="F1526" i="1"/>
  <c r="E1527" i="1"/>
  <c r="F1527" i="1"/>
  <c r="E1528" i="1"/>
  <c r="F1528" i="1"/>
  <c r="E1529" i="1"/>
  <c r="F1529" i="1"/>
  <c r="E1530" i="1"/>
  <c r="F1530" i="1"/>
  <c r="E1531" i="1"/>
  <c r="F1531" i="1"/>
  <c r="E1532" i="1"/>
  <c r="F1532" i="1"/>
  <c r="E1533" i="1"/>
  <c r="F1533" i="1"/>
  <c r="E1534" i="1"/>
  <c r="F1534" i="1"/>
  <c r="E1535" i="1"/>
  <c r="F1535" i="1"/>
  <c r="E1536" i="1"/>
  <c r="F1536" i="1"/>
  <c r="E1537" i="1"/>
  <c r="F1537" i="1"/>
  <c r="E1538" i="1"/>
  <c r="F1538" i="1"/>
  <c r="E1539" i="1"/>
  <c r="F1539" i="1"/>
  <c r="E1540" i="1"/>
  <c r="F1540" i="1"/>
  <c r="E1541" i="1"/>
  <c r="F1541" i="1"/>
  <c r="E1542" i="1"/>
  <c r="F1542" i="1"/>
  <c r="E1543" i="1"/>
  <c r="F1543" i="1"/>
  <c r="E1544" i="1"/>
  <c r="F1544" i="1"/>
  <c r="E1545" i="1"/>
  <c r="F1545" i="1"/>
  <c r="E1546" i="1"/>
  <c r="F1546" i="1"/>
  <c r="E1547" i="1"/>
  <c r="F1547" i="1"/>
  <c r="E1548" i="1"/>
  <c r="F1548" i="1"/>
  <c r="E1549" i="1"/>
  <c r="F1549" i="1"/>
  <c r="E1550" i="1"/>
  <c r="F1550" i="1"/>
  <c r="E1551" i="1"/>
  <c r="F1551" i="1"/>
  <c r="E1552" i="1"/>
  <c r="F1552" i="1"/>
  <c r="E1553" i="1"/>
  <c r="F1553" i="1"/>
  <c r="E1554" i="1"/>
  <c r="F1554" i="1"/>
  <c r="E1555" i="1"/>
  <c r="F1555" i="1"/>
  <c r="E1556" i="1"/>
  <c r="F1556" i="1"/>
  <c r="E1557" i="1"/>
  <c r="F1557" i="1"/>
  <c r="E1558" i="1"/>
  <c r="F1558" i="1"/>
  <c r="E1559" i="1"/>
  <c r="F1559" i="1"/>
  <c r="E1560" i="1"/>
  <c r="F1560" i="1"/>
  <c r="E1561" i="1"/>
  <c r="F1561" i="1"/>
  <c r="E1562" i="1"/>
  <c r="F1562" i="1"/>
  <c r="E1563" i="1"/>
  <c r="F1563" i="1"/>
  <c r="E1564" i="1"/>
  <c r="F1564" i="1"/>
  <c r="E1565" i="1"/>
  <c r="F1565" i="1"/>
  <c r="E1566" i="1"/>
  <c r="F1566" i="1"/>
  <c r="E1567" i="1"/>
  <c r="F1567" i="1"/>
  <c r="E1568" i="1"/>
  <c r="F1568" i="1"/>
  <c r="E1569" i="1"/>
  <c r="F1569" i="1"/>
  <c r="E1570" i="1"/>
  <c r="F1570" i="1"/>
  <c r="E1571" i="1"/>
  <c r="F1571" i="1"/>
  <c r="E1572" i="1"/>
  <c r="F1572" i="1"/>
  <c r="E1573" i="1"/>
  <c r="F1573" i="1"/>
  <c r="E1574" i="1"/>
  <c r="F1574" i="1"/>
  <c r="E1575" i="1"/>
  <c r="F1575" i="1"/>
  <c r="E1576" i="1"/>
  <c r="F1576" i="1"/>
  <c r="E1577" i="1"/>
  <c r="F1577" i="1"/>
  <c r="E1578" i="1"/>
  <c r="F1578" i="1"/>
  <c r="E1579" i="1"/>
  <c r="F1579" i="1"/>
  <c r="E1580" i="1"/>
  <c r="F1580" i="1"/>
  <c r="E1581" i="1"/>
  <c r="F1581" i="1"/>
  <c r="E1582" i="1"/>
  <c r="F1582" i="1"/>
  <c r="E1583" i="1"/>
  <c r="F1583" i="1"/>
  <c r="E1584" i="1"/>
  <c r="F1584" i="1"/>
  <c r="E1585" i="1"/>
  <c r="F1585" i="1"/>
  <c r="E1586" i="1"/>
  <c r="F1586" i="1"/>
  <c r="E1587" i="1"/>
  <c r="F1587" i="1"/>
  <c r="E1588" i="1"/>
  <c r="F1588" i="1"/>
  <c r="E1589" i="1"/>
  <c r="F1589" i="1"/>
  <c r="E1590" i="1"/>
  <c r="F1590" i="1"/>
  <c r="E1591" i="1"/>
  <c r="F1591" i="1"/>
  <c r="E1592" i="1"/>
  <c r="F1592" i="1"/>
  <c r="E1593" i="1"/>
  <c r="F1593" i="1"/>
  <c r="E1594" i="1"/>
  <c r="F1594" i="1"/>
  <c r="E1595" i="1"/>
  <c r="F1595" i="1"/>
  <c r="E1596" i="1"/>
  <c r="F1596" i="1"/>
  <c r="E1597" i="1"/>
  <c r="F1597" i="1"/>
  <c r="E1599" i="1"/>
  <c r="F1599" i="1"/>
  <c r="E1600" i="1"/>
  <c r="F1600" i="1"/>
  <c r="E1601" i="1"/>
  <c r="F1601" i="1"/>
  <c r="E1602" i="1"/>
  <c r="F1602" i="1"/>
  <c r="E1603" i="1"/>
  <c r="F1603" i="1"/>
  <c r="E1604" i="1"/>
  <c r="F1604" i="1"/>
  <c r="E1605" i="1"/>
  <c r="F1605" i="1"/>
  <c r="E1606" i="1"/>
  <c r="F1606" i="1"/>
  <c r="E1607" i="1"/>
  <c r="F1607" i="1"/>
  <c r="E1608" i="1"/>
  <c r="F1608" i="1"/>
  <c r="E1609" i="1"/>
  <c r="F1609" i="1"/>
  <c r="E1610" i="1"/>
  <c r="F1610" i="1"/>
  <c r="E1611" i="1"/>
  <c r="F1611" i="1"/>
  <c r="E1612" i="1"/>
  <c r="F1612" i="1"/>
  <c r="E1613" i="1"/>
  <c r="F1613" i="1"/>
  <c r="E1614" i="1"/>
  <c r="F1614" i="1"/>
  <c r="E1615" i="1"/>
  <c r="F1615" i="1"/>
  <c r="E1616" i="1"/>
  <c r="F1616" i="1"/>
  <c r="E1617" i="1"/>
  <c r="F1617" i="1"/>
  <c r="E1618" i="1"/>
  <c r="F1618" i="1"/>
  <c r="E1619" i="1"/>
  <c r="F1619" i="1"/>
  <c r="E1620" i="1"/>
  <c r="F1620" i="1"/>
  <c r="E1621" i="1"/>
  <c r="F1621" i="1"/>
  <c r="E1622" i="1"/>
  <c r="F1622" i="1"/>
  <c r="E1623" i="1"/>
  <c r="F1623" i="1"/>
  <c r="E1624" i="1"/>
  <c r="F1624" i="1"/>
  <c r="E1625" i="1"/>
  <c r="F1625" i="1"/>
  <c r="E1626" i="1"/>
  <c r="F1626" i="1"/>
  <c r="E1627" i="1"/>
  <c r="F1627" i="1"/>
  <c r="E1628" i="1"/>
  <c r="F1628" i="1"/>
  <c r="E1629" i="1"/>
  <c r="F1629" i="1"/>
  <c r="E1630" i="1"/>
  <c r="F1630" i="1"/>
  <c r="E1631" i="1"/>
  <c r="F1631" i="1"/>
  <c r="E1632" i="1"/>
  <c r="F1632" i="1"/>
  <c r="E1633" i="1"/>
  <c r="F1633" i="1"/>
  <c r="E1634" i="1"/>
  <c r="F1634" i="1"/>
  <c r="E1635" i="1"/>
  <c r="F1635" i="1"/>
  <c r="E1636" i="1"/>
  <c r="F1636" i="1"/>
  <c r="E1637" i="1"/>
  <c r="F1637" i="1"/>
  <c r="E1638" i="1"/>
  <c r="F1638" i="1"/>
  <c r="E1639" i="1"/>
  <c r="F1639" i="1"/>
  <c r="E1640" i="1"/>
  <c r="F1640" i="1"/>
  <c r="E1641" i="1"/>
  <c r="F1641" i="1"/>
  <c r="E1642" i="1"/>
  <c r="F1642" i="1"/>
  <c r="E1643" i="1"/>
  <c r="F1643" i="1"/>
  <c r="E1644" i="1"/>
  <c r="F1644" i="1"/>
  <c r="E1645" i="1"/>
  <c r="F1645" i="1"/>
  <c r="E1646" i="1"/>
  <c r="F1646" i="1"/>
  <c r="E1647" i="1"/>
  <c r="F1647" i="1"/>
  <c r="E1648" i="1"/>
  <c r="F1648" i="1"/>
  <c r="E1649" i="1"/>
  <c r="F1649" i="1"/>
  <c r="E1650" i="1"/>
  <c r="F1650" i="1"/>
  <c r="E1651" i="1"/>
  <c r="F1651" i="1"/>
  <c r="E1652" i="1"/>
  <c r="F1652" i="1"/>
  <c r="E1653" i="1"/>
  <c r="F1653" i="1"/>
  <c r="E1654" i="1"/>
  <c r="F1654" i="1"/>
  <c r="E1655" i="1"/>
  <c r="F1655" i="1"/>
  <c r="E1656" i="1"/>
  <c r="F1656" i="1"/>
  <c r="E1657" i="1"/>
  <c r="F1657" i="1"/>
  <c r="E1658" i="1"/>
  <c r="F1658" i="1"/>
  <c r="E1659" i="1"/>
  <c r="F1659" i="1"/>
  <c r="E1660" i="1"/>
  <c r="F1660" i="1"/>
  <c r="E1661" i="1"/>
  <c r="F1661" i="1"/>
  <c r="E1662" i="1"/>
  <c r="F1662" i="1"/>
  <c r="E1663" i="1"/>
  <c r="F1663" i="1"/>
  <c r="E1664" i="1"/>
  <c r="F1664" i="1"/>
  <c r="E1665" i="1"/>
  <c r="F1665" i="1"/>
  <c r="E1666" i="1"/>
  <c r="F1666" i="1"/>
  <c r="E1667" i="1"/>
  <c r="F1667" i="1"/>
  <c r="E1668" i="1"/>
  <c r="F1668" i="1"/>
  <c r="E1669" i="1"/>
  <c r="F1669" i="1"/>
  <c r="E1670" i="1"/>
  <c r="F1670" i="1"/>
  <c r="E1671" i="1"/>
  <c r="F1671" i="1"/>
  <c r="E1672" i="1"/>
  <c r="F1672" i="1"/>
  <c r="E1673" i="1"/>
  <c r="F1673" i="1"/>
  <c r="E1674" i="1"/>
  <c r="F1674" i="1"/>
  <c r="E1675" i="1"/>
  <c r="F1675" i="1"/>
  <c r="E1676" i="1"/>
  <c r="F1676" i="1"/>
  <c r="E1677" i="1"/>
  <c r="F1677" i="1"/>
  <c r="E1678" i="1"/>
  <c r="F1678" i="1"/>
  <c r="E1679" i="1"/>
  <c r="F1679" i="1"/>
  <c r="E1680" i="1"/>
  <c r="F1680" i="1"/>
  <c r="E1681" i="1"/>
  <c r="F1681" i="1"/>
  <c r="E1682" i="1"/>
  <c r="F1682" i="1"/>
  <c r="E1683" i="1"/>
  <c r="F1683" i="1"/>
  <c r="E1684" i="1"/>
  <c r="F1684" i="1"/>
  <c r="E1685" i="1"/>
  <c r="F1685" i="1"/>
  <c r="E1686" i="1"/>
  <c r="F1686" i="1"/>
  <c r="E1687" i="1"/>
  <c r="F1687" i="1"/>
  <c r="E1688" i="1"/>
  <c r="F1688" i="1"/>
  <c r="E1689" i="1"/>
  <c r="F1689" i="1"/>
  <c r="E1690" i="1"/>
  <c r="F1690" i="1"/>
  <c r="E1691" i="1"/>
  <c r="F1691" i="1"/>
  <c r="E1692" i="1"/>
  <c r="F1692" i="1"/>
  <c r="E1693" i="1"/>
  <c r="F1693" i="1"/>
  <c r="E1694" i="1"/>
  <c r="F1694" i="1"/>
  <c r="E1695" i="1"/>
  <c r="F1695" i="1"/>
  <c r="E1696" i="1"/>
  <c r="F1696" i="1"/>
  <c r="E1697" i="1"/>
  <c r="F1697" i="1"/>
  <c r="E1698" i="1"/>
  <c r="F1698" i="1"/>
  <c r="E1699" i="1"/>
  <c r="F1699" i="1"/>
  <c r="E1700" i="1"/>
  <c r="F1700" i="1"/>
  <c r="E1701" i="1"/>
  <c r="F1701" i="1"/>
  <c r="E1702" i="1"/>
  <c r="F1702" i="1"/>
  <c r="E1703" i="1"/>
  <c r="F1703" i="1"/>
  <c r="E1704" i="1"/>
  <c r="F1704" i="1"/>
  <c r="E1705" i="1"/>
  <c r="F1705" i="1"/>
  <c r="E1706" i="1"/>
  <c r="F1706" i="1"/>
  <c r="E1707" i="1"/>
  <c r="F1707" i="1"/>
  <c r="E1708" i="1"/>
  <c r="F1708" i="1"/>
  <c r="E1709" i="1"/>
  <c r="F1709" i="1"/>
  <c r="E1710" i="1"/>
  <c r="F1710" i="1"/>
  <c r="E1711" i="1"/>
  <c r="F1711" i="1"/>
  <c r="E1712" i="1"/>
  <c r="F1712" i="1"/>
  <c r="E1713" i="1"/>
  <c r="F1713" i="1"/>
  <c r="E1714" i="1"/>
  <c r="F1714" i="1"/>
  <c r="E1715" i="1"/>
  <c r="F1715" i="1"/>
  <c r="E1716" i="1"/>
  <c r="F1716" i="1"/>
  <c r="E1717" i="1"/>
  <c r="F1717" i="1"/>
  <c r="E1718" i="1"/>
  <c r="F1718" i="1"/>
  <c r="E1719" i="1"/>
  <c r="F1719" i="1"/>
  <c r="E1720" i="1"/>
  <c r="F1720" i="1"/>
  <c r="E1721" i="1"/>
  <c r="F1721" i="1"/>
  <c r="E1722" i="1"/>
  <c r="F1722" i="1"/>
  <c r="E1723" i="1"/>
  <c r="F1723" i="1"/>
  <c r="E1724" i="1"/>
  <c r="F1724" i="1"/>
  <c r="E1725" i="1"/>
  <c r="F1725" i="1"/>
  <c r="E1726" i="1"/>
  <c r="F1726" i="1"/>
  <c r="E1727" i="1"/>
  <c r="F1727" i="1"/>
  <c r="E1728" i="1"/>
  <c r="F1728" i="1"/>
  <c r="E1729" i="1"/>
  <c r="F1729" i="1"/>
  <c r="E1730" i="1"/>
  <c r="F1730" i="1"/>
  <c r="E1731" i="1"/>
  <c r="F1731" i="1"/>
  <c r="E1732" i="1"/>
  <c r="F1732" i="1"/>
  <c r="E1733" i="1"/>
  <c r="F1733" i="1"/>
  <c r="E1734" i="1"/>
  <c r="F1734" i="1"/>
  <c r="E1735" i="1"/>
  <c r="F1735" i="1"/>
  <c r="E1736" i="1"/>
  <c r="F1736" i="1"/>
  <c r="E1737" i="1"/>
  <c r="F1737" i="1"/>
  <c r="E1738" i="1"/>
  <c r="F1738" i="1"/>
  <c r="E1739" i="1"/>
  <c r="F1739" i="1"/>
  <c r="E1740" i="1"/>
  <c r="F1740" i="1"/>
  <c r="E1741" i="1"/>
  <c r="F1741" i="1"/>
  <c r="E1742" i="1"/>
  <c r="F1742" i="1"/>
  <c r="E1743" i="1"/>
  <c r="F1743" i="1"/>
  <c r="E1744" i="1"/>
  <c r="F1744" i="1"/>
  <c r="E1745" i="1"/>
  <c r="F1745" i="1"/>
  <c r="E1746" i="1"/>
  <c r="F1746" i="1"/>
  <c r="E1747" i="1"/>
  <c r="F1747" i="1"/>
  <c r="E1748" i="1"/>
  <c r="F1748" i="1"/>
  <c r="E1749" i="1"/>
  <c r="F1749" i="1"/>
  <c r="E1750" i="1"/>
  <c r="F1750" i="1"/>
  <c r="E1751" i="1"/>
  <c r="F1751" i="1"/>
  <c r="E1752" i="1"/>
  <c r="F1752" i="1"/>
  <c r="E1753" i="1"/>
  <c r="F1753" i="1"/>
  <c r="E1754" i="1"/>
  <c r="F1754" i="1"/>
  <c r="E1755" i="1"/>
  <c r="F1755" i="1"/>
  <c r="E1756" i="1"/>
  <c r="F1756" i="1"/>
  <c r="E1757" i="1"/>
  <c r="F1757" i="1"/>
  <c r="E1758" i="1"/>
  <c r="F1758" i="1"/>
  <c r="E1759" i="1"/>
  <c r="F1759" i="1"/>
  <c r="E1760" i="1"/>
  <c r="F1760" i="1"/>
  <c r="E1761" i="1"/>
  <c r="F1761" i="1"/>
  <c r="E1762" i="1"/>
  <c r="F1762" i="1"/>
  <c r="E1763" i="1"/>
  <c r="F1763" i="1"/>
  <c r="E1764" i="1"/>
  <c r="F1764" i="1"/>
  <c r="E1765" i="1"/>
  <c r="F1765" i="1"/>
  <c r="E1766" i="1"/>
  <c r="F1766" i="1"/>
  <c r="E1767" i="1"/>
  <c r="F1767" i="1"/>
  <c r="E1768" i="1"/>
  <c r="F1768" i="1"/>
  <c r="E1769" i="1"/>
  <c r="F1769" i="1"/>
  <c r="E1770" i="1"/>
  <c r="F1770" i="1"/>
  <c r="E1771" i="1"/>
  <c r="F1771" i="1"/>
  <c r="E1772" i="1"/>
  <c r="F1772" i="1"/>
  <c r="E1773" i="1"/>
  <c r="F1773" i="1"/>
  <c r="E1774" i="1"/>
  <c r="F1774" i="1"/>
  <c r="E1775" i="1"/>
  <c r="F1775" i="1"/>
  <c r="E1776" i="1"/>
  <c r="F1776" i="1"/>
  <c r="E1777" i="1"/>
  <c r="F1777" i="1"/>
  <c r="E1778" i="1"/>
  <c r="F1778" i="1"/>
  <c r="E1779" i="1"/>
  <c r="F1779" i="1"/>
  <c r="E1780" i="1"/>
  <c r="F1780" i="1"/>
  <c r="E1781" i="1"/>
  <c r="F1781" i="1"/>
  <c r="E1782" i="1"/>
  <c r="F1782" i="1"/>
  <c r="E1783" i="1"/>
  <c r="F1783" i="1"/>
  <c r="E1784" i="1"/>
  <c r="F1784" i="1"/>
  <c r="E1785" i="1"/>
  <c r="F1785" i="1"/>
  <c r="E1786" i="1"/>
  <c r="F1786" i="1"/>
  <c r="E1787" i="1"/>
  <c r="F1787" i="1"/>
  <c r="E1788" i="1"/>
  <c r="F1788" i="1"/>
  <c r="E1789" i="1"/>
  <c r="F1789" i="1"/>
  <c r="E1790" i="1"/>
  <c r="F1790" i="1"/>
  <c r="E1791" i="1"/>
  <c r="F1791" i="1"/>
  <c r="E1792" i="1"/>
  <c r="F1792" i="1"/>
  <c r="E1793" i="1"/>
  <c r="F1793" i="1"/>
  <c r="E1794" i="1"/>
  <c r="F1794" i="1"/>
  <c r="E1795" i="1"/>
  <c r="F1795" i="1"/>
  <c r="E1796" i="1"/>
  <c r="F1796" i="1"/>
  <c r="E1797" i="1"/>
  <c r="F1797" i="1"/>
  <c r="E1798" i="1"/>
  <c r="F1798" i="1"/>
  <c r="E1799" i="1"/>
  <c r="F1799" i="1"/>
  <c r="E1800" i="1"/>
  <c r="F1800" i="1"/>
  <c r="E1801" i="1"/>
  <c r="F1801" i="1"/>
  <c r="E1802" i="1"/>
  <c r="F1802" i="1"/>
  <c r="E1803" i="1"/>
  <c r="F1803" i="1"/>
  <c r="E1804" i="1"/>
  <c r="F1804" i="1"/>
  <c r="E1805" i="1"/>
  <c r="F1805" i="1"/>
  <c r="E1806" i="1"/>
  <c r="F1806" i="1"/>
  <c r="E1807" i="1"/>
  <c r="F1807" i="1"/>
  <c r="E1808" i="1"/>
  <c r="F1808" i="1"/>
  <c r="E1809" i="1"/>
  <c r="F1809" i="1"/>
  <c r="E1810" i="1"/>
  <c r="F1810" i="1"/>
  <c r="E1811" i="1"/>
  <c r="F1811" i="1"/>
  <c r="E1812" i="1"/>
  <c r="F1812" i="1"/>
  <c r="E1813" i="1"/>
  <c r="F1813" i="1"/>
  <c r="E1814" i="1"/>
  <c r="F1814" i="1"/>
  <c r="E1815" i="1"/>
  <c r="F1815" i="1"/>
  <c r="E1816" i="1"/>
  <c r="F1816" i="1"/>
  <c r="E1817" i="1"/>
  <c r="F1817" i="1"/>
  <c r="E1818" i="1"/>
  <c r="F1818" i="1"/>
  <c r="E1819" i="1"/>
  <c r="F1819" i="1"/>
  <c r="E1820" i="1"/>
  <c r="F1820" i="1"/>
  <c r="E1821" i="1"/>
  <c r="F1821" i="1"/>
  <c r="E1822" i="1"/>
  <c r="F1822" i="1"/>
  <c r="E1823" i="1"/>
  <c r="F1823" i="1"/>
  <c r="E1824" i="1"/>
  <c r="F1824" i="1"/>
  <c r="E1825" i="1"/>
  <c r="F1825" i="1"/>
  <c r="E1826" i="1"/>
  <c r="F1826" i="1"/>
  <c r="E1827" i="1"/>
  <c r="F1827" i="1"/>
  <c r="E1828" i="1"/>
  <c r="F1828" i="1"/>
  <c r="E1829" i="1"/>
  <c r="F1829" i="1"/>
  <c r="E1830" i="1"/>
  <c r="F1830" i="1"/>
  <c r="E1831" i="1"/>
  <c r="F1831" i="1"/>
  <c r="E1832" i="1"/>
  <c r="F1832" i="1"/>
  <c r="E1833" i="1"/>
  <c r="F1833" i="1"/>
  <c r="E1834" i="1"/>
  <c r="F1834" i="1"/>
  <c r="E1835" i="1"/>
  <c r="F1835" i="1"/>
  <c r="E1836" i="1"/>
  <c r="F1836" i="1"/>
  <c r="E1837" i="1"/>
  <c r="F1837" i="1"/>
  <c r="E1838" i="1"/>
  <c r="F1838" i="1"/>
  <c r="E1839" i="1"/>
  <c r="F1839" i="1"/>
  <c r="E1840" i="1"/>
  <c r="F1840" i="1"/>
  <c r="E1841" i="1"/>
  <c r="F1841" i="1"/>
  <c r="E1842" i="1"/>
  <c r="F1842" i="1"/>
  <c r="E1843" i="1"/>
  <c r="F1843" i="1"/>
  <c r="E1844" i="1"/>
  <c r="F1844" i="1"/>
  <c r="E1845" i="1"/>
  <c r="F1845" i="1"/>
  <c r="E1846" i="1"/>
  <c r="F1846" i="1"/>
  <c r="E1847" i="1"/>
  <c r="F1847" i="1"/>
  <c r="E1848" i="1"/>
  <c r="F1848" i="1"/>
  <c r="E1849" i="1"/>
  <c r="F1849" i="1"/>
  <c r="E1850" i="1"/>
  <c r="F1850" i="1"/>
  <c r="E1851" i="1"/>
  <c r="F1851" i="1"/>
  <c r="E1852" i="1"/>
  <c r="F1852" i="1"/>
  <c r="E1853" i="1"/>
  <c r="F1853" i="1"/>
  <c r="E1854" i="1"/>
  <c r="F1854" i="1"/>
  <c r="E1855" i="1"/>
  <c r="F1855" i="1"/>
  <c r="E1856" i="1"/>
  <c r="F1856" i="1"/>
  <c r="E1857" i="1"/>
  <c r="F1857" i="1"/>
  <c r="E1858" i="1"/>
  <c r="F1858" i="1"/>
  <c r="E1859" i="1"/>
  <c r="F1859" i="1"/>
  <c r="E1860" i="1"/>
  <c r="F1860" i="1"/>
  <c r="E1861" i="1"/>
  <c r="F1861" i="1"/>
  <c r="E1862" i="1"/>
  <c r="F1862" i="1"/>
  <c r="E1863" i="1"/>
  <c r="F1863" i="1"/>
  <c r="E1864" i="1"/>
  <c r="F1864" i="1"/>
  <c r="E1865" i="1"/>
  <c r="F1865" i="1"/>
  <c r="E1866" i="1"/>
  <c r="F1866" i="1"/>
  <c r="E1867" i="1"/>
  <c r="F1867" i="1"/>
  <c r="E1868" i="1"/>
  <c r="F1868" i="1"/>
  <c r="E1869" i="1"/>
  <c r="F1869" i="1"/>
  <c r="E1870" i="1"/>
  <c r="F1870" i="1"/>
  <c r="E1871" i="1"/>
  <c r="F1871" i="1"/>
  <c r="E1872" i="1"/>
  <c r="F1872" i="1"/>
  <c r="E1873" i="1"/>
  <c r="F1873" i="1"/>
  <c r="E1874" i="1"/>
  <c r="F1874" i="1"/>
  <c r="E1875" i="1"/>
  <c r="F1875" i="1"/>
  <c r="E1876" i="1"/>
  <c r="F1876" i="1"/>
  <c r="E1877" i="1"/>
  <c r="F1877" i="1"/>
  <c r="E1878" i="1"/>
  <c r="F1878" i="1"/>
  <c r="E1879" i="1"/>
  <c r="F1879" i="1"/>
  <c r="E1880" i="1"/>
  <c r="F1880" i="1"/>
  <c r="E1881" i="1"/>
  <c r="F1881" i="1"/>
  <c r="E1882" i="1"/>
  <c r="F1882" i="1"/>
  <c r="E1883" i="1"/>
  <c r="F1883" i="1"/>
  <c r="E1884" i="1"/>
  <c r="F1884" i="1"/>
  <c r="E1885" i="1"/>
  <c r="F1885" i="1"/>
  <c r="E1886" i="1"/>
  <c r="F1886" i="1"/>
  <c r="E1887" i="1"/>
  <c r="F1887" i="1"/>
  <c r="E1888" i="1"/>
  <c r="F1888" i="1"/>
  <c r="E1889" i="1"/>
  <c r="F1889" i="1"/>
  <c r="E1890" i="1"/>
  <c r="F1890" i="1"/>
  <c r="E1891" i="1"/>
  <c r="F1891" i="1"/>
  <c r="E1892" i="1"/>
  <c r="F1892" i="1"/>
  <c r="E1893" i="1"/>
  <c r="F1893" i="1"/>
  <c r="E1894" i="1"/>
  <c r="F1894" i="1"/>
  <c r="E1895" i="1"/>
  <c r="F1895" i="1"/>
  <c r="E1896" i="1"/>
  <c r="F1896" i="1"/>
  <c r="E1897" i="1"/>
  <c r="F1897" i="1"/>
  <c r="E1898" i="1"/>
  <c r="F1898" i="1"/>
  <c r="E1899" i="1"/>
  <c r="F1899" i="1"/>
  <c r="E1900" i="1"/>
  <c r="F1900" i="1"/>
  <c r="E1901" i="1"/>
  <c r="F1901" i="1"/>
  <c r="E1902" i="1"/>
  <c r="F1902" i="1"/>
  <c r="E1903" i="1"/>
  <c r="F1903" i="1"/>
  <c r="E1904" i="1"/>
  <c r="F1904" i="1"/>
  <c r="E1905" i="1"/>
  <c r="F1905" i="1"/>
  <c r="E1906" i="1"/>
  <c r="F1906" i="1"/>
  <c r="E1907" i="1"/>
  <c r="F1907" i="1"/>
  <c r="E1908" i="1"/>
  <c r="F1908" i="1"/>
  <c r="E1909" i="1"/>
  <c r="F1909" i="1"/>
  <c r="E1910" i="1"/>
  <c r="F1910" i="1"/>
  <c r="E1911" i="1"/>
  <c r="F1911" i="1"/>
  <c r="E1912" i="1"/>
  <c r="F1912" i="1"/>
  <c r="E1913" i="1"/>
  <c r="F1913" i="1"/>
  <c r="E1914" i="1"/>
  <c r="F1914" i="1"/>
  <c r="E1915" i="1"/>
  <c r="F1915" i="1"/>
  <c r="E1916" i="1"/>
  <c r="F1916" i="1"/>
  <c r="E1917" i="1"/>
  <c r="F1917" i="1"/>
  <c r="E1918" i="1"/>
  <c r="F1918" i="1"/>
  <c r="E1919" i="1"/>
  <c r="F1919" i="1"/>
  <c r="E1920" i="1"/>
  <c r="F1920" i="1"/>
  <c r="E1921" i="1"/>
  <c r="F1921" i="1"/>
  <c r="E1922" i="1"/>
  <c r="F1922" i="1"/>
  <c r="E1923" i="1"/>
  <c r="F1923" i="1"/>
  <c r="E1924" i="1"/>
  <c r="F1924" i="1"/>
  <c r="E1925" i="1"/>
  <c r="F1925" i="1"/>
  <c r="E1926" i="1"/>
  <c r="F1926" i="1"/>
  <c r="E1927" i="1"/>
  <c r="F1927" i="1"/>
  <c r="E1928" i="1"/>
  <c r="F1928" i="1"/>
  <c r="E1929" i="1"/>
  <c r="F1929" i="1"/>
  <c r="E1930" i="1"/>
  <c r="F1930" i="1"/>
  <c r="E1931" i="1"/>
  <c r="F1931" i="1"/>
  <c r="E1932" i="1"/>
  <c r="F1932" i="1"/>
  <c r="E1933" i="1"/>
  <c r="F1933" i="1"/>
  <c r="E1934" i="1"/>
  <c r="F1934" i="1"/>
  <c r="E1935" i="1"/>
  <c r="F1935" i="1"/>
  <c r="E1936" i="1"/>
  <c r="F1936" i="1"/>
  <c r="E1937" i="1"/>
  <c r="F1937" i="1"/>
  <c r="E1938" i="1"/>
  <c r="F1938" i="1"/>
  <c r="E1939" i="1"/>
  <c r="F1939" i="1"/>
  <c r="E1940" i="1"/>
  <c r="F1940" i="1"/>
  <c r="E1941" i="1"/>
  <c r="F1941" i="1"/>
  <c r="E1942" i="1"/>
  <c r="F1942" i="1"/>
  <c r="E1943" i="1"/>
  <c r="F1943" i="1"/>
  <c r="E1944" i="1"/>
  <c r="F1944" i="1"/>
  <c r="E1945" i="1"/>
  <c r="F1945" i="1"/>
  <c r="E1946" i="1"/>
  <c r="F1946" i="1"/>
  <c r="E1947" i="1"/>
  <c r="F1947" i="1"/>
  <c r="E1948" i="1"/>
  <c r="F1948" i="1"/>
  <c r="E1949" i="1"/>
  <c r="F1949" i="1"/>
  <c r="E1950" i="1"/>
  <c r="F1950" i="1"/>
  <c r="E1951" i="1"/>
  <c r="F1951" i="1"/>
  <c r="E1952" i="1"/>
  <c r="F1952" i="1"/>
  <c r="E1953" i="1"/>
  <c r="F1953" i="1"/>
  <c r="E1954" i="1"/>
  <c r="F1954" i="1"/>
  <c r="E1955" i="1"/>
  <c r="F1955" i="1"/>
  <c r="E1956" i="1"/>
  <c r="F1956" i="1"/>
  <c r="E1957" i="1"/>
  <c r="F1957" i="1"/>
  <c r="E1958" i="1"/>
  <c r="F1958" i="1"/>
  <c r="E1959" i="1"/>
  <c r="F1959" i="1"/>
  <c r="E1960" i="1"/>
  <c r="F1960" i="1"/>
  <c r="E1961" i="1"/>
  <c r="F1961" i="1"/>
  <c r="E1962" i="1"/>
  <c r="F1962" i="1"/>
  <c r="E1963" i="1"/>
  <c r="F1963" i="1"/>
  <c r="E1964" i="1"/>
  <c r="F1964" i="1"/>
  <c r="E1965" i="1"/>
  <c r="F1965" i="1"/>
  <c r="E1966" i="1"/>
  <c r="F1966" i="1"/>
  <c r="E1967" i="1"/>
  <c r="F1967" i="1"/>
  <c r="E1968" i="1"/>
  <c r="F1968" i="1"/>
  <c r="E1969" i="1"/>
  <c r="F1969" i="1"/>
  <c r="E1970" i="1"/>
  <c r="F1970" i="1"/>
  <c r="E1971" i="1"/>
  <c r="F1971" i="1"/>
  <c r="E1972" i="1"/>
  <c r="F1972" i="1"/>
  <c r="E1973" i="1"/>
  <c r="F1973" i="1"/>
  <c r="E1974" i="1"/>
  <c r="F1974" i="1"/>
  <c r="E1975" i="1"/>
  <c r="F1975" i="1"/>
  <c r="E1976" i="1"/>
  <c r="F1976" i="1"/>
  <c r="E1977" i="1"/>
  <c r="F1977" i="1"/>
  <c r="E1978" i="1"/>
  <c r="F1978" i="1"/>
  <c r="E1979" i="1"/>
  <c r="F1979" i="1"/>
  <c r="E1980" i="1"/>
  <c r="F1980" i="1"/>
  <c r="E1981" i="1"/>
  <c r="F1981" i="1"/>
  <c r="E1982" i="1"/>
  <c r="F1982" i="1"/>
  <c r="E1983" i="1"/>
  <c r="F1983" i="1"/>
  <c r="E1984" i="1"/>
  <c r="F1984" i="1"/>
  <c r="E1985" i="1"/>
  <c r="F1985" i="1"/>
  <c r="E1986" i="1"/>
  <c r="F1986" i="1"/>
  <c r="E1987" i="1"/>
  <c r="F1987" i="1"/>
  <c r="E1988" i="1"/>
  <c r="F1988" i="1"/>
  <c r="E1989" i="1"/>
  <c r="F1989" i="1"/>
  <c r="E1990" i="1"/>
  <c r="F1990" i="1"/>
  <c r="E1991" i="1"/>
  <c r="F1991" i="1"/>
  <c r="E1992" i="1"/>
  <c r="F1992" i="1"/>
  <c r="E1993" i="1"/>
  <c r="F1993" i="1"/>
  <c r="E1994" i="1"/>
  <c r="F1994" i="1"/>
  <c r="E1995" i="1"/>
  <c r="F1995" i="1"/>
  <c r="E1996" i="1"/>
  <c r="F1996" i="1"/>
  <c r="E1997" i="1"/>
  <c r="F1997" i="1"/>
  <c r="E1998" i="1"/>
  <c r="F1998" i="1"/>
  <c r="E1999" i="1"/>
  <c r="F1999" i="1"/>
  <c r="E2000" i="1"/>
  <c r="F2000" i="1"/>
  <c r="E2001" i="1"/>
  <c r="F2001" i="1"/>
  <c r="E2002" i="1"/>
  <c r="F2002" i="1"/>
  <c r="E2003" i="1"/>
  <c r="F2003" i="1"/>
  <c r="E2004" i="1"/>
  <c r="F2004" i="1"/>
  <c r="E2005" i="1"/>
  <c r="F2005" i="1"/>
  <c r="E2006" i="1"/>
  <c r="F2006" i="1"/>
  <c r="E2007" i="1"/>
  <c r="F2007" i="1"/>
  <c r="E2008" i="1"/>
  <c r="F2008" i="1"/>
  <c r="E2009" i="1"/>
  <c r="F2009" i="1"/>
  <c r="E2010" i="1"/>
  <c r="F2010" i="1"/>
  <c r="E2011" i="1"/>
  <c r="F2011" i="1"/>
  <c r="E2012" i="1"/>
  <c r="F2012" i="1"/>
  <c r="E2013" i="1"/>
  <c r="F2013" i="1"/>
  <c r="E2014" i="1"/>
  <c r="F2014" i="1"/>
  <c r="E2015" i="1"/>
  <c r="F2015" i="1"/>
  <c r="E2016" i="1"/>
  <c r="F2016" i="1"/>
  <c r="E2017" i="1"/>
  <c r="F2017" i="1"/>
  <c r="E2018" i="1"/>
  <c r="F2018" i="1"/>
  <c r="E2019" i="1"/>
  <c r="F2019" i="1"/>
  <c r="E2020" i="1"/>
  <c r="F2020" i="1"/>
  <c r="E2021" i="1"/>
  <c r="F2021" i="1"/>
  <c r="E2022" i="1"/>
  <c r="F2022" i="1"/>
  <c r="E2023" i="1"/>
  <c r="F2023" i="1"/>
  <c r="E2024" i="1"/>
  <c r="F2024" i="1"/>
  <c r="E2025" i="1"/>
  <c r="F2025" i="1"/>
  <c r="E2026" i="1"/>
  <c r="F2026" i="1"/>
  <c r="E2027" i="1"/>
  <c r="F2027" i="1"/>
  <c r="E2028" i="1"/>
  <c r="F2028" i="1"/>
  <c r="E2029" i="1"/>
  <c r="F2029" i="1"/>
  <c r="E2030" i="1"/>
  <c r="F2030" i="1"/>
  <c r="E2031" i="1"/>
  <c r="F2031" i="1"/>
  <c r="E2032" i="1"/>
  <c r="F2032" i="1"/>
  <c r="E2033" i="1"/>
  <c r="F2033" i="1"/>
  <c r="E2034" i="1"/>
  <c r="F2034" i="1"/>
  <c r="E2035" i="1"/>
  <c r="F2035" i="1"/>
  <c r="E2036" i="1"/>
  <c r="F2036" i="1"/>
  <c r="E2037" i="1"/>
  <c r="F2037" i="1"/>
  <c r="E2038" i="1"/>
  <c r="F2038" i="1"/>
  <c r="E2039" i="1"/>
  <c r="F2039" i="1"/>
  <c r="E2040" i="1"/>
  <c r="F2040" i="1"/>
  <c r="E2041" i="1"/>
  <c r="F2041" i="1"/>
  <c r="E2042" i="1"/>
  <c r="F2042" i="1"/>
  <c r="E2043" i="1"/>
  <c r="F2043" i="1"/>
  <c r="E2044" i="1"/>
  <c r="F2044" i="1"/>
  <c r="E2045" i="1"/>
  <c r="F2045" i="1"/>
  <c r="E2046" i="1"/>
  <c r="F2046" i="1"/>
  <c r="E2047" i="1"/>
  <c r="F2047" i="1"/>
  <c r="E2048" i="1"/>
  <c r="F2048" i="1"/>
  <c r="E2049" i="1"/>
  <c r="F2049" i="1"/>
  <c r="E2050" i="1"/>
  <c r="F2050" i="1"/>
  <c r="E2051" i="1"/>
  <c r="F2051" i="1"/>
  <c r="E2052" i="1"/>
  <c r="F2052" i="1"/>
  <c r="E2053" i="1"/>
  <c r="F2053" i="1"/>
  <c r="E2054" i="1"/>
  <c r="F2054" i="1"/>
  <c r="E2055" i="1"/>
  <c r="F2055" i="1"/>
  <c r="E2056" i="1"/>
  <c r="F2056" i="1"/>
  <c r="E2057" i="1"/>
  <c r="F2057" i="1"/>
  <c r="E2058" i="1"/>
  <c r="F2058" i="1"/>
  <c r="E2059" i="1"/>
  <c r="F2059" i="1"/>
  <c r="E2060" i="1"/>
  <c r="F2060" i="1"/>
  <c r="E2061" i="1"/>
  <c r="F2061" i="1"/>
  <c r="E2062" i="1"/>
  <c r="F2062" i="1"/>
  <c r="E2063" i="1"/>
  <c r="F2063" i="1"/>
  <c r="E2064" i="1"/>
  <c r="F2064" i="1"/>
  <c r="E2065" i="1"/>
  <c r="F2065" i="1"/>
  <c r="E2066" i="1"/>
  <c r="F2066" i="1"/>
  <c r="E2067" i="1"/>
  <c r="F2067" i="1"/>
  <c r="E2068" i="1"/>
  <c r="F2068" i="1"/>
  <c r="E2069" i="1"/>
  <c r="F2069" i="1"/>
  <c r="E2070" i="1"/>
  <c r="F2070" i="1"/>
  <c r="E2071" i="1"/>
  <c r="F2071" i="1"/>
  <c r="E2072" i="1"/>
  <c r="F2072" i="1"/>
  <c r="E2073" i="1"/>
  <c r="F2073" i="1"/>
  <c r="E2074" i="1"/>
  <c r="F2074" i="1"/>
  <c r="E2075" i="1"/>
  <c r="F2075" i="1"/>
  <c r="E2076" i="1"/>
  <c r="F2076" i="1"/>
  <c r="E2077" i="1"/>
  <c r="F2077" i="1"/>
  <c r="E2078" i="1"/>
  <c r="F2078" i="1"/>
  <c r="E2079" i="1"/>
  <c r="F2079" i="1"/>
  <c r="E2080" i="1"/>
  <c r="F2080" i="1"/>
  <c r="E2081" i="1"/>
  <c r="F2081" i="1"/>
  <c r="E2082" i="1"/>
  <c r="F2082" i="1"/>
  <c r="E2083" i="1"/>
  <c r="F2083" i="1"/>
  <c r="E2084" i="1"/>
  <c r="F2084" i="1"/>
  <c r="E2085" i="1"/>
  <c r="F2085" i="1"/>
  <c r="E2086" i="1"/>
  <c r="F2086" i="1"/>
  <c r="E2087" i="1"/>
  <c r="F2087" i="1"/>
  <c r="E2088" i="1"/>
  <c r="F2088" i="1"/>
  <c r="E2089" i="1"/>
  <c r="F2089" i="1"/>
  <c r="E2090" i="1"/>
  <c r="F2090" i="1"/>
  <c r="E2091" i="1"/>
  <c r="F2091" i="1"/>
  <c r="E2092" i="1"/>
  <c r="F2092" i="1"/>
  <c r="E2093" i="1"/>
  <c r="F2093" i="1"/>
  <c r="E2094" i="1"/>
  <c r="F2094" i="1"/>
  <c r="E2095" i="1"/>
  <c r="F2095" i="1"/>
  <c r="E2096" i="1"/>
  <c r="F2096" i="1"/>
  <c r="E2097" i="1"/>
  <c r="F2097" i="1"/>
  <c r="E2098" i="1"/>
  <c r="F2098" i="1"/>
  <c r="E2099" i="1"/>
  <c r="F2099" i="1"/>
  <c r="E2100" i="1"/>
  <c r="F2100" i="1"/>
  <c r="E2101" i="1"/>
  <c r="F2101" i="1"/>
  <c r="E2102" i="1"/>
  <c r="F2102" i="1"/>
  <c r="E2103" i="1"/>
  <c r="F2103" i="1"/>
  <c r="E2104" i="1"/>
  <c r="F2104" i="1"/>
  <c r="E2105" i="1"/>
  <c r="F2105" i="1"/>
  <c r="E2106" i="1"/>
  <c r="F2106" i="1"/>
  <c r="E2107" i="1"/>
  <c r="F2107" i="1"/>
  <c r="E2108" i="1"/>
  <c r="F2108" i="1"/>
  <c r="E2109" i="1"/>
  <c r="F2109" i="1"/>
  <c r="E2110" i="1"/>
  <c r="F2110" i="1"/>
  <c r="E2111" i="1"/>
  <c r="F2111" i="1"/>
  <c r="E2112" i="1"/>
  <c r="F2112" i="1"/>
  <c r="E2113" i="1"/>
  <c r="F2113" i="1"/>
  <c r="E2114" i="1"/>
  <c r="F2114" i="1"/>
  <c r="E2115" i="1"/>
  <c r="F2115" i="1"/>
  <c r="E2116" i="1"/>
  <c r="F2116" i="1"/>
  <c r="E2117" i="1"/>
  <c r="F2117" i="1"/>
  <c r="E2118" i="1"/>
  <c r="F2118" i="1"/>
  <c r="E2119" i="1"/>
  <c r="F2119" i="1"/>
  <c r="E2120" i="1"/>
  <c r="F2120" i="1"/>
  <c r="E2121" i="1"/>
  <c r="F2121" i="1"/>
  <c r="E2122" i="1"/>
  <c r="F2122" i="1"/>
  <c r="E2123" i="1"/>
  <c r="F2123" i="1"/>
  <c r="E2124" i="1"/>
  <c r="F2124" i="1"/>
  <c r="E2125" i="1"/>
  <c r="F2125" i="1"/>
  <c r="E2126" i="1"/>
  <c r="F2126" i="1"/>
  <c r="E2127" i="1"/>
  <c r="F2127" i="1"/>
  <c r="E2128" i="1"/>
  <c r="F2128" i="1"/>
  <c r="E2129" i="1"/>
  <c r="F2129" i="1"/>
  <c r="E2130" i="1"/>
  <c r="F2130" i="1"/>
  <c r="E2131" i="1"/>
  <c r="F2131" i="1"/>
  <c r="E2132" i="1"/>
  <c r="F2132" i="1"/>
  <c r="E2133" i="1"/>
  <c r="F2133" i="1"/>
  <c r="E2134" i="1"/>
  <c r="F2134" i="1"/>
  <c r="E2135" i="1"/>
  <c r="F2135" i="1"/>
  <c r="E2136" i="1"/>
  <c r="F2136" i="1"/>
  <c r="E2137" i="1"/>
  <c r="F2137" i="1"/>
  <c r="E2138" i="1"/>
  <c r="F2138" i="1"/>
  <c r="E2139" i="1"/>
  <c r="F2139" i="1"/>
  <c r="E2140" i="1"/>
  <c r="F2140" i="1"/>
  <c r="E2141" i="1"/>
  <c r="F2141" i="1"/>
  <c r="E2142" i="1"/>
  <c r="F2142" i="1"/>
  <c r="E2143" i="1"/>
  <c r="F2143" i="1"/>
  <c r="E2144" i="1"/>
  <c r="F2144" i="1"/>
  <c r="E2145" i="1"/>
  <c r="F2145" i="1"/>
  <c r="E2146" i="1"/>
  <c r="F2146" i="1"/>
  <c r="E2147" i="1"/>
  <c r="F2147" i="1"/>
  <c r="E2148" i="1"/>
  <c r="F2148" i="1"/>
  <c r="E2149" i="1"/>
  <c r="F2149" i="1"/>
  <c r="E2150" i="1"/>
  <c r="F2150" i="1"/>
  <c r="E2151" i="1"/>
  <c r="F2151" i="1"/>
  <c r="E2152" i="1"/>
  <c r="F2152" i="1"/>
  <c r="E2153" i="1"/>
  <c r="F2153" i="1"/>
  <c r="E2154" i="1"/>
  <c r="F2154" i="1"/>
  <c r="E2155" i="1"/>
  <c r="F2155" i="1"/>
  <c r="E2156" i="1"/>
  <c r="F2156" i="1"/>
  <c r="E2157" i="1"/>
  <c r="F2157" i="1"/>
  <c r="E2158" i="1"/>
  <c r="F2158" i="1"/>
  <c r="E2159" i="1"/>
  <c r="F2159" i="1"/>
  <c r="E2160" i="1"/>
  <c r="F2160" i="1"/>
  <c r="E2161" i="1"/>
  <c r="F2161" i="1"/>
  <c r="E2162" i="1"/>
  <c r="F2162" i="1"/>
  <c r="E2163" i="1"/>
  <c r="F2163" i="1"/>
  <c r="E2164" i="1"/>
  <c r="F2164" i="1"/>
  <c r="E2165" i="1"/>
  <c r="F2165" i="1"/>
  <c r="E2166" i="1"/>
  <c r="F2166" i="1"/>
  <c r="E2167" i="1"/>
  <c r="F2167" i="1"/>
  <c r="E2168" i="1"/>
  <c r="F2168" i="1"/>
  <c r="E2169" i="1"/>
  <c r="F2169" i="1"/>
  <c r="E2170" i="1"/>
  <c r="F2170" i="1"/>
  <c r="E2171" i="1"/>
  <c r="F2171" i="1"/>
  <c r="E2172" i="1"/>
  <c r="F2172" i="1"/>
  <c r="E2173" i="1"/>
  <c r="F2173" i="1"/>
  <c r="E2174" i="1"/>
  <c r="F2174" i="1"/>
  <c r="E2175" i="1"/>
  <c r="F2175" i="1"/>
  <c r="E2176" i="1"/>
  <c r="F2176" i="1"/>
  <c r="E2177" i="1"/>
  <c r="F2177" i="1"/>
  <c r="E2178" i="1"/>
  <c r="F2178" i="1"/>
  <c r="E2179" i="1"/>
  <c r="F2179" i="1"/>
  <c r="E2180" i="1"/>
  <c r="F2180" i="1"/>
  <c r="E2181" i="1"/>
  <c r="F2181" i="1"/>
  <c r="E2182" i="1"/>
  <c r="F2182" i="1"/>
  <c r="E2183" i="1"/>
  <c r="F2183" i="1"/>
  <c r="E2184" i="1"/>
  <c r="F2184" i="1"/>
  <c r="E2185" i="1"/>
  <c r="F2185" i="1"/>
  <c r="E2186" i="1"/>
  <c r="F2186" i="1"/>
  <c r="E2187" i="1"/>
  <c r="F2187" i="1"/>
  <c r="E2188" i="1"/>
  <c r="F2188" i="1"/>
  <c r="E2189" i="1"/>
  <c r="F2189" i="1"/>
  <c r="E2190" i="1"/>
  <c r="F2190" i="1"/>
  <c r="E2191" i="1"/>
  <c r="F2191" i="1"/>
  <c r="E2192" i="1"/>
  <c r="F2192" i="1"/>
  <c r="E2193" i="1"/>
  <c r="F2193" i="1"/>
  <c r="E2194" i="1"/>
  <c r="F2194" i="1"/>
  <c r="E2195" i="1"/>
  <c r="F2195" i="1"/>
  <c r="E2196" i="1"/>
  <c r="F2196" i="1"/>
  <c r="E2197" i="1"/>
  <c r="F2197" i="1"/>
  <c r="E2198" i="1"/>
  <c r="F2198" i="1"/>
  <c r="E2199" i="1"/>
  <c r="F2199" i="1"/>
  <c r="E2200" i="1"/>
  <c r="F2200" i="1"/>
  <c r="E2201" i="1"/>
  <c r="F2201" i="1"/>
  <c r="E2202" i="1"/>
  <c r="F2202" i="1"/>
  <c r="E2203" i="1"/>
  <c r="F2203" i="1"/>
  <c r="E2204" i="1"/>
  <c r="F2204" i="1"/>
  <c r="E2205" i="1"/>
  <c r="F2205" i="1"/>
  <c r="E2206" i="1"/>
  <c r="F2206" i="1"/>
  <c r="E2207" i="1"/>
  <c r="F2207" i="1"/>
  <c r="E2208" i="1"/>
  <c r="F2208" i="1"/>
  <c r="E2209" i="1"/>
  <c r="F2209" i="1"/>
  <c r="E2210" i="1"/>
  <c r="F2210" i="1"/>
  <c r="E2211" i="1"/>
  <c r="F2211" i="1"/>
  <c r="E2212" i="1"/>
  <c r="F2212" i="1"/>
  <c r="E2213" i="1"/>
  <c r="F2213" i="1"/>
  <c r="E2214" i="1"/>
  <c r="F2214" i="1"/>
  <c r="E2215" i="1"/>
  <c r="F2215" i="1"/>
  <c r="E2216" i="1"/>
  <c r="F2216" i="1"/>
  <c r="E2217" i="1"/>
  <c r="F2217" i="1"/>
  <c r="E2218" i="1"/>
  <c r="F2218" i="1"/>
  <c r="E2219" i="1"/>
  <c r="F2219" i="1"/>
  <c r="E2220" i="1"/>
  <c r="F2220" i="1"/>
  <c r="E2221" i="1"/>
  <c r="F2221" i="1"/>
  <c r="E2222" i="1"/>
  <c r="F2222" i="1"/>
  <c r="E2223" i="1"/>
  <c r="F2223" i="1"/>
  <c r="E2224" i="1"/>
  <c r="F2224" i="1"/>
  <c r="E2225" i="1"/>
  <c r="F2225" i="1"/>
  <c r="E2226" i="1"/>
  <c r="F2226" i="1"/>
  <c r="E2227" i="1"/>
  <c r="F2227" i="1"/>
  <c r="E2228" i="1"/>
  <c r="F2228" i="1"/>
  <c r="E2229" i="1"/>
  <c r="F2229" i="1"/>
  <c r="E2230" i="1"/>
  <c r="F2230" i="1"/>
  <c r="E2231" i="1"/>
  <c r="F2231" i="1"/>
  <c r="E2232" i="1"/>
  <c r="F2232" i="1"/>
  <c r="E2233" i="1"/>
  <c r="F2233" i="1"/>
  <c r="E2234" i="1"/>
  <c r="F2234" i="1"/>
  <c r="E2235" i="1"/>
  <c r="F2235" i="1"/>
  <c r="E2236" i="1"/>
  <c r="F2236" i="1"/>
  <c r="E2237" i="1"/>
  <c r="F2237" i="1"/>
  <c r="E2238" i="1"/>
  <c r="F2238" i="1"/>
  <c r="E2239" i="1"/>
  <c r="F2239" i="1"/>
  <c r="E2240" i="1"/>
  <c r="F2240" i="1"/>
  <c r="E2241" i="1"/>
  <c r="F2241" i="1"/>
  <c r="E2242" i="1"/>
  <c r="F2242" i="1"/>
  <c r="E2243" i="1"/>
  <c r="F2243" i="1"/>
  <c r="E2244" i="1"/>
  <c r="F2244" i="1"/>
  <c r="E2245" i="1"/>
  <c r="F2245" i="1"/>
  <c r="E2246" i="1"/>
  <c r="F2246" i="1"/>
  <c r="E2247" i="1"/>
  <c r="F2247" i="1"/>
  <c r="E2248" i="1"/>
  <c r="F2248" i="1"/>
  <c r="E2249" i="1"/>
  <c r="F2249" i="1"/>
  <c r="E2250" i="1"/>
  <c r="F2250" i="1"/>
  <c r="E2251" i="1"/>
  <c r="F2251" i="1"/>
  <c r="E2252" i="1"/>
  <c r="F2252" i="1"/>
  <c r="E2253" i="1"/>
  <c r="F2253" i="1"/>
  <c r="E2254" i="1"/>
  <c r="F2254" i="1"/>
  <c r="E2255" i="1"/>
  <c r="F2255" i="1"/>
  <c r="E2256" i="1"/>
  <c r="F2256" i="1"/>
  <c r="E2257" i="1"/>
  <c r="F2257" i="1"/>
  <c r="E2258" i="1"/>
  <c r="F2258" i="1"/>
  <c r="E2259" i="1"/>
  <c r="F2259" i="1"/>
  <c r="E2260" i="1"/>
  <c r="F2260" i="1"/>
  <c r="E2261" i="1"/>
  <c r="F2261" i="1"/>
  <c r="E2262" i="1"/>
  <c r="F2262" i="1"/>
  <c r="E2263" i="1"/>
  <c r="F2263" i="1"/>
  <c r="E2264" i="1"/>
  <c r="F2264" i="1"/>
  <c r="E2265" i="1"/>
  <c r="F2265" i="1"/>
  <c r="E2266" i="1"/>
  <c r="F2266" i="1"/>
  <c r="E2267" i="1"/>
  <c r="F2267" i="1"/>
  <c r="E2268" i="1"/>
  <c r="F2268" i="1"/>
  <c r="E2269" i="1"/>
  <c r="F2269" i="1"/>
  <c r="E2270" i="1"/>
  <c r="F2270" i="1"/>
  <c r="E2271" i="1"/>
  <c r="F2271" i="1"/>
  <c r="E2272" i="1"/>
  <c r="F2272" i="1"/>
  <c r="E2273" i="1"/>
  <c r="F2273" i="1"/>
  <c r="E2274" i="1"/>
  <c r="F2274" i="1"/>
  <c r="E2275" i="1"/>
  <c r="F2275" i="1"/>
  <c r="E2276" i="1"/>
  <c r="F2276" i="1"/>
  <c r="E2277" i="1"/>
  <c r="F2277" i="1"/>
  <c r="E2278" i="1"/>
  <c r="F2278" i="1"/>
  <c r="E2279" i="1"/>
  <c r="F2279" i="1"/>
  <c r="E2280" i="1"/>
  <c r="F2280" i="1"/>
  <c r="E2281" i="1"/>
  <c r="F2281" i="1"/>
  <c r="E2282" i="1"/>
  <c r="F2282" i="1"/>
  <c r="E2283" i="1"/>
  <c r="F2283" i="1"/>
  <c r="E2284" i="1"/>
  <c r="F2284" i="1"/>
  <c r="E2285" i="1"/>
  <c r="F2285" i="1"/>
  <c r="E2286" i="1"/>
  <c r="F2286" i="1"/>
  <c r="E2287" i="1"/>
  <c r="F2287" i="1"/>
  <c r="E2288" i="1"/>
  <c r="F2288" i="1"/>
  <c r="E2289" i="1"/>
  <c r="F2289" i="1"/>
  <c r="E2290" i="1"/>
  <c r="F2290" i="1"/>
  <c r="E2291" i="1"/>
  <c r="F2291" i="1"/>
  <c r="E2292" i="1"/>
  <c r="F2292" i="1"/>
  <c r="E2293" i="1"/>
  <c r="F2293" i="1"/>
  <c r="E2294" i="1"/>
  <c r="F2294" i="1"/>
  <c r="E2295" i="1"/>
  <c r="F2295" i="1"/>
  <c r="E2296" i="1"/>
  <c r="F2296" i="1"/>
  <c r="E2297" i="1"/>
  <c r="F2297" i="1"/>
  <c r="E2298" i="1"/>
  <c r="F2298" i="1"/>
  <c r="E2299" i="1"/>
  <c r="F2299" i="1"/>
  <c r="E2300" i="1"/>
  <c r="F2300" i="1"/>
  <c r="E2301" i="1"/>
  <c r="F2301" i="1"/>
  <c r="E2302" i="1"/>
  <c r="F2302" i="1"/>
  <c r="E2303" i="1"/>
  <c r="F2303" i="1"/>
  <c r="E2304" i="1"/>
  <c r="F2304" i="1"/>
  <c r="E2305" i="1"/>
  <c r="F2305" i="1"/>
  <c r="E2306" i="1"/>
  <c r="F2306" i="1"/>
  <c r="E2307" i="1"/>
  <c r="F2307" i="1"/>
  <c r="E2308" i="1"/>
  <c r="F2308" i="1"/>
  <c r="E2309" i="1"/>
  <c r="F2309" i="1"/>
  <c r="E2310" i="1"/>
  <c r="F2310" i="1"/>
  <c r="E2311" i="1"/>
  <c r="F2311" i="1"/>
  <c r="E2312" i="1"/>
  <c r="F2312" i="1"/>
  <c r="E2313" i="1"/>
  <c r="F2313" i="1"/>
  <c r="E2314" i="1"/>
  <c r="F2314" i="1"/>
  <c r="E2315" i="1"/>
  <c r="F2315" i="1"/>
  <c r="E2316" i="1"/>
  <c r="F2316" i="1"/>
  <c r="E2317" i="1"/>
  <c r="F2317" i="1"/>
  <c r="E2318" i="1"/>
  <c r="F2318" i="1"/>
  <c r="E2319" i="1"/>
  <c r="F2319" i="1"/>
  <c r="E2320" i="1"/>
  <c r="F2320" i="1"/>
  <c r="E2321" i="1"/>
  <c r="F2321" i="1"/>
  <c r="E2322" i="1"/>
  <c r="F2322" i="1"/>
  <c r="E2323" i="1"/>
  <c r="F2323" i="1"/>
  <c r="E2324" i="1"/>
  <c r="F2324" i="1"/>
  <c r="E2325" i="1"/>
  <c r="F2325" i="1"/>
  <c r="E2326" i="1"/>
  <c r="F2326" i="1"/>
  <c r="E2327" i="1"/>
  <c r="F2327" i="1"/>
  <c r="E2328" i="1"/>
  <c r="F2328" i="1"/>
  <c r="E2329" i="1"/>
  <c r="F2329" i="1"/>
  <c r="E2330" i="1"/>
  <c r="F2330" i="1"/>
  <c r="E2331" i="1"/>
  <c r="F2331" i="1"/>
  <c r="E2332" i="1"/>
  <c r="F2332" i="1"/>
  <c r="E2333" i="1"/>
  <c r="F2333" i="1"/>
  <c r="E2334" i="1"/>
  <c r="F2334" i="1"/>
  <c r="E2335" i="1"/>
  <c r="F2335" i="1"/>
  <c r="E2336" i="1"/>
  <c r="F2336" i="1"/>
  <c r="E2337" i="1"/>
  <c r="F2337" i="1"/>
  <c r="E2338" i="1"/>
  <c r="F2338" i="1"/>
  <c r="E2339" i="1"/>
  <c r="F2339" i="1"/>
  <c r="E2340" i="1"/>
  <c r="F2340" i="1"/>
  <c r="E2341" i="1"/>
  <c r="F2341" i="1"/>
  <c r="E2342" i="1"/>
  <c r="F2342" i="1"/>
  <c r="E2343" i="1"/>
  <c r="F2343" i="1"/>
  <c r="E2344" i="1"/>
  <c r="F2344" i="1"/>
  <c r="E2345" i="1"/>
  <c r="F2345" i="1"/>
  <c r="E2346" i="1"/>
  <c r="F2346" i="1"/>
  <c r="E2347" i="1"/>
  <c r="F2347" i="1"/>
  <c r="E2348" i="1"/>
  <c r="F2348" i="1"/>
  <c r="E2349" i="1"/>
  <c r="F2349" i="1"/>
  <c r="E2350" i="1"/>
  <c r="F2350" i="1"/>
  <c r="E2351" i="1"/>
  <c r="F2351" i="1"/>
  <c r="E2352" i="1"/>
  <c r="F2352" i="1"/>
  <c r="E2353" i="1"/>
  <c r="F2353" i="1"/>
  <c r="E2354" i="1"/>
  <c r="F2354" i="1"/>
  <c r="E2355" i="1"/>
  <c r="F2355" i="1"/>
  <c r="E2356" i="1"/>
  <c r="F2356" i="1"/>
  <c r="E2357" i="1"/>
  <c r="F2357" i="1"/>
  <c r="E2358" i="1"/>
  <c r="F2358" i="1"/>
  <c r="E2359" i="1"/>
  <c r="F2359" i="1"/>
  <c r="E2360" i="1"/>
  <c r="F2360" i="1"/>
  <c r="E2361" i="1"/>
  <c r="F2361" i="1"/>
  <c r="E2362" i="1"/>
  <c r="F2362" i="1"/>
  <c r="E2363" i="1"/>
  <c r="F2363" i="1"/>
  <c r="E2364" i="1"/>
  <c r="F2364" i="1"/>
  <c r="E2365" i="1"/>
  <c r="F2365" i="1"/>
  <c r="E2366" i="1"/>
  <c r="F2366" i="1"/>
  <c r="E2367" i="1"/>
  <c r="F2367" i="1"/>
  <c r="E2368" i="1"/>
  <c r="F2368" i="1"/>
  <c r="E2369" i="1"/>
  <c r="F2369" i="1"/>
  <c r="E2370" i="1"/>
  <c r="F2370" i="1"/>
  <c r="E2371" i="1"/>
  <c r="F2371" i="1"/>
  <c r="E2372" i="1"/>
  <c r="F2372" i="1"/>
  <c r="E2373" i="1"/>
  <c r="F2373" i="1"/>
  <c r="E2374" i="1"/>
  <c r="F2374" i="1"/>
  <c r="E2375" i="1"/>
  <c r="F2375" i="1"/>
  <c r="E2376" i="1"/>
  <c r="F2376" i="1"/>
  <c r="E2377" i="1"/>
  <c r="F2377" i="1"/>
  <c r="E2378" i="1"/>
  <c r="F2378" i="1"/>
  <c r="E2379" i="1"/>
  <c r="F2379" i="1"/>
  <c r="E2380" i="1"/>
  <c r="F2380" i="1"/>
  <c r="E2381" i="1"/>
  <c r="F2381" i="1"/>
  <c r="E2382" i="1"/>
  <c r="F2382" i="1"/>
  <c r="E2383" i="1"/>
  <c r="F2383" i="1"/>
  <c r="E2384" i="1"/>
  <c r="F2384" i="1"/>
  <c r="E2385" i="1"/>
  <c r="F2385" i="1"/>
  <c r="E2386" i="1"/>
  <c r="F2386" i="1"/>
  <c r="E2387" i="1"/>
  <c r="F2387" i="1"/>
  <c r="E2388" i="1"/>
  <c r="F2388" i="1"/>
  <c r="E2389" i="1"/>
  <c r="F2389" i="1"/>
  <c r="E2390" i="1"/>
  <c r="F2390" i="1"/>
  <c r="E2391" i="1"/>
  <c r="F2391" i="1"/>
  <c r="E2392" i="1"/>
  <c r="F2392" i="1"/>
  <c r="E2393" i="1"/>
  <c r="F2393" i="1"/>
  <c r="E2394" i="1"/>
  <c r="F2394" i="1"/>
  <c r="E2395" i="1"/>
  <c r="F2395" i="1"/>
  <c r="E2396" i="1"/>
  <c r="F2396" i="1"/>
  <c r="E2397" i="1"/>
  <c r="F2397" i="1"/>
  <c r="E2398" i="1"/>
  <c r="F2398" i="1"/>
  <c r="E2399" i="1"/>
  <c r="F2399" i="1"/>
  <c r="E2400" i="1"/>
  <c r="F2400" i="1"/>
  <c r="E2401" i="1"/>
  <c r="F2401" i="1"/>
  <c r="E2402" i="1"/>
  <c r="F2402" i="1"/>
  <c r="E2403" i="1"/>
  <c r="F2403" i="1"/>
  <c r="E2404" i="1"/>
  <c r="F2404" i="1"/>
  <c r="E2405" i="1"/>
  <c r="F2405" i="1"/>
  <c r="E2406" i="1"/>
  <c r="F2406" i="1"/>
  <c r="E2407" i="1"/>
  <c r="F2407" i="1"/>
  <c r="E2408" i="1"/>
  <c r="F2408" i="1"/>
  <c r="E2409" i="1"/>
  <c r="F2409" i="1"/>
  <c r="E2410" i="1"/>
  <c r="F2410" i="1"/>
  <c r="E2411" i="1"/>
  <c r="F2411" i="1"/>
  <c r="E2412" i="1"/>
  <c r="F2412" i="1"/>
  <c r="E2413" i="1"/>
  <c r="F2413" i="1"/>
  <c r="E2414" i="1"/>
  <c r="F2414" i="1"/>
  <c r="E2415" i="1"/>
  <c r="F2415" i="1"/>
  <c r="E2416" i="1"/>
  <c r="F2416" i="1"/>
  <c r="E2417" i="1"/>
  <c r="F2417" i="1"/>
  <c r="E2418" i="1"/>
  <c r="F2418" i="1"/>
  <c r="E2419" i="1"/>
  <c r="F2419" i="1"/>
  <c r="E2420" i="1"/>
  <c r="F2420" i="1"/>
  <c r="E2421" i="1"/>
  <c r="F2421" i="1"/>
  <c r="E2422" i="1"/>
  <c r="F2422" i="1"/>
  <c r="E2423" i="1"/>
  <c r="F2423" i="1"/>
  <c r="E2424" i="1"/>
  <c r="F2424" i="1"/>
  <c r="E2425" i="1"/>
  <c r="F2425" i="1"/>
  <c r="E2426" i="1"/>
  <c r="F2426" i="1"/>
  <c r="E2427" i="1"/>
  <c r="F2427" i="1"/>
  <c r="E2428" i="1"/>
  <c r="F2428" i="1"/>
  <c r="E2429" i="1"/>
  <c r="F2429" i="1"/>
  <c r="E2430" i="1"/>
  <c r="F2430" i="1"/>
  <c r="E2431" i="1"/>
  <c r="F2431" i="1"/>
  <c r="E2432" i="1"/>
  <c r="F2432" i="1"/>
  <c r="E2433" i="1"/>
  <c r="F2433" i="1"/>
  <c r="E2434" i="1"/>
  <c r="F2434" i="1"/>
  <c r="E2435" i="1"/>
  <c r="F2435" i="1"/>
  <c r="E2436" i="1"/>
  <c r="F2436" i="1"/>
  <c r="E2437" i="1"/>
  <c r="F2437" i="1"/>
  <c r="E2438" i="1"/>
  <c r="F2438" i="1"/>
  <c r="E2439" i="1"/>
  <c r="F2439" i="1"/>
  <c r="E2440" i="1"/>
  <c r="F2440" i="1"/>
  <c r="E2441" i="1"/>
  <c r="F2441" i="1"/>
  <c r="E2442" i="1"/>
  <c r="F2442" i="1"/>
  <c r="E2443" i="1"/>
  <c r="F2443" i="1"/>
  <c r="E2444" i="1"/>
  <c r="F2444" i="1"/>
  <c r="E2445" i="1"/>
  <c r="F2445" i="1"/>
  <c r="E2446" i="1"/>
  <c r="F2446" i="1"/>
  <c r="E2447" i="1"/>
  <c r="F2447" i="1"/>
  <c r="E2448" i="1"/>
  <c r="F2448" i="1"/>
  <c r="E2449" i="1"/>
  <c r="F2449" i="1"/>
  <c r="E2450" i="1"/>
  <c r="F2450" i="1"/>
  <c r="E2451" i="1"/>
  <c r="F2451" i="1"/>
  <c r="E2452" i="1"/>
  <c r="F2452" i="1"/>
  <c r="E2453" i="1"/>
  <c r="F2453" i="1"/>
  <c r="E2454" i="1"/>
  <c r="F2454" i="1"/>
  <c r="E2455" i="1"/>
  <c r="F2455" i="1"/>
  <c r="E2456" i="1"/>
  <c r="F2456" i="1"/>
  <c r="E2457" i="1"/>
  <c r="F2457" i="1"/>
  <c r="E2458" i="1"/>
  <c r="F2458" i="1"/>
  <c r="E2459" i="1"/>
  <c r="F2459" i="1"/>
  <c r="E2460" i="1"/>
  <c r="F2460" i="1"/>
  <c r="E2461" i="1"/>
  <c r="F2461" i="1"/>
  <c r="E2462" i="1"/>
  <c r="F2462" i="1"/>
  <c r="E2463" i="1"/>
  <c r="F2463" i="1"/>
  <c r="E2464" i="1"/>
  <c r="F2464" i="1"/>
  <c r="E2465" i="1"/>
  <c r="F2465" i="1"/>
  <c r="E2466" i="1"/>
  <c r="F2466" i="1"/>
  <c r="E2467" i="1"/>
  <c r="F2467" i="1"/>
  <c r="E2468" i="1"/>
  <c r="F2468" i="1"/>
  <c r="E2469" i="1"/>
  <c r="F2469" i="1"/>
  <c r="E2470" i="1"/>
  <c r="F2470" i="1"/>
  <c r="E2471" i="1"/>
  <c r="F2471" i="1"/>
  <c r="E2472" i="1"/>
  <c r="F2472" i="1"/>
  <c r="E2473" i="1"/>
  <c r="F2473" i="1"/>
  <c r="E2474" i="1"/>
  <c r="F2474" i="1"/>
  <c r="E2475" i="1"/>
  <c r="F2475" i="1"/>
  <c r="E2476" i="1"/>
  <c r="F2476" i="1"/>
  <c r="E2477" i="1"/>
  <c r="F2477" i="1"/>
  <c r="E2478" i="1"/>
  <c r="F2478" i="1"/>
  <c r="E2479" i="1"/>
  <c r="F2479" i="1"/>
  <c r="E2480" i="1"/>
  <c r="F2480" i="1"/>
  <c r="E2481" i="1"/>
  <c r="F2481" i="1"/>
  <c r="E2482" i="1"/>
  <c r="F2482" i="1"/>
  <c r="E2483" i="1"/>
  <c r="F2483" i="1"/>
  <c r="E2484" i="1"/>
  <c r="F2484" i="1"/>
  <c r="E2485" i="1"/>
  <c r="F2485" i="1"/>
  <c r="E2486" i="1"/>
  <c r="F2486" i="1"/>
  <c r="E2487" i="1"/>
  <c r="F2487" i="1"/>
  <c r="E2488" i="1"/>
  <c r="F2488" i="1"/>
  <c r="E2489" i="1"/>
  <c r="F2489" i="1"/>
  <c r="E2490" i="1"/>
  <c r="F2490" i="1"/>
  <c r="E2491" i="1"/>
  <c r="F2491" i="1"/>
  <c r="E2492" i="1"/>
  <c r="F2492" i="1"/>
  <c r="E2493" i="1"/>
  <c r="F2493" i="1"/>
  <c r="E2494" i="1"/>
  <c r="F2494" i="1"/>
  <c r="E2495" i="1"/>
  <c r="F2495" i="1"/>
  <c r="E2496" i="1"/>
  <c r="F2496" i="1"/>
  <c r="E2497" i="1"/>
  <c r="F2497" i="1"/>
  <c r="E2498" i="1"/>
  <c r="F2498" i="1"/>
  <c r="E2499" i="1"/>
  <c r="F2499" i="1"/>
  <c r="E2500" i="1"/>
  <c r="F2500" i="1"/>
  <c r="E2501" i="1"/>
  <c r="F2501" i="1"/>
  <c r="E2502" i="1"/>
  <c r="F2502" i="1"/>
  <c r="E2503" i="1"/>
  <c r="F2503" i="1"/>
  <c r="E2504" i="1"/>
  <c r="F2504" i="1"/>
  <c r="E2505" i="1"/>
  <c r="F2505" i="1"/>
  <c r="E2506" i="1"/>
  <c r="F2506" i="1"/>
  <c r="E2507" i="1"/>
  <c r="F2507" i="1"/>
  <c r="E2508" i="1"/>
  <c r="F2508" i="1"/>
  <c r="E2509" i="1"/>
  <c r="F2509" i="1"/>
  <c r="E2510" i="1"/>
  <c r="F2510" i="1"/>
  <c r="E2511" i="1"/>
  <c r="F2511" i="1"/>
  <c r="E2512" i="1"/>
  <c r="F2512" i="1"/>
  <c r="E2513" i="1"/>
  <c r="F2513" i="1"/>
  <c r="E2514" i="1"/>
  <c r="F2514" i="1"/>
  <c r="E2515" i="1"/>
  <c r="F2515" i="1"/>
  <c r="E2516" i="1"/>
  <c r="F2516" i="1"/>
  <c r="E2517" i="1"/>
  <c r="F2517" i="1"/>
  <c r="E2518" i="1"/>
  <c r="F2518" i="1"/>
  <c r="E2519" i="1"/>
  <c r="F2519" i="1"/>
  <c r="E2520" i="1"/>
  <c r="F2520" i="1"/>
  <c r="E2521" i="1"/>
  <c r="F2521" i="1"/>
  <c r="E2522" i="1"/>
  <c r="F2522" i="1"/>
  <c r="E2523" i="1"/>
  <c r="F2523" i="1"/>
  <c r="E2524" i="1"/>
  <c r="F2524" i="1"/>
  <c r="E2525" i="1"/>
  <c r="F2525" i="1"/>
  <c r="E2526" i="1"/>
  <c r="F2526" i="1"/>
  <c r="E2527" i="1"/>
  <c r="F2527" i="1"/>
  <c r="E2528" i="1"/>
  <c r="F2528" i="1"/>
  <c r="E2529" i="1"/>
  <c r="F2529" i="1"/>
  <c r="E2530" i="1"/>
  <c r="F2530" i="1"/>
  <c r="E2531" i="1"/>
  <c r="F2531" i="1"/>
  <c r="E2532" i="1"/>
  <c r="F2532" i="1"/>
  <c r="E2533" i="1"/>
  <c r="F2533" i="1"/>
  <c r="E2534" i="1"/>
  <c r="F2534" i="1"/>
  <c r="E2535" i="1"/>
  <c r="F2535" i="1"/>
  <c r="E2536" i="1"/>
  <c r="F2536" i="1"/>
  <c r="E2537" i="1"/>
  <c r="F2537" i="1"/>
  <c r="E2538" i="1"/>
  <c r="F2538" i="1"/>
  <c r="E2539" i="1"/>
  <c r="F2539" i="1"/>
  <c r="E2540" i="1"/>
  <c r="F2540" i="1"/>
  <c r="E2541" i="1"/>
  <c r="F2541" i="1"/>
  <c r="E2542" i="1"/>
  <c r="F2542" i="1"/>
  <c r="E2543" i="1"/>
  <c r="F2543" i="1"/>
  <c r="E2544" i="1"/>
  <c r="F2544" i="1"/>
  <c r="E2545" i="1"/>
  <c r="F2545" i="1"/>
  <c r="E2546" i="1"/>
  <c r="F2546" i="1"/>
  <c r="E2547" i="1"/>
  <c r="F2547" i="1"/>
  <c r="E2548" i="1"/>
  <c r="F2548" i="1"/>
  <c r="E2549" i="1"/>
  <c r="F2549" i="1"/>
  <c r="E2550" i="1"/>
  <c r="F2550" i="1"/>
  <c r="E2551" i="1"/>
  <c r="F2551" i="1"/>
  <c r="E2552" i="1"/>
  <c r="F2552" i="1"/>
  <c r="E2553" i="1"/>
  <c r="F2553" i="1"/>
  <c r="E2554" i="1"/>
  <c r="F2554" i="1"/>
  <c r="E2555" i="1"/>
  <c r="F2555" i="1"/>
  <c r="E2556" i="1"/>
  <c r="F2556" i="1"/>
  <c r="E2557" i="1"/>
  <c r="F2557" i="1"/>
  <c r="E2558" i="1"/>
  <c r="F2558" i="1"/>
  <c r="E2559" i="1"/>
  <c r="F2559" i="1"/>
  <c r="E2560" i="1"/>
  <c r="F2560" i="1"/>
  <c r="E2561" i="1"/>
  <c r="F2561" i="1"/>
  <c r="E2562" i="1"/>
  <c r="F2562" i="1"/>
  <c r="E2563" i="1"/>
  <c r="F2563" i="1"/>
  <c r="E2564" i="1"/>
  <c r="F2564" i="1"/>
  <c r="E2565" i="1"/>
  <c r="F2565" i="1"/>
  <c r="E2566" i="1"/>
  <c r="F2566" i="1"/>
  <c r="E2567" i="1"/>
  <c r="F2567" i="1"/>
  <c r="E2568" i="1"/>
  <c r="F2568" i="1"/>
  <c r="E2569" i="1"/>
  <c r="F2569" i="1"/>
  <c r="E2570" i="1"/>
  <c r="F2570" i="1"/>
  <c r="E2571" i="1"/>
  <c r="F2571" i="1"/>
  <c r="E2572" i="1"/>
  <c r="F2572" i="1"/>
  <c r="E2573" i="1"/>
  <c r="F2573" i="1"/>
  <c r="E2574" i="1"/>
  <c r="F2574" i="1"/>
  <c r="E2575" i="1"/>
  <c r="F2575" i="1"/>
  <c r="E2576" i="1"/>
  <c r="F2576" i="1"/>
  <c r="E2577" i="1"/>
  <c r="F2577" i="1"/>
  <c r="E2578" i="1"/>
  <c r="F2578" i="1"/>
  <c r="E2579" i="1"/>
  <c r="F2579" i="1"/>
  <c r="E2580" i="1"/>
  <c r="F2580" i="1"/>
  <c r="E2581" i="1"/>
  <c r="F2581" i="1"/>
  <c r="E2582" i="1"/>
  <c r="F2582" i="1"/>
  <c r="E2583" i="1"/>
  <c r="F2583" i="1"/>
  <c r="E2584" i="1"/>
  <c r="F2584" i="1"/>
  <c r="E2585" i="1"/>
  <c r="F2585" i="1"/>
  <c r="E2586" i="1"/>
  <c r="F2586" i="1"/>
  <c r="E2587" i="1"/>
  <c r="F2587" i="1"/>
  <c r="E2588" i="1"/>
  <c r="F2588" i="1"/>
  <c r="E2589" i="1"/>
  <c r="F2589" i="1"/>
  <c r="E2590" i="1"/>
  <c r="F2590" i="1"/>
  <c r="E2591" i="1"/>
  <c r="F2591" i="1"/>
  <c r="E2592" i="1"/>
  <c r="F2592" i="1"/>
  <c r="E2593" i="1"/>
  <c r="F2593" i="1"/>
  <c r="E2594" i="1"/>
  <c r="F2594" i="1"/>
  <c r="E2595" i="1"/>
  <c r="F2595" i="1"/>
  <c r="E2596" i="1"/>
  <c r="F2596" i="1"/>
  <c r="E2597" i="1"/>
  <c r="F2597" i="1"/>
  <c r="E2598" i="1"/>
  <c r="F2598" i="1"/>
  <c r="E2599" i="1"/>
  <c r="F2599" i="1"/>
  <c r="E2600" i="1"/>
  <c r="F2600" i="1"/>
  <c r="E2601" i="1"/>
  <c r="F2601" i="1"/>
  <c r="E2602" i="1"/>
  <c r="F2602" i="1"/>
  <c r="E2603" i="1"/>
  <c r="F2603" i="1"/>
  <c r="E2604" i="1"/>
  <c r="F2604" i="1"/>
  <c r="E2605" i="1"/>
  <c r="F2605" i="1"/>
  <c r="E2606" i="1"/>
  <c r="F2606" i="1"/>
  <c r="E2607" i="1"/>
  <c r="F2607" i="1"/>
  <c r="E2608" i="1"/>
  <c r="F2608" i="1"/>
  <c r="E2609" i="1"/>
  <c r="F2609" i="1"/>
  <c r="E2610" i="1"/>
  <c r="F2610" i="1"/>
  <c r="E2611" i="1"/>
  <c r="F2611" i="1"/>
  <c r="E2612" i="1"/>
  <c r="F2612" i="1"/>
  <c r="E2613" i="1"/>
  <c r="F2613" i="1"/>
  <c r="E2614" i="1"/>
  <c r="F2614" i="1"/>
  <c r="E2615" i="1"/>
  <c r="F2615" i="1"/>
  <c r="E2616" i="1"/>
  <c r="F2616" i="1"/>
  <c r="E2617" i="1"/>
  <c r="F2617" i="1"/>
  <c r="E2618" i="1"/>
  <c r="F2618" i="1"/>
  <c r="E2619" i="1"/>
  <c r="F2619" i="1"/>
  <c r="E2620" i="1"/>
  <c r="F2620" i="1"/>
  <c r="E2621" i="1"/>
  <c r="F2621" i="1"/>
  <c r="E2622" i="1"/>
  <c r="F2622" i="1"/>
  <c r="E2623" i="1"/>
  <c r="F2623" i="1"/>
  <c r="E2624" i="1"/>
  <c r="F2624" i="1"/>
  <c r="E2625" i="1"/>
  <c r="F2625" i="1"/>
  <c r="E2626" i="1"/>
  <c r="F2626" i="1"/>
  <c r="E2627" i="1"/>
  <c r="F2627" i="1"/>
  <c r="E2628" i="1"/>
  <c r="F2628" i="1"/>
  <c r="E2629" i="1"/>
  <c r="F2629" i="1"/>
  <c r="E2630" i="1"/>
  <c r="F2630" i="1"/>
  <c r="E2631" i="1"/>
  <c r="F2631" i="1"/>
  <c r="E2632" i="1"/>
  <c r="F2632" i="1"/>
  <c r="E2633" i="1"/>
  <c r="F2633" i="1"/>
  <c r="E2634" i="1"/>
  <c r="F2634" i="1"/>
  <c r="E2635" i="1"/>
  <c r="F2635" i="1"/>
  <c r="E2636" i="1"/>
  <c r="F2636" i="1"/>
  <c r="E2637" i="1"/>
  <c r="F2637" i="1"/>
  <c r="E2638" i="1"/>
  <c r="F2638" i="1"/>
  <c r="E2639" i="1"/>
  <c r="F2639" i="1"/>
  <c r="E2640" i="1"/>
  <c r="F2640" i="1"/>
  <c r="E2641" i="1"/>
  <c r="F2641" i="1"/>
  <c r="E2642" i="1"/>
  <c r="F2642" i="1"/>
  <c r="E2643" i="1"/>
  <c r="F2643" i="1"/>
  <c r="E2644" i="1"/>
  <c r="F2644" i="1"/>
  <c r="E2645" i="1"/>
  <c r="F2645" i="1"/>
  <c r="E2646" i="1"/>
  <c r="F2646" i="1"/>
  <c r="E2647" i="1"/>
  <c r="F2647" i="1"/>
  <c r="E2648" i="1"/>
  <c r="F2648" i="1"/>
  <c r="E2649" i="1"/>
  <c r="F2649" i="1"/>
  <c r="E2650" i="1"/>
  <c r="F2650" i="1"/>
  <c r="E2651" i="1"/>
  <c r="F2651" i="1"/>
  <c r="E2652" i="1"/>
  <c r="F2652" i="1"/>
  <c r="E2653" i="1"/>
  <c r="F2653" i="1"/>
  <c r="E2654" i="1"/>
  <c r="F2654" i="1"/>
  <c r="E2655" i="1"/>
  <c r="F2655" i="1"/>
  <c r="E2656" i="1"/>
  <c r="F2656" i="1"/>
  <c r="E2657" i="1"/>
  <c r="F2657" i="1"/>
  <c r="E2658" i="1"/>
  <c r="F2658" i="1"/>
  <c r="E2659" i="1"/>
  <c r="F2659" i="1"/>
  <c r="E2660" i="1"/>
  <c r="F2660" i="1"/>
  <c r="E2661" i="1"/>
  <c r="F2661" i="1"/>
  <c r="E2662" i="1"/>
  <c r="F2662" i="1"/>
  <c r="E2663" i="1"/>
  <c r="F2663" i="1"/>
  <c r="E2664" i="1"/>
  <c r="F2664" i="1"/>
  <c r="E2665" i="1"/>
  <c r="F2665" i="1"/>
  <c r="E2666" i="1"/>
  <c r="F2666" i="1"/>
  <c r="E2667" i="1"/>
  <c r="F2667" i="1"/>
  <c r="E2668" i="1"/>
  <c r="F2668" i="1"/>
  <c r="E2669" i="1"/>
  <c r="F2669" i="1"/>
  <c r="E2670" i="1"/>
  <c r="F2670" i="1"/>
  <c r="E2671" i="1"/>
  <c r="F2671" i="1"/>
  <c r="E2672" i="1"/>
  <c r="F2672" i="1"/>
  <c r="E2673" i="1"/>
  <c r="F2673" i="1"/>
  <c r="E2674" i="1"/>
  <c r="F2674" i="1"/>
  <c r="E2675" i="1"/>
  <c r="F2675" i="1"/>
  <c r="E2676" i="1"/>
  <c r="F2676" i="1"/>
  <c r="E2677" i="1"/>
  <c r="F2677" i="1"/>
  <c r="E2678" i="1"/>
  <c r="F2678" i="1"/>
  <c r="E2679" i="1"/>
  <c r="F2679" i="1"/>
  <c r="E2680" i="1"/>
  <c r="F2680" i="1"/>
  <c r="E2681" i="1"/>
  <c r="F2681" i="1"/>
  <c r="E2682" i="1"/>
  <c r="F2682" i="1"/>
  <c r="E2683" i="1"/>
  <c r="F2683" i="1"/>
  <c r="E2684" i="1"/>
  <c r="F2684" i="1"/>
  <c r="E2685" i="1"/>
  <c r="F2685" i="1"/>
  <c r="E2686" i="1"/>
  <c r="F2686" i="1"/>
  <c r="E2687" i="1"/>
  <c r="F2687" i="1"/>
  <c r="E2688" i="1"/>
  <c r="F2688" i="1"/>
  <c r="E2689" i="1"/>
  <c r="F2689" i="1"/>
  <c r="E2690" i="1"/>
  <c r="F2690" i="1"/>
  <c r="E2691" i="1"/>
  <c r="F2691" i="1"/>
  <c r="E2692" i="1"/>
  <c r="F2692" i="1"/>
  <c r="E2693" i="1"/>
  <c r="F2693" i="1"/>
  <c r="E2694" i="1"/>
  <c r="F2694" i="1"/>
  <c r="E2695" i="1"/>
  <c r="F2695" i="1"/>
  <c r="E2696" i="1"/>
  <c r="F2696" i="1"/>
  <c r="E2697" i="1"/>
  <c r="F2697" i="1"/>
  <c r="E2698" i="1"/>
  <c r="F2698" i="1"/>
  <c r="E2699" i="1"/>
  <c r="F2699" i="1"/>
  <c r="E2700" i="1"/>
  <c r="F2700" i="1"/>
  <c r="E2701" i="1"/>
  <c r="F2701" i="1"/>
  <c r="E2702" i="1"/>
  <c r="F2702" i="1"/>
  <c r="E2703" i="1"/>
  <c r="F2703" i="1"/>
  <c r="E2704" i="1"/>
  <c r="F2704" i="1"/>
  <c r="E2705" i="1"/>
  <c r="F2705" i="1"/>
  <c r="E2706" i="1"/>
  <c r="F2706" i="1"/>
  <c r="E2707" i="1"/>
  <c r="F2707" i="1"/>
  <c r="E2708" i="1"/>
  <c r="F2708" i="1"/>
  <c r="E2709" i="1"/>
  <c r="F2709" i="1"/>
  <c r="E2710" i="1"/>
  <c r="F2710" i="1"/>
  <c r="E2711" i="1"/>
  <c r="F2711" i="1"/>
  <c r="E2712" i="1"/>
  <c r="F2712" i="1"/>
  <c r="E2713" i="1"/>
  <c r="F2713" i="1"/>
  <c r="E2714" i="1"/>
  <c r="F2714" i="1"/>
  <c r="E2715" i="1"/>
  <c r="F2715" i="1"/>
  <c r="E2716" i="1"/>
  <c r="F2716" i="1"/>
  <c r="E2717" i="1"/>
  <c r="F2717" i="1"/>
  <c r="E2718" i="1"/>
  <c r="F2718" i="1"/>
  <c r="E2719" i="1"/>
  <c r="F2719" i="1"/>
  <c r="E2720" i="1"/>
  <c r="F2720" i="1"/>
  <c r="E2721" i="1"/>
  <c r="F2721" i="1"/>
  <c r="E2722" i="1"/>
  <c r="F2722" i="1"/>
  <c r="E2723" i="1"/>
  <c r="F2723" i="1"/>
  <c r="E2724" i="1"/>
  <c r="F2724" i="1"/>
  <c r="E2725" i="1"/>
  <c r="F2725" i="1"/>
  <c r="E2726" i="1"/>
  <c r="F2726" i="1"/>
  <c r="E2727" i="1"/>
  <c r="F2727" i="1"/>
  <c r="E2728" i="1"/>
  <c r="F2728" i="1"/>
  <c r="E2729" i="1"/>
  <c r="F2729" i="1"/>
  <c r="E2730" i="1"/>
  <c r="F2730" i="1"/>
  <c r="E2731" i="1"/>
  <c r="F2731" i="1"/>
  <c r="E2732" i="1"/>
  <c r="F2732" i="1"/>
  <c r="E2733" i="1"/>
  <c r="F2733" i="1"/>
  <c r="E2734" i="1"/>
  <c r="F2734" i="1"/>
  <c r="E2735" i="1"/>
  <c r="F2735" i="1"/>
  <c r="E2736" i="1"/>
  <c r="F2736" i="1"/>
  <c r="E2737" i="1"/>
  <c r="F2737" i="1"/>
  <c r="E2738" i="1"/>
  <c r="F2738" i="1"/>
  <c r="E2739" i="1"/>
  <c r="F2739" i="1"/>
  <c r="E2740" i="1"/>
  <c r="F2740" i="1"/>
  <c r="E2741" i="1"/>
  <c r="F2741" i="1"/>
  <c r="E2742" i="1"/>
  <c r="F2742" i="1"/>
  <c r="E2743" i="1"/>
  <c r="F2743" i="1"/>
  <c r="E2744" i="1"/>
  <c r="F2744" i="1"/>
  <c r="E2745" i="1"/>
  <c r="F2745" i="1"/>
  <c r="E2746" i="1"/>
  <c r="F2746" i="1"/>
  <c r="E2747" i="1"/>
  <c r="F2747" i="1"/>
  <c r="E2748" i="1"/>
  <c r="F2748" i="1"/>
  <c r="E2749" i="1"/>
  <c r="F2749" i="1"/>
  <c r="E2750" i="1"/>
  <c r="F2750" i="1"/>
  <c r="E2751" i="1"/>
  <c r="F2751" i="1"/>
  <c r="E2752" i="1"/>
  <c r="F2752" i="1"/>
  <c r="E2753" i="1"/>
  <c r="F2753" i="1"/>
  <c r="E2754" i="1"/>
  <c r="F2754" i="1"/>
  <c r="E2755" i="1"/>
  <c r="F2755" i="1"/>
  <c r="E2756" i="1"/>
  <c r="F2756" i="1"/>
  <c r="E2757" i="1"/>
  <c r="F2757" i="1"/>
  <c r="E2758" i="1"/>
  <c r="F2758" i="1"/>
  <c r="E2759" i="1"/>
  <c r="F2759" i="1"/>
  <c r="E2760" i="1"/>
  <c r="F2760" i="1"/>
  <c r="E2761" i="1"/>
  <c r="F2761" i="1"/>
  <c r="E2762" i="1"/>
  <c r="F2762" i="1"/>
  <c r="E2763" i="1"/>
  <c r="F2763" i="1"/>
  <c r="E2764" i="1"/>
  <c r="F2764" i="1"/>
  <c r="E2765" i="1"/>
  <c r="F2765" i="1"/>
  <c r="E2766" i="1"/>
  <c r="F2766" i="1"/>
  <c r="E2767" i="1"/>
  <c r="F2767" i="1"/>
  <c r="E2768" i="1"/>
  <c r="F2768" i="1"/>
  <c r="E2769" i="1"/>
  <c r="F2769" i="1"/>
  <c r="E2770" i="1"/>
  <c r="F2770" i="1"/>
  <c r="E2771" i="1"/>
  <c r="F2771" i="1"/>
  <c r="E2772" i="1"/>
  <c r="F2772" i="1"/>
  <c r="E2773" i="1"/>
  <c r="F2773" i="1"/>
  <c r="E2774" i="1"/>
  <c r="F2774" i="1"/>
  <c r="E2775" i="1"/>
  <c r="F2775" i="1"/>
  <c r="E2776" i="1"/>
  <c r="F2776" i="1"/>
  <c r="E2777" i="1"/>
  <c r="F2777" i="1"/>
  <c r="E2778" i="1"/>
  <c r="F2778" i="1"/>
  <c r="E2779" i="1"/>
  <c r="F2779" i="1"/>
  <c r="E2780" i="1"/>
  <c r="F2780" i="1"/>
  <c r="E2781" i="1"/>
  <c r="F2781" i="1"/>
  <c r="E2782" i="1"/>
  <c r="F2782" i="1"/>
  <c r="E2783" i="1"/>
  <c r="F2783" i="1"/>
  <c r="E2784" i="1"/>
  <c r="F2784" i="1"/>
  <c r="E2785" i="1"/>
  <c r="F2785" i="1"/>
  <c r="E2786" i="1"/>
  <c r="F2786" i="1"/>
  <c r="E2787" i="1"/>
  <c r="F2787" i="1"/>
  <c r="E2788" i="1"/>
  <c r="F2788" i="1"/>
  <c r="E2789" i="1"/>
  <c r="F2789" i="1"/>
  <c r="E2790" i="1"/>
  <c r="F2790" i="1"/>
  <c r="E2791" i="1"/>
  <c r="F2791" i="1"/>
  <c r="E2792" i="1"/>
  <c r="F2792" i="1"/>
  <c r="E2793" i="1"/>
  <c r="F2793" i="1"/>
  <c r="E2794" i="1"/>
  <c r="F2794" i="1"/>
  <c r="E2795" i="1"/>
  <c r="F2795" i="1"/>
  <c r="E2796" i="1"/>
  <c r="F2796" i="1"/>
  <c r="E2797" i="1"/>
  <c r="F2797" i="1"/>
  <c r="E2798" i="1"/>
  <c r="F2798" i="1"/>
  <c r="E2799" i="1"/>
  <c r="F2799" i="1"/>
  <c r="E2800" i="1"/>
  <c r="F2800" i="1"/>
  <c r="E2801" i="1"/>
  <c r="F2801" i="1"/>
  <c r="E2802" i="1"/>
  <c r="F2802" i="1"/>
  <c r="E2803" i="1"/>
  <c r="F2803" i="1"/>
  <c r="E2804" i="1"/>
  <c r="F2804" i="1"/>
  <c r="E2805" i="1"/>
  <c r="F2805" i="1"/>
  <c r="E2806" i="1"/>
  <c r="F2806" i="1"/>
  <c r="E2807" i="1"/>
  <c r="F2807" i="1"/>
  <c r="E2808" i="1"/>
  <c r="F2808" i="1"/>
  <c r="E2809" i="1"/>
  <c r="F2809" i="1"/>
  <c r="E2810" i="1"/>
  <c r="F2810" i="1"/>
  <c r="E2811" i="1"/>
  <c r="F2811" i="1"/>
  <c r="E2812" i="1"/>
  <c r="F2812" i="1"/>
  <c r="E2813" i="1"/>
  <c r="F2813" i="1"/>
  <c r="E2814" i="1"/>
  <c r="F2814" i="1"/>
  <c r="E2815" i="1"/>
  <c r="F2815" i="1"/>
  <c r="E2816" i="1"/>
  <c r="F2816" i="1"/>
  <c r="E2817" i="1"/>
  <c r="F2817" i="1"/>
  <c r="E2818" i="1"/>
  <c r="F2818" i="1"/>
  <c r="E2819" i="1"/>
  <c r="F2819" i="1"/>
  <c r="E2820" i="1"/>
  <c r="F2820" i="1"/>
  <c r="E2821" i="1"/>
  <c r="F2821" i="1"/>
  <c r="E2822" i="1"/>
  <c r="F2822" i="1"/>
  <c r="E2823" i="1"/>
  <c r="F2823" i="1"/>
  <c r="E2824" i="1"/>
  <c r="F2824" i="1"/>
  <c r="E2825" i="1"/>
  <c r="F2825" i="1"/>
  <c r="E2826" i="1"/>
  <c r="F2826" i="1"/>
  <c r="E2827" i="1"/>
  <c r="F2827" i="1"/>
  <c r="E2828" i="1"/>
  <c r="F2828" i="1"/>
  <c r="E2829" i="1"/>
  <c r="F2829" i="1"/>
  <c r="E2830" i="1"/>
  <c r="F2830" i="1"/>
  <c r="E2831" i="1"/>
  <c r="F2831" i="1"/>
  <c r="E2832" i="1"/>
  <c r="F2832" i="1"/>
  <c r="E2833" i="1"/>
  <c r="F2833" i="1"/>
  <c r="E2834" i="1"/>
  <c r="F2834" i="1"/>
  <c r="E2835" i="1"/>
  <c r="F2835" i="1"/>
  <c r="E2836" i="1"/>
  <c r="F2836" i="1"/>
  <c r="E2837" i="1"/>
  <c r="F2837" i="1"/>
  <c r="E2838" i="1"/>
  <c r="F2838" i="1"/>
  <c r="E2839" i="1"/>
  <c r="F2839" i="1"/>
  <c r="E2840" i="1"/>
  <c r="F2840" i="1"/>
  <c r="E2841" i="1"/>
  <c r="F2841" i="1"/>
  <c r="E2842" i="1"/>
  <c r="F2842" i="1"/>
  <c r="E2843" i="1"/>
  <c r="F2843" i="1"/>
  <c r="E2844" i="1"/>
  <c r="F2844" i="1"/>
  <c r="E2845" i="1"/>
  <c r="F2845" i="1"/>
  <c r="E2846" i="1"/>
  <c r="F2846" i="1"/>
  <c r="E2847" i="1"/>
  <c r="F2847" i="1"/>
  <c r="E2848" i="1"/>
  <c r="F2848" i="1"/>
  <c r="E2849" i="1"/>
  <c r="F2849" i="1"/>
  <c r="E2850" i="1"/>
  <c r="F2850" i="1"/>
  <c r="E2851" i="1"/>
  <c r="F2851" i="1"/>
  <c r="E2852" i="1"/>
  <c r="F2852" i="1"/>
  <c r="E2853" i="1"/>
  <c r="F2853" i="1"/>
  <c r="E2854" i="1"/>
  <c r="F2854" i="1"/>
  <c r="E2855" i="1"/>
  <c r="F2855" i="1"/>
  <c r="E2856" i="1"/>
  <c r="F2856" i="1"/>
  <c r="E2857" i="1"/>
  <c r="F2857" i="1"/>
  <c r="E2858" i="1"/>
  <c r="F2858" i="1"/>
  <c r="E2859" i="1"/>
  <c r="F2859" i="1"/>
  <c r="E2860" i="1"/>
  <c r="F2860" i="1"/>
  <c r="E2861" i="1"/>
  <c r="F2861" i="1"/>
  <c r="E2862" i="1"/>
  <c r="F2862" i="1"/>
  <c r="E2863" i="1"/>
  <c r="F2863" i="1"/>
  <c r="E2864" i="1"/>
  <c r="F2864" i="1"/>
  <c r="E2865" i="1"/>
  <c r="F2865" i="1"/>
  <c r="E2866" i="1"/>
  <c r="F2866" i="1"/>
  <c r="E2867" i="1"/>
  <c r="F2867" i="1"/>
  <c r="E2868" i="1"/>
  <c r="F2868" i="1"/>
  <c r="E2869" i="1"/>
  <c r="F2869" i="1"/>
  <c r="E2870" i="1"/>
  <c r="F2870" i="1"/>
  <c r="E2871" i="1"/>
  <c r="F2871" i="1"/>
  <c r="E2872" i="1"/>
  <c r="F2872" i="1"/>
  <c r="E2873" i="1"/>
  <c r="F2873" i="1"/>
  <c r="E2874" i="1"/>
  <c r="F2874" i="1"/>
  <c r="E2875" i="1"/>
  <c r="F2875" i="1"/>
  <c r="E2876" i="1"/>
  <c r="F2876" i="1"/>
  <c r="E2877" i="1"/>
  <c r="F2877" i="1"/>
  <c r="E2878" i="1"/>
  <c r="F2878" i="1"/>
  <c r="E2879" i="1"/>
  <c r="F2879" i="1"/>
  <c r="E2880" i="1"/>
  <c r="F2880" i="1"/>
  <c r="E2881" i="1"/>
  <c r="F2881" i="1"/>
  <c r="E2882" i="1"/>
  <c r="F2882" i="1"/>
  <c r="E2883" i="1"/>
  <c r="F2883" i="1"/>
  <c r="E2884" i="1"/>
  <c r="F2884" i="1"/>
  <c r="E2885" i="1"/>
  <c r="F2885" i="1"/>
  <c r="E2886" i="1"/>
  <c r="F2886" i="1"/>
  <c r="E2887" i="1"/>
  <c r="F2887" i="1"/>
  <c r="E2888" i="1"/>
  <c r="F2888" i="1"/>
  <c r="E2889" i="1"/>
  <c r="F2889" i="1"/>
  <c r="E2890" i="1"/>
  <c r="F2890" i="1"/>
  <c r="E2891" i="1"/>
  <c r="F2891" i="1"/>
  <c r="E2892" i="1"/>
  <c r="F2892" i="1"/>
  <c r="E2893" i="1"/>
  <c r="F2893" i="1"/>
  <c r="E2894" i="1"/>
  <c r="F2894" i="1"/>
  <c r="E2895" i="1"/>
  <c r="F2895" i="1"/>
  <c r="E2896" i="1"/>
  <c r="F2896" i="1"/>
  <c r="E2897" i="1"/>
  <c r="F2897" i="1"/>
  <c r="E2898" i="1"/>
  <c r="F2898" i="1"/>
  <c r="E2899" i="1"/>
  <c r="F2899" i="1"/>
  <c r="E2900" i="1"/>
  <c r="F2900" i="1"/>
  <c r="E2901" i="1"/>
  <c r="F2901" i="1"/>
  <c r="E2902" i="1"/>
  <c r="F2902" i="1"/>
  <c r="E2903" i="1"/>
  <c r="F2903" i="1"/>
  <c r="E2904" i="1"/>
  <c r="F2904" i="1"/>
  <c r="E2905" i="1"/>
  <c r="F2905" i="1"/>
  <c r="E2906" i="1"/>
  <c r="F2906" i="1"/>
  <c r="E2907" i="1"/>
  <c r="F2907" i="1"/>
  <c r="E2908" i="1"/>
  <c r="F2908" i="1"/>
  <c r="E2909" i="1"/>
  <c r="F2909" i="1"/>
  <c r="E2910" i="1"/>
  <c r="F2910" i="1"/>
  <c r="E2911" i="1"/>
  <c r="F2911" i="1"/>
  <c r="E2912" i="1"/>
  <c r="F2912" i="1"/>
  <c r="E2913" i="1"/>
  <c r="F2913" i="1"/>
  <c r="E2914" i="1"/>
  <c r="F2914" i="1"/>
  <c r="E2915" i="1"/>
  <c r="F2915" i="1"/>
  <c r="E2916" i="1"/>
  <c r="F2916" i="1"/>
  <c r="E2917" i="1"/>
  <c r="F2917" i="1"/>
  <c r="E2918" i="1"/>
  <c r="F2918" i="1"/>
  <c r="E2919" i="1"/>
  <c r="F2919" i="1"/>
  <c r="E2920" i="1"/>
  <c r="F2920" i="1"/>
  <c r="E2921" i="1"/>
  <c r="F2921" i="1"/>
  <c r="E2922" i="1"/>
  <c r="F2922" i="1"/>
  <c r="E2923" i="1"/>
  <c r="F2923" i="1"/>
  <c r="E2924" i="1"/>
  <c r="F2924" i="1"/>
  <c r="E2925" i="1"/>
  <c r="F2925" i="1"/>
  <c r="E2926" i="1"/>
  <c r="F2926" i="1"/>
  <c r="E2927" i="1"/>
  <c r="F2927" i="1"/>
  <c r="E2928" i="1"/>
  <c r="F2928" i="1"/>
  <c r="E2929" i="1"/>
  <c r="F2929" i="1"/>
  <c r="E2930" i="1"/>
  <c r="F2930" i="1"/>
  <c r="E2931" i="1"/>
  <c r="F2931" i="1"/>
  <c r="E2932" i="1"/>
  <c r="F2932" i="1"/>
  <c r="E2933" i="1"/>
  <c r="F2933" i="1"/>
  <c r="E2934" i="1"/>
  <c r="F2934" i="1"/>
  <c r="E2935" i="1"/>
  <c r="F2935" i="1"/>
  <c r="E2936" i="1"/>
  <c r="F2936" i="1"/>
  <c r="E2937" i="1"/>
  <c r="F2937" i="1"/>
  <c r="E2938" i="1"/>
  <c r="F2938" i="1"/>
  <c r="E2939" i="1"/>
  <c r="F2939" i="1"/>
  <c r="E2940" i="1"/>
  <c r="F2940" i="1"/>
  <c r="E2941" i="1"/>
  <c r="F2941" i="1"/>
  <c r="E2942" i="1"/>
  <c r="F2942" i="1"/>
  <c r="E2943" i="1"/>
  <c r="F2943" i="1"/>
  <c r="E2944" i="1"/>
  <c r="F2944" i="1"/>
  <c r="E2945" i="1"/>
  <c r="F2945" i="1"/>
  <c r="E2946" i="1"/>
  <c r="F2946" i="1"/>
  <c r="E2947" i="1"/>
  <c r="F2947" i="1"/>
  <c r="E2948" i="1"/>
  <c r="F2948" i="1"/>
  <c r="E2949" i="1"/>
  <c r="F2949" i="1"/>
  <c r="E2950" i="1"/>
  <c r="F2950" i="1"/>
  <c r="E2951" i="1"/>
  <c r="F2951" i="1"/>
  <c r="E2952" i="1"/>
  <c r="F2952" i="1"/>
  <c r="E2953" i="1"/>
  <c r="F2953" i="1"/>
  <c r="E2954" i="1"/>
  <c r="F2954" i="1"/>
  <c r="E2955" i="1"/>
  <c r="F2955" i="1"/>
  <c r="E2956" i="1"/>
  <c r="F2956" i="1"/>
  <c r="E2957" i="1"/>
  <c r="F2957" i="1"/>
  <c r="E2958" i="1"/>
  <c r="F2958" i="1"/>
  <c r="E2959" i="1"/>
  <c r="F2959" i="1"/>
  <c r="E2960" i="1"/>
  <c r="F2960" i="1"/>
  <c r="E2961" i="1"/>
  <c r="F2961" i="1"/>
  <c r="E2962" i="1"/>
  <c r="F2962" i="1"/>
  <c r="E2963" i="1"/>
  <c r="F2963" i="1"/>
  <c r="E2964" i="1"/>
  <c r="F2964" i="1"/>
  <c r="E2965" i="1"/>
  <c r="F2965" i="1"/>
  <c r="E2966" i="1"/>
  <c r="F2966" i="1"/>
  <c r="E2967" i="1"/>
  <c r="F2967" i="1"/>
  <c r="E2968" i="1"/>
  <c r="F2968" i="1"/>
  <c r="E2969" i="1"/>
  <c r="F2969" i="1"/>
  <c r="E2970" i="1"/>
  <c r="F2970" i="1"/>
  <c r="E2971" i="1"/>
  <c r="F2971" i="1"/>
  <c r="E2972" i="1"/>
  <c r="F2972" i="1"/>
  <c r="E2973" i="1"/>
  <c r="F2973" i="1"/>
  <c r="E2974" i="1"/>
  <c r="F2974" i="1"/>
  <c r="E2975" i="1"/>
  <c r="F2975" i="1"/>
  <c r="E2976" i="1"/>
  <c r="F2976" i="1"/>
  <c r="E2977" i="1"/>
  <c r="F2977" i="1"/>
  <c r="E2978" i="1"/>
  <c r="F2978" i="1"/>
  <c r="E2979" i="1"/>
  <c r="F2979" i="1"/>
  <c r="E2980" i="1"/>
  <c r="F2980" i="1"/>
  <c r="E2981" i="1"/>
  <c r="F2981" i="1"/>
  <c r="E2982" i="1"/>
  <c r="F2982" i="1"/>
  <c r="E2983" i="1"/>
  <c r="F2983" i="1"/>
  <c r="E2984" i="1"/>
  <c r="F2984" i="1"/>
  <c r="E2985" i="1"/>
  <c r="F2985" i="1"/>
  <c r="E2986" i="1"/>
  <c r="F2986" i="1"/>
  <c r="E2987" i="1"/>
  <c r="F2987" i="1"/>
  <c r="E2988" i="1"/>
  <c r="F2988" i="1"/>
  <c r="E2989" i="1"/>
  <c r="F2989" i="1"/>
  <c r="E2990" i="1"/>
  <c r="F2990" i="1"/>
  <c r="E2991" i="1"/>
  <c r="F2991" i="1"/>
  <c r="E2992" i="1"/>
  <c r="F2992" i="1"/>
  <c r="E2993" i="1"/>
  <c r="F2993" i="1"/>
  <c r="E2994" i="1"/>
  <c r="F2994" i="1"/>
  <c r="E2995" i="1"/>
  <c r="F2995" i="1"/>
  <c r="E2996" i="1"/>
  <c r="F2996" i="1"/>
  <c r="E2997" i="1"/>
  <c r="F2997" i="1"/>
  <c r="E2998" i="1"/>
  <c r="F2998" i="1"/>
  <c r="E2999" i="1"/>
  <c r="F2999" i="1"/>
  <c r="E3000" i="1"/>
  <c r="F3000" i="1"/>
  <c r="E3001" i="1"/>
  <c r="F3001" i="1"/>
  <c r="E3002" i="1"/>
  <c r="F3002" i="1"/>
  <c r="E3003" i="1"/>
  <c r="F3003" i="1"/>
  <c r="E3004" i="1"/>
  <c r="F3004" i="1"/>
  <c r="E3005" i="1"/>
  <c r="F3005" i="1"/>
  <c r="E3006" i="1"/>
  <c r="F3006" i="1"/>
  <c r="E3007" i="1"/>
  <c r="F3007" i="1"/>
  <c r="E3008" i="1"/>
  <c r="F3008" i="1"/>
  <c r="E3009" i="1"/>
  <c r="F3009" i="1"/>
  <c r="E3010" i="1"/>
  <c r="F3010" i="1"/>
  <c r="E3011" i="1"/>
  <c r="F3011" i="1"/>
  <c r="E3012" i="1"/>
  <c r="F3012" i="1"/>
  <c r="E3013" i="1"/>
  <c r="F3013" i="1"/>
  <c r="E3014" i="1"/>
  <c r="F3014" i="1"/>
  <c r="E3015" i="1"/>
  <c r="F3015" i="1"/>
  <c r="E3016" i="1"/>
  <c r="F3016" i="1"/>
  <c r="E3017" i="1"/>
  <c r="F3017" i="1"/>
  <c r="E3018" i="1"/>
  <c r="F3018" i="1"/>
  <c r="E3019" i="1"/>
  <c r="F3019" i="1"/>
  <c r="E3020" i="1"/>
  <c r="F3020" i="1"/>
  <c r="E3021" i="1"/>
  <c r="F3021" i="1"/>
  <c r="E3022" i="1"/>
  <c r="F3022" i="1"/>
  <c r="E3023" i="1"/>
  <c r="F3023" i="1"/>
  <c r="E3024" i="1"/>
  <c r="F3024" i="1"/>
  <c r="E3025" i="1"/>
  <c r="F3025" i="1"/>
  <c r="E3026" i="1"/>
  <c r="F3026" i="1"/>
  <c r="E3027" i="1"/>
  <c r="F3027" i="1"/>
  <c r="E3028" i="1"/>
  <c r="F3028" i="1"/>
  <c r="E3029" i="1"/>
  <c r="F3029" i="1"/>
  <c r="E3030" i="1"/>
  <c r="F3030" i="1"/>
  <c r="E3031" i="1"/>
  <c r="F3031" i="1"/>
  <c r="E3032" i="1"/>
  <c r="F3032" i="1"/>
  <c r="E3033" i="1"/>
  <c r="F3033" i="1"/>
  <c r="E3034" i="1"/>
  <c r="F3034" i="1"/>
  <c r="E3035" i="1"/>
  <c r="F3035" i="1"/>
  <c r="E3036" i="1"/>
  <c r="F3036" i="1"/>
  <c r="E3037" i="1"/>
  <c r="F3037" i="1"/>
  <c r="E3038" i="1"/>
  <c r="F3038" i="1"/>
  <c r="E3039" i="1"/>
  <c r="F3039" i="1"/>
  <c r="E3040" i="1"/>
  <c r="F3040" i="1"/>
  <c r="E3041" i="1"/>
  <c r="F3041" i="1"/>
  <c r="E3042" i="1"/>
  <c r="F3042" i="1"/>
  <c r="E3043" i="1"/>
  <c r="F3043" i="1"/>
  <c r="E3044" i="1"/>
  <c r="F3044" i="1"/>
  <c r="E3045" i="1"/>
  <c r="F3045" i="1"/>
  <c r="E3046" i="1"/>
  <c r="F3046" i="1"/>
  <c r="E3047" i="1"/>
  <c r="F3047" i="1"/>
  <c r="E3048" i="1"/>
  <c r="F3048" i="1"/>
  <c r="E3049" i="1"/>
  <c r="F3049" i="1"/>
  <c r="E3050" i="1"/>
  <c r="F3050" i="1"/>
  <c r="E3051" i="1"/>
  <c r="F3051" i="1"/>
  <c r="E3052" i="1"/>
  <c r="F3052" i="1"/>
  <c r="E3053" i="1"/>
  <c r="F3053" i="1"/>
  <c r="E3054" i="1"/>
  <c r="F3054" i="1"/>
  <c r="E3055" i="1"/>
  <c r="F3055" i="1"/>
  <c r="E3056" i="1"/>
  <c r="F3056" i="1"/>
  <c r="E3057" i="1"/>
  <c r="F3057" i="1"/>
  <c r="E3058" i="1"/>
  <c r="F3058" i="1"/>
  <c r="E3059" i="1"/>
  <c r="F3059" i="1"/>
  <c r="E3060" i="1"/>
  <c r="F3060" i="1"/>
  <c r="E3061" i="1"/>
  <c r="F3061" i="1"/>
  <c r="E3062" i="1"/>
  <c r="F3062" i="1"/>
  <c r="E3063" i="1"/>
  <c r="F3063" i="1"/>
  <c r="E3064" i="1"/>
  <c r="F3064" i="1"/>
  <c r="E3065" i="1"/>
  <c r="F3065" i="1"/>
  <c r="E3066" i="1"/>
  <c r="F3066" i="1"/>
  <c r="E3067" i="1"/>
  <c r="F3067" i="1"/>
  <c r="E3068" i="1"/>
  <c r="F3068" i="1"/>
  <c r="E3069" i="1"/>
  <c r="F3069" i="1"/>
  <c r="E3070" i="1"/>
  <c r="F3070" i="1"/>
  <c r="E3071" i="1"/>
  <c r="F3071" i="1"/>
  <c r="E3072" i="1"/>
  <c r="F3072" i="1"/>
  <c r="E3073" i="1"/>
  <c r="F3073" i="1"/>
  <c r="E3074" i="1"/>
  <c r="F3074" i="1"/>
  <c r="E3075" i="1"/>
  <c r="F3075" i="1"/>
  <c r="E3076" i="1"/>
  <c r="F3076" i="1"/>
  <c r="E3077" i="1"/>
  <c r="F3077" i="1"/>
  <c r="E3078" i="1"/>
  <c r="F3078" i="1"/>
  <c r="E3079" i="1"/>
  <c r="F3079" i="1"/>
  <c r="E3080" i="1"/>
  <c r="F3080" i="1"/>
  <c r="E3081" i="1"/>
  <c r="F3081" i="1"/>
  <c r="E3082" i="1"/>
  <c r="F3082" i="1"/>
  <c r="E3083" i="1"/>
  <c r="F3083" i="1"/>
  <c r="E3084" i="1"/>
  <c r="F3084" i="1"/>
  <c r="E3085" i="1"/>
  <c r="F3085" i="1"/>
  <c r="E3086" i="1"/>
  <c r="F3086" i="1"/>
  <c r="E3087" i="1"/>
  <c r="F3087" i="1"/>
  <c r="E3088" i="1"/>
  <c r="F3088" i="1"/>
  <c r="E3089" i="1"/>
  <c r="F3089" i="1"/>
  <c r="E3090" i="1"/>
  <c r="F3090" i="1"/>
  <c r="E3091" i="1"/>
  <c r="F3091" i="1"/>
  <c r="E3092" i="1"/>
  <c r="F3092" i="1"/>
  <c r="E3093" i="1"/>
  <c r="F3093" i="1"/>
  <c r="E3094" i="1"/>
  <c r="F3094" i="1"/>
  <c r="E3095" i="1"/>
  <c r="F3095" i="1"/>
  <c r="E3096" i="1"/>
  <c r="F3096" i="1"/>
  <c r="E3097" i="1"/>
  <c r="F3097" i="1"/>
  <c r="E3098" i="1"/>
  <c r="F3098" i="1"/>
  <c r="E3099" i="1"/>
  <c r="F3099" i="1"/>
  <c r="E3100" i="1"/>
  <c r="F3100" i="1"/>
  <c r="E3101" i="1"/>
  <c r="F3101" i="1"/>
  <c r="E3102" i="1"/>
  <c r="F3102" i="1"/>
  <c r="E3103" i="1"/>
  <c r="F3103" i="1"/>
  <c r="E3104" i="1"/>
  <c r="F3104" i="1"/>
  <c r="E3105" i="1"/>
  <c r="F3105" i="1"/>
  <c r="E3106" i="1"/>
  <c r="F3106" i="1"/>
  <c r="E3107" i="1"/>
  <c r="F3107" i="1"/>
  <c r="E3108" i="1"/>
  <c r="F3108" i="1"/>
  <c r="E3109" i="1"/>
  <c r="F3109" i="1"/>
  <c r="E3110" i="1"/>
  <c r="F3110" i="1"/>
  <c r="E3111" i="1"/>
  <c r="F3111" i="1"/>
  <c r="E3112" i="1"/>
  <c r="F3112" i="1"/>
  <c r="E3113" i="1"/>
  <c r="F3113" i="1"/>
  <c r="E3114" i="1"/>
  <c r="F3114" i="1"/>
  <c r="E3115" i="1"/>
  <c r="F3115" i="1"/>
  <c r="E3116" i="1"/>
  <c r="F3116" i="1"/>
  <c r="E3117" i="1"/>
  <c r="F3117" i="1"/>
  <c r="E3118" i="1"/>
  <c r="F3118" i="1"/>
  <c r="E3119" i="1"/>
  <c r="F3119" i="1"/>
  <c r="E3120" i="1"/>
  <c r="F3120" i="1"/>
  <c r="E3121" i="1"/>
  <c r="F3121" i="1"/>
  <c r="E3122" i="1"/>
  <c r="F3122" i="1"/>
  <c r="E3123" i="1"/>
  <c r="F3123" i="1"/>
  <c r="E3124" i="1"/>
  <c r="F3124" i="1"/>
  <c r="E3125" i="1"/>
  <c r="F3125" i="1"/>
  <c r="E3126" i="1"/>
  <c r="F3126" i="1"/>
  <c r="E3127" i="1"/>
  <c r="F3127" i="1"/>
  <c r="E3128" i="1"/>
  <c r="F3128" i="1"/>
  <c r="E3129" i="1"/>
  <c r="F3129" i="1"/>
  <c r="E3130" i="1"/>
  <c r="F3130" i="1"/>
  <c r="E3131" i="1"/>
  <c r="F3131" i="1"/>
  <c r="E3132" i="1"/>
  <c r="F3132" i="1"/>
  <c r="E3133" i="1"/>
  <c r="F3133" i="1"/>
  <c r="E3134" i="1"/>
  <c r="F3134" i="1"/>
  <c r="E3135" i="1"/>
  <c r="F3135" i="1"/>
  <c r="E3136" i="1"/>
  <c r="F3136" i="1"/>
  <c r="E3137" i="1"/>
  <c r="F3137" i="1"/>
  <c r="E3138" i="1"/>
  <c r="F3138" i="1"/>
  <c r="E3139" i="1"/>
  <c r="F3139" i="1"/>
  <c r="E3140" i="1"/>
  <c r="F3140" i="1"/>
  <c r="E3141" i="1"/>
  <c r="F3141" i="1"/>
  <c r="E3142" i="1"/>
  <c r="F3142" i="1"/>
  <c r="E3143" i="1"/>
  <c r="F3143" i="1"/>
  <c r="E3144" i="1"/>
  <c r="F3144" i="1"/>
  <c r="E3145" i="1"/>
  <c r="F3145" i="1"/>
  <c r="E3146" i="1"/>
  <c r="F3146" i="1"/>
  <c r="E3147" i="1"/>
  <c r="F3147" i="1"/>
  <c r="E3148" i="1"/>
  <c r="F3148" i="1"/>
  <c r="E3149" i="1"/>
  <c r="F3149" i="1"/>
  <c r="E3150" i="1"/>
  <c r="F3150" i="1"/>
  <c r="E3151" i="1"/>
  <c r="F3151" i="1"/>
  <c r="E3152" i="1"/>
  <c r="F3152" i="1"/>
  <c r="E3153" i="1"/>
  <c r="F3153" i="1"/>
  <c r="E3154" i="1"/>
  <c r="F3154" i="1"/>
  <c r="E3155" i="1"/>
  <c r="F3155" i="1"/>
  <c r="E3156" i="1"/>
  <c r="F3156" i="1"/>
  <c r="E3157" i="1"/>
  <c r="F3157" i="1"/>
  <c r="E3158" i="1"/>
  <c r="F3158" i="1"/>
  <c r="E3159" i="1"/>
  <c r="F3159" i="1"/>
  <c r="E3160" i="1"/>
  <c r="F3160" i="1"/>
  <c r="E3161" i="1"/>
  <c r="F3161" i="1"/>
  <c r="E3162" i="1"/>
  <c r="F3162" i="1"/>
  <c r="E3163" i="1"/>
  <c r="F3163" i="1"/>
  <c r="E3164" i="1"/>
  <c r="F3164" i="1"/>
  <c r="E3165" i="1"/>
  <c r="F3165" i="1"/>
  <c r="E3166" i="1"/>
  <c r="F3166" i="1"/>
  <c r="E3167" i="1"/>
  <c r="F3167" i="1"/>
  <c r="E3168" i="1"/>
  <c r="F3168" i="1"/>
  <c r="E3169" i="1"/>
  <c r="F3169" i="1"/>
  <c r="E3170" i="1"/>
  <c r="F3170" i="1"/>
  <c r="E3171" i="1"/>
  <c r="F3171" i="1"/>
  <c r="E3172" i="1"/>
  <c r="F3172" i="1"/>
  <c r="E3173" i="1"/>
  <c r="F3173" i="1"/>
  <c r="E3174" i="1"/>
  <c r="F3174" i="1"/>
  <c r="E3175" i="1"/>
  <c r="F3175" i="1"/>
  <c r="E3176" i="1"/>
  <c r="F3176" i="1"/>
  <c r="E3177" i="1"/>
  <c r="F3177" i="1"/>
  <c r="E3178" i="1"/>
  <c r="F3178" i="1"/>
  <c r="E3179" i="1"/>
  <c r="F3179" i="1"/>
  <c r="E3180" i="1"/>
  <c r="F3180" i="1"/>
  <c r="E3181" i="1"/>
  <c r="F3181" i="1"/>
  <c r="E3182" i="1"/>
  <c r="F3182" i="1"/>
  <c r="E3183" i="1"/>
  <c r="F3183" i="1"/>
  <c r="E3184" i="1"/>
  <c r="F3184" i="1"/>
  <c r="E3185" i="1"/>
  <c r="F3185" i="1"/>
  <c r="E3186" i="1"/>
  <c r="F3186" i="1"/>
  <c r="E3187" i="1"/>
  <c r="F3187" i="1"/>
  <c r="E3188" i="1"/>
  <c r="F3188" i="1"/>
  <c r="E3189" i="1"/>
  <c r="F3189" i="1"/>
  <c r="E3190" i="1"/>
  <c r="F3190" i="1"/>
  <c r="E3191" i="1"/>
  <c r="F3191" i="1"/>
  <c r="E3192" i="1"/>
  <c r="F3192" i="1"/>
  <c r="E3193" i="1"/>
  <c r="F3193" i="1"/>
  <c r="E3194" i="1"/>
  <c r="F3194" i="1"/>
  <c r="E3195" i="1"/>
  <c r="F3195" i="1"/>
  <c r="E3196" i="1"/>
  <c r="F3196" i="1"/>
  <c r="E3197" i="1"/>
  <c r="F3197" i="1"/>
  <c r="E3198" i="1"/>
  <c r="F3198" i="1"/>
  <c r="E3199" i="1"/>
  <c r="F3199" i="1"/>
  <c r="E3200" i="1"/>
  <c r="F3200" i="1"/>
  <c r="E3201" i="1"/>
  <c r="F3201" i="1"/>
  <c r="E3202" i="1"/>
  <c r="F3202" i="1"/>
  <c r="E3203" i="1"/>
  <c r="F3203" i="1"/>
  <c r="E3204" i="1"/>
  <c r="F3204" i="1"/>
  <c r="E3205" i="1"/>
  <c r="F3205" i="1"/>
  <c r="E3206" i="1"/>
  <c r="F3206" i="1"/>
  <c r="E3207" i="1"/>
  <c r="F3207" i="1"/>
  <c r="E3208" i="1"/>
  <c r="F3208" i="1"/>
  <c r="E3209" i="1"/>
  <c r="F3209" i="1"/>
  <c r="E3210" i="1"/>
  <c r="F3210" i="1"/>
  <c r="E3211" i="1"/>
  <c r="F3211" i="1"/>
  <c r="E3212" i="1"/>
  <c r="F3212" i="1"/>
  <c r="E3213" i="1"/>
  <c r="F3213" i="1"/>
  <c r="E3214" i="1"/>
  <c r="F3214" i="1"/>
  <c r="E3215" i="1"/>
  <c r="F3215" i="1"/>
  <c r="E3216" i="1"/>
  <c r="F3216" i="1"/>
  <c r="E3217" i="1"/>
  <c r="F3217" i="1"/>
  <c r="E3218" i="1"/>
  <c r="F3218" i="1"/>
  <c r="E3219" i="1"/>
  <c r="F3219" i="1"/>
  <c r="E3220" i="1"/>
  <c r="F3220" i="1"/>
  <c r="E3221" i="1"/>
  <c r="F3221" i="1"/>
  <c r="E3222" i="1"/>
  <c r="F3222" i="1"/>
  <c r="E3223" i="1"/>
  <c r="F3223" i="1"/>
  <c r="E3224" i="1"/>
  <c r="F3224" i="1"/>
  <c r="E3225" i="1"/>
  <c r="F3225" i="1"/>
  <c r="E3226" i="1"/>
  <c r="F3226" i="1"/>
  <c r="E3227" i="1"/>
  <c r="F3227" i="1"/>
  <c r="E3228" i="1"/>
  <c r="F3228" i="1"/>
  <c r="E3229" i="1"/>
  <c r="F3229" i="1"/>
  <c r="E3230" i="1"/>
  <c r="F3230" i="1"/>
  <c r="E3231" i="1"/>
  <c r="F3231" i="1"/>
  <c r="E3232" i="1"/>
  <c r="F3232" i="1"/>
  <c r="E3233" i="1"/>
  <c r="F3233" i="1"/>
  <c r="E3234" i="1"/>
  <c r="F3234" i="1"/>
  <c r="E3235" i="1"/>
  <c r="F3235" i="1"/>
  <c r="E3236" i="1"/>
  <c r="F3236" i="1"/>
  <c r="E3237" i="1"/>
  <c r="F3237" i="1"/>
  <c r="E3238" i="1"/>
  <c r="F3238" i="1"/>
  <c r="E3239" i="1"/>
  <c r="F3239" i="1"/>
  <c r="E3240" i="1"/>
  <c r="F3240" i="1"/>
  <c r="E3241" i="1"/>
  <c r="F3241" i="1"/>
  <c r="E3242" i="1"/>
  <c r="F3242" i="1"/>
  <c r="E3243" i="1"/>
  <c r="F3243" i="1"/>
  <c r="E3244" i="1"/>
  <c r="F3244" i="1"/>
  <c r="E3245" i="1"/>
  <c r="F3245" i="1"/>
  <c r="E3246" i="1"/>
  <c r="F3246" i="1"/>
  <c r="E3247" i="1"/>
  <c r="F3247" i="1"/>
  <c r="E3248" i="1"/>
  <c r="F3248" i="1"/>
  <c r="E3249" i="1"/>
  <c r="F3249" i="1"/>
  <c r="E3250" i="1"/>
  <c r="F3250" i="1"/>
  <c r="E3251" i="1"/>
  <c r="F3251" i="1"/>
  <c r="E3252" i="1"/>
  <c r="F3252" i="1"/>
  <c r="E3253" i="1"/>
  <c r="F3253" i="1"/>
  <c r="E3254" i="1"/>
  <c r="F3254" i="1"/>
  <c r="E3255" i="1"/>
  <c r="F3255" i="1"/>
  <c r="E3256" i="1"/>
  <c r="F3256" i="1"/>
  <c r="E3257" i="1"/>
  <c r="F3257" i="1"/>
  <c r="E3258" i="1"/>
  <c r="F3258" i="1"/>
  <c r="E3259" i="1"/>
  <c r="F3259" i="1"/>
  <c r="E3260" i="1"/>
  <c r="F3260" i="1"/>
  <c r="E3261" i="1"/>
  <c r="F3261" i="1"/>
  <c r="E3262" i="1"/>
  <c r="F3262" i="1"/>
  <c r="E3263" i="1"/>
  <c r="F3263" i="1"/>
  <c r="E3264" i="1"/>
  <c r="F3264" i="1"/>
  <c r="E3265" i="1"/>
  <c r="F3265" i="1"/>
  <c r="E3266" i="1"/>
  <c r="F3266" i="1"/>
  <c r="E3267" i="1"/>
  <c r="F3267" i="1"/>
  <c r="E3268" i="1"/>
  <c r="F3268" i="1"/>
  <c r="E3269" i="1"/>
  <c r="F3269" i="1"/>
  <c r="E3270" i="1"/>
  <c r="F3270" i="1"/>
  <c r="E3271" i="1"/>
  <c r="F3271" i="1"/>
  <c r="E3272" i="1"/>
  <c r="F3272" i="1"/>
  <c r="E3273" i="1"/>
  <c r="F3273" i="1"/>
  <c r="E3274" i="1"/>
  <c r="F3274" i="1"/>
  <c r="E3275" i="1"/>
  <c r="F3275" i="1"/>
  <c r="E3276" i="1"/>
  <c r="F3276" i="1"/>
  <c r="E3277" i="1"/>
  <c r="F3277" i="1"/>
  <c r="E3278" i="1"/>
  <c r="F3278" i="1"/>
  <c r="E3279" i="1"/>
  <c r="F3279" i="1"/>
  <c r="E3280" i="1"/>
  <c r="F3280" i="1"/>
  <c r="E3281" i="1"/>
  <c r="F3281" i="1"/>
  <c r="E3282" i="1"/>
  <c r="F3282" i="1"/>
  <c r="E3283" i="1"/>
  <c r="F3283" i="1"/>
  <c r="E3284" i="1"/>
  <c r="F3284" i="1"/>
  <c r="E3285" i="1"/>
  <c r="F3285" i="1"/>
  <c r="E3286" i="1"/>
  <c r="F3286" i="1"/>
  <c r="E3287" i="1"/>
  <c r="F3287" i="1"/>
  <c r="E3288" i="1"/>
  <c r="F3288" i="1"/>
  <c r="E3289" i="1"/>
  <c r="F3289" i="1"/>
  <c r="E3290" i="1"/>
  <c r="F3290" i="1"/>
  <c r="E3291" i="1"/>
  <c r="F3291" i="1"/>
  <c r="E3292" i="1"/>
  <c r="F3292" i="1"/>
  <c r="E3293" i="1"/>
  <c r="F3293" i="1"/>
  <c r="E3294" i="1"/>
  <c r="F3294" i="1"/>
  <c r="E3295" i="1"/>
  <c r="F3295" i="1"/>
  <c r="E3296" i="1"/>
  <c r="F3296" i="1"/>
  <c r="E3297" i="1"/>
  <c r="F3297" i="1"/>
  <c r="E3298" i="1"/>
  <c r="F3298" i="1"/>
  <c r="E3299" i="1"/>
  <c r="F3299" i="1"/>
  <c r="E3300" i="1"/>
  <c r="F3300" i="1"/>
  <c r="E3301" i="1"/>
  <c r="F3301" i="1"/>
  <c r="E3302" i="1"/>
  <c r="F3302" i="1"/>
  <c r="E3303" i="1"/>
  <c r="F3303" i="1"/>
  <c r="E3304" i="1"/>
  <c r="F3304" i="1"/>
  <c r="E3305" i="1"/>
  <c r="F3305" i="1"/>
  <c r="E3306" i="1"/>
  <c r="F3306" i="1"/>
  <c r="E3307" i="1"/>
  <c r="F3307" i="1"/>
  <c r="E3308" i="1"/>
  <c r="F3308" i="1"/>
  <c r="E3309" i="1"/>
  <c r="F3309" i="1"/>
  <c r="E3310" i="1"/>
  <c r="F3310" i="1"/>
  <c r="E3311" i="1"/>
  <c r="F3311" i="1"/>
  <c r="E3312" i="1"/>
  <c r="F3312" i="1"/>
  <c r="E3313" i="1"/>
  <c r="F3313" i="1"/>
  <c r="E3314" i="1"/>
  <c r="F3314" i="1"/>
  <c r="E3315" i="1"/>
  <c r="F3315" i="1"/>
  <c r="E3316" i="1"/>
  <c r="F3316" i="1"/>
  <c r="E3317" i="1"/>
  <c r="F3317" i="1"/>
  <c r="E3318" i="1"/>
  <c r="F3318" i="1"/>
  <c r="E3319" i="1"/>
  <c r="F3319" i="1"/>
  <c r="E3320" i="1"/>
  <c r="F3320" i="1"/>
  <c r="E3321" i="1"/>
  <c r="F3321" i="1"/>
  <c r="E3322" i="1"/>
  <c r="F3322" i="1"/>
  <c r="E3323" i="1"/>
  <c r="F3323" i="1"/>
  <c r="E3324" i="1"/>
  <c r="F3324" i="1"/>
  <c r="E3325" i="1"/>
  <c r="F3325" i="1"/>
  <c r="E3326" i="1"/>
  <c r="F3326" i="1"/>
  <c r="E3327" i="1"/>
  <c r="F3327" i="1"/>
  <c r="E3328" i="1"/>
  <c r="F3328" i="1"/>
  <c r="E3329" i="1"/>
  <c r="F3329" i="1"/>
  <c r="E3330" i="1"/>
  <c r="F3330" i="1"/>
  <c r="E3331" i="1"/>
  <c r="F3331" i="1"/>
  <c r="E3332" i="1"/>
  <c r="F3332" i="1"/>
  <c r="E3333" i="1"/>
  <c r="F3333" i="1"/>
  <c r="E3334" i="1"/>
  <c r="F3334" i="1"/>
  <c r="E3335" i="1"/>
  <c r="F3335" i="1"/>
  <c r="E3336" i="1"/>
  <c r="F3336" i="1"/>
  <c r="E3337" i="1"/>
  <c r="F3337" i="1"/>
  <c r="E3338" i="1"/>
  <c r="F3338" i="1"/>
  <c r="E3339" i="1"/>
  <c r="F3339" i="1"/>
  <c r="E3340" i="1"/>
  <c r="F3340" i="1"/>
  <c r="E3341" i="1"/>
  <c r="F3341" i="1"/>
  <c r="E3342" i="1"/>
  <c r="F3342" i="1"/>
  <c r="E3343" i="1"/>
  <c r="F3343" i="1"/>
  <c r="E3344" i="1"/>
  <c r="F3344" i="1"/>
  <c r="E3345" i="1"/>
  <c r="F3345" i="1"/>
  <c r="E3346" i="1"/>
  <c r="F3346" i="1"/>
  <c r="E3347" i="1"/>
  <c r="F3347" i="1"/>
  <c r="E3348" i="1"/>
  <c r="F3348" i="1"/>
  <c r="E3349" i="1"/>
  <c r="F3349" i="1"/>
  <c r="E3350" i="1"/>
  <c r="F3350" i="1"/>
  <c r="E3351" i="1"/>
  <c r="F3351" i="1"/>
  <c r="E3352" i="1"/>
  <c r="F3352" i="1"/>
  <c r="E3353" i="1"/>
  <c r="F3353" i="1"/>
  <c r="E3354" i="1"/>
  <c r="F3354" i="1"/>
  <c r="E3355" i="1"/>
  <c r="F3355" i="1"/>
  <c r="E3356" i="1"/>
  <c r="F3356" i="1"/>
  <c r="E3357" i="1"/>
  <c r="F3357" i="1"/>
  <c r="E3358" i="1"/>
  <c r="F3358" i="1"/>
  <c r="E3359" i="1"/>
  <c r="F3359" i="1"/>
  <c r="E3360" i="1"/>
  <c r="F3360" i="1"/>
  <c r="E3361" i="1"/>
  <c r="F3361" i="1"/>
  <c r="E3362" i="1"/>
  <c r="F3362" i="1"/>
  <c r="E3363" i="1"/>
  <c r="F3363" i="1"/>
  <c r="E3364" i="1"/>
  <c r="F3364" i="1"/>
  <c r="E3365" i="1"/>
  <c r="F3365" i="1"/>
  <c r="E3366" i="1"/>
  <c r="F3366" i="1"/>
  <c r="E3367" i="1"/>
  <c r="F3367" i="1"/>
  <c r="E3368" i="1"/>
  <c r="F3368" i="1"/>
  <c r="E3369" i="1"/>
  <c r="F3369" i="1"/>
  <c r="E3370" i="1"/>
  <c r="F3370" i="1"/>
  <c r="E3371" i="1"/>
  <c r="F3371" i="1"/>
  <c r="E3372" i="1"/>
  <c r="F3372" i="1"/>
  <c r="E3373" i="1"/>
  <c r="F3373" i="1"/>
  <c r="E3374" i="1"/>
  <c r="F3374" i="1"/>
  <c r="E3375" i="1"/>
  <c r="F3375" i="1"/>
  <c r="E3376" i="1"/>
  <c r="F3376" i="1"/>
  <c r="E3377" i="1"/>
  <c r="F3377" i="1"/>
  <c r="E3378" i="1"/>
  <c r="F3378" i="1"/>
  <c r="E3379" i="1"/>
  <c r="F3379" i="1"/>
  <c r="E3380" i="1"/>
  <c r="F3380" i="1"/>
  <c r="E3381" i="1"/>
  <c r="F3381" i="1"/>
  <c r="E3382" i="1"/>
  <c r="F3382" i="1"/>
  <c r="E3383" i="1"/>
  <c r="F3383" i="1"/>
  <c r="E3384" i="1"/>
  <c r="F3384" i="1"/>
  <c r="E3385" i="1"/>
  <c r="F3385" i="1"/>
  <c r="E3386" i="1"/>
  <c r="F3386" i="1"/>
  <c r="E3387" i="1"/>
  <c r="F3387" i="1"/>
  <c r="E3388" i="1"/>
  <c r="F3388" i="1"/>
  <c r="E3389" i="1"/>
  <c r="F3389" i="1"/>
  <c r="E3390" i="1"/>
  <c r="F3390" i="1"/>
  <c r="E3391" i="1"/>
  <c r="F3391" i="1"/>
  <c r="E3392" i="1"/>
  <c r="F3392" i="1"/>
  <c r="E3393" i="1"/>
  <c r="F3393" i="1"/>
  <c r="E3394" i="1"/>
  <c r="F3394" i="1"/>
  <c r="E3395" i="1"/>
  <c r="F3395" i="1"/>
  <c r="E3396" i="1"/>
  <c r="F3396" i="1"/>
  <c r="E3397" i="1"/>
  <c r="F3397" i="1"/>
  <c r="E3398" i="1"/>
  <c r="F3398" i="1"/>
  <c r="E3399" i="1"/>
  <c r="F3399" i="1"/>
  <c r="E3400" i="1"/>
  <c r="F3400" i="1"/>
  <c r="E3401" i="1"/>
  <c r="F3401" i="1"/>
  <c r="E3402" i="1"/>
  <c r="F3402" i="1"/>
  <c r="E3403" i="1"/>
  <c r="F3403" i="1"/>
  <c r="E3404" i="1"/>
  <c r="F3404" i="1"/>
  <c r="E3405" i="1"/>
  <c r="F3405" i="1"/>
  <c r="E3406" i="1"/>
  <c r="F3406" i="1"/>
  <c r="E3407" i="1"/>
  <c r="F3407" i="1"/>
  <c r="E3408" i="1"/>
  <c r="F3408" i="1"/>
  <c r="E3409" i="1"/>
  <c r="F3409" i="1"/>
  <c r="E3410" i="1"/>
  <c r="F3410" i="1"/>
  <c r="E3411" i="1"/>
  <c r="F3411" i="1"/>
  <c r="E3412" i="1"/>
  <c r="F3412" i="1"/>
  <c r="E3413" i="1"/>
  <c r="F3413" i="1"/>
  <c r="E3414" i="1"/>
  <c r="F3414" i="1"/>
  <c r="E3415" i="1"/>
  <c r="F3415" i="1"/>
  <c r="E3416" i="1"/>
  <c r="F3416" i="1"/>
  <c r="E3417" i="1"/>
  <c r="F3417" i="1"/>
  <c r="E3418" i="1"/>
  <c r="F3418" i="1"/>
  <c r="E3419" i="1"/>
  <c r="F3419" i="1"/>
  <c r="E3420" i="1"/>
  <c r="F3420" i="1"/>
  <c r="E3421" i="1"/>
  <c r="F3421" i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G607" i="1"/>
  <c r="H607" i="1"/>
  <c r="I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8" i="1"/>
  <c r="H1449" i="1"/>
  <c r="H1450" i="1"/>
  <c r="H1451" i="1"/>
  <c r="H1452" i="1"/>
  <c r="H1453" i="1"/>
  <c r="H1454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G1598" i="1"/>
  <c r="H1598" i="1"/>
  <c r="I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7" i="1"/>
  <c r="H3418" i="1"/>
  <c r="H3419" i="1"/>
  <c r="H3420" i="1"/>
  <c r="H3421" i="1"/>
</calcChain>
</file>

<file path=xl/sharedStrings.xml><?xml version="1.0" encoding="utf-8"?>
<sst xmlns="http://schemas.openxmlformats.org/spreadsheetml/2006/main" count="665" uniqueCount="532">
  <si>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</si>
  <si>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</si>
  <si>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</si>
  <si>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</si>
  <si>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</si>
  <si>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</si>
  <si>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</si>
  <si>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</si>
  <si>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 INC</t>
  </si>
  <si>
    <t>BLUEBONNET PETROLEUM INC</t>
  </si>
  <si>
    <t>BUD CROSS FORD  INC.</t>
  </si>
  <si>
    <t>CENTURYLINK COMMUNICATIONS  LLC</t>
  </si>
  <si>
    <t>CORRECTIONS SOFTWARE SOLUTIONS LP</t>
  </si>
  <si>
    <t>COVERT CHEVROLET-OLDSMOBILE  INC.</t>
  </si>
  <si>
    <t>DONNA DAMON</t>
  </si>
  <si>
    <t>GRETCHEN VOGLER</t>
  </si>
  <si>
    <t>LEXISNEXIS RISK DATA MANAGEMENT INC</t>
  </si>
  <si>
    <t>MARY EVERETT</t>
  </si>
  <si>
    <t>MATTHEW L CLARK</t>
  </si>
  <si>
    <t>OFFICE DEPOT  INC</t>
  </si>
  <si>
    <t>RECOVERY HEALTHCARE CORP</t>
  </si>
  <si>
    <t>GE CAPITAL INFORMATION TECCHNOLOGY SOLUTIONS  INC</t>
  </si>
  <si>
    <t>WEX BANK</t>
  </si>
  <si>
    <t>SMART SALES  LLC</t>
  </si>
  <si>
    <t>CHARTER COMMUNICATIONS HOLDINGS  LLC</t>
  </si>
  <si>
    <t>CEQUEL COMMUNICATIONS LLC</t>
  </si>
  <si>
    <t>TAMIKA ROGERS</t>
  </si>
  <si>
    <t>BASTROP COUNTY CSCD</t>
  </si>
  <si>
    <t>TEXAS DEPT OF CRIMINAL JUSTICE</t>
  </si>
  <si>
    <t>TIB-THE INDEPENDENT BANKERSBANK</t>
  </si>
  <si>
    <t>UBEO OF EAST TEXAS  INC.</t>
  </si>
  <si>
    <t>UNITED STATES POSTAL SERVICE</t>
  </si>
  <si>
    <t>WALMART STORES TEXAS  LLC</t>
  </si>
  <si>
    <t>CHRISTINA CANNON</t>
  </si>
  <si>
    <t>WILLIAM E. SUMNER</t>
  </si>
  <si>
    <t>973 MATERIALS  LLC</t>
  </si>
  <si>
    <t>A PLUS BAIL BONDS</t>
  </si>
  <si>
    <t>ARNOLD OIL COMPANY OF AUSTIN LP</t>
  </si>
  <si>
    <t>TIMOTHY HALL</t>
  </si>
  <si>
    <t>AAA FIRE &amp; SAFETY EQUIP CO.  INC.</t>
  </si>
  <si>
    <t>ABREO &amp; CARTER</t>
  </si>
  <si>
    <t>ADAM DAKOTA ROWINS</t>
  </si>
  <si>
    <t>ADENA LEWIS</t>
  </si>
  <si>
    <t>ADVANCED GRAPHIX INC</t>
  </si>
  <si>
    <t>ALAMO  GROUP (TX)  INC</t>
  </si>
  <si>
    <t>DRIVE TRAIN  INC</t>
  </si>
  <si>
    <t>ALBERT NEAL PFEIFFER</t>
  </si>
  <si>
    <t>ALEJANDRO RODRIGUEZ</t>
  </si>
  <si>
    <t>THE JOURNEY GROUP  LLC</t>
  </si>
  <si>
    <t>ALLEN YOAST</t>
  </si>
  <si>
    <t>TEXAS ENTERPRISES INC.</t>
  </si>
  <si>
    <t>AMANDA MICKELSON</t>
  </si>
  <si>
    <t>AMAZON CAPITAL SERVICES INC</t>
  </si>
  <si>
    <t>AMERICAN ASSN OF NOTARIES</t>
  </si>
  <si>
    <t>AMERISOURCEBERGEN</t>
  </si>
  <si>
    <t>AMG PRINTING &amp; MAILING  LLC</t>
  </si>
  <si>
    <t>ANDERSON &amp; ANDERSON LAW FIRM PC</t>
  </si>
  <si>
    <t>ANTHONY SHIELDS</t>
  </si>
  <si>
    <t>C APPLEMAN ENT INC</t>
  </si>
  <si>
    <t>AQUA BEVERAGE COMPANY/OZARKA</t>
  </si>
  <si>
    <t>AQUA WATER SUPPLY CORPORATION</t>
  </si>
  <si>
    <t>ARANSAS COUNTY SHERIFF</t>
  </si>
  <si>
    <t>ARCHITEXAS - ARCHITECTURE  PLANNING &amp; HISTORIC PRE</t>
  </si>
  <si>
    <t>THE ASSOCIATION OF RURAL COMMUNITIES IN TEXAS</t>
  </si>
  <si>
    <t>ASSOCIATED SUPPLY COMPANY  INC.</t>
  </si>
  <si>
    <t>ASHLEY HERMANS</t>
  </si>
  <si>
    <t>ASPHALT PATCH ENTERPRISES  INC.</t>
  </si>
  <si>
    <t>AT&amp;T</t>
  </si>
  <si>
    <t>AT&amp;T MOBILITY</t>
  </si>
  <si>
    <t>GATEHOUSE MEDIA TEXAS HOLDINGS II  INC.</t>
  </si>
  <si>
    <t>BUTLER &amp; BURNS EAR NOSE &amp; THROAT ASSO</t>
  </si>
  <si>
    <t>AUSTIN RADIOLOGICAL ASSOC</t>
  </si>
  <si>
    <t>AUSTIN REBUILDERS INC</t>
  </si>
  <si>
    <t>AUTOMATED LOGIC CONTRACTING SERVICES  INC</t>
  </si>
  <si>
    <t>BANKNOTE CORPORATION OF AMERICA INC</t>
  </si>
  <si>
    <t>MICHAEL OLDHAM TIRE INC</t>
  </si>
  <si>
    <t>EDUARDO BARRIENTOS</t>
  </si>
  <si>
    <t>BASTROP AIR CONDITIONING &amp; HEATING</t>
  </si>
  <si>
    <t>BASTROP COUNTY SHERIFF'S DEPT</t>
  </si>
  <si>
    <t>DANIEL L HEPKER</t>
  </si>
  <si>
    <t>BASTROP COUNTY CARES</t>
  </si>
  <si>
    <t>BASTROP INDEPENDENT SCHOOL DISTRICT</t>
  </si>
  <si>
    <t>BASTROP MEDICAL CLINIC</t>
  </si>
  <si>
    <t>BASTROP PROVIDENCE  LLC</t>
  </si>
  <si>
    <t>BASTROP SIGNS &amp; BANNERS</t>
  </si>
  <si>
    <t>BASTROP VETERINARY HOSPITAL  INC.</t>
  </si>
  <si>
    <t>DAVID H OUTON</t>
  </si>
  <si>
    <t>BEACON SALES ACQUISITION  INC.</t>
  </si>
  <si>
    <t>BEHAVIORAL MEASURES &amp; FORENSIC SERVICES</t>
  </si>
  <si>
    <t>BELL COUNTY CONSTABLE 4</t>
  </si>
  <si>
    <t>BEN E KEITH CO.</t>
  </si>
  <si>
    <t>BERAN'S GIN MILL &amp; FEED CO  LP</t>
  </si>
  <si>
    <t>MULTI SERVICE TECHNOLOGY SOLUTIONS  INC.</t>
  </si>
  <si>
    <t>B C FOOD GROUP  LLC</t>
  </si>
  <si>
    <t>MAURINE MC LEAN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</si>
  <si>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</si>
  <si>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</si>
  <si>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</si>
  <si>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</si>
  <si>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</si>
  <si>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BOB BARKER COMPANY  INC.</t>
  </si>
  <si>
    <t>BOEHRINGER INGELHEIM ANIMAL HEALTH USA INC.</t>
  </si>
  <si>
    <t>BRAUNTEX MATERIALS INC</t>
  </si>
  <si>
    <t>BRAZORIA COUNTY SHERIFF</t>
  </si>
  <si>
    <t>LAW OFFICE OF BRYAN W. MCDANIEL  P.C.</t>
  </si>
  <si>
    <t>BRYAN REYES</t>
  </si>
  <si>
    <t>BULLDOG BAIL BONDS</t>
  </si>
  <si>
    <t>BUREAU OF VITAL STATISTICS</t>
  </si>
  <si>
    <t>CAHABA DISASTER RECOVERY  LLC</t>
  </si>
  <si>
    <t>CALDWELL COUNTY SHERIFF</t>
  </si>
  <si>
    <t>CAPITAL AREA COUNCIL OF GOVERNMENTS</t>
  </si>
  <si>
    <t>CAPITAL AREA EMERGENCY COMM DISTRICT</t>
  </si>
  <si>
    <t>MARION G &amp; LINDA K RAINS</t>
  </si>
  <si>
    <t>CAPITOL BEARING SERVICE OF AUSTIN  INC.</t>
  </si>
  <si>
    <t>TIB-THE INDEPENDENT BANKERS BANK</t>
  </si>
  <si>
    <t>CAROLYN DILL</t>
  </si>
  <si>
    <t>CDW GOVERNMENT INC</t>
  </si>
  <si>
    <t>CENTERPOINT ENERGY</t>
  </si>
  <si>
    <t>CENTRAL TEXAS BARRICADES INC</t>
  </si>
  <si>
    <t>CHARLES W CARVER</t>
  </si>
  <si>
    <t>CHARM-TEX</t>
  </si>
  <si>
    <t>CHRIS MATT DILLON</t>
  </si>
  <si>
    <t>CINTAS</t>
  </si>
  <si>
    <t>CINTAS CORPORATION #86</t>
  </si>
  <si>
    <t>CINTAS CORPORATION</t>
  </si>
  <si>
    <t>CITY OF AUSTIN</t>
  </si>
  <si>
    <t>CITY OF BASTROP</t>
  </si>
  <si>
    <t>CITY OF SMITHVILLE</t>
  </si>
  <si>
    <t>CLARA BECKETT</t>
  </si>
  <si>
    <t>CLAUDIA PALMA RUBIN DE CELIS</t>
  </si>
  <si>
    <t>CLIFFORD POWER SYSTEMS INC</t>
  </si>
  <si>
    <t>CLINICAL PATHOLOGY LABORATORIES INC</t>
  </si>
  <si>
    <t>CML SECURITY  LLC</t>
  </si>
  <si>
    <t>CNA SURETY</t>
  </si>
  <si>
    <t>COMMUNITY COFFEE COMPANY LLC</t>
  </si>
  <si>
    <t>COMMUNITY HEALTH CENTERS</t>
  </si>
  <si>
    <t>MIGUEL ANTONIO CUYUGAN CASAS</t>
  </si>
  <si>
    <t>CONTECH ENGINEERED SOLUTIONS INC</t>
  </si>
  <si>
    <t>CONVERGENCE CABLING  INC.</t>
  </si>
  <si>
    <t>COOPER EQUIPMENT CO.</t>
  </si>
  <si>
    <t>COUNTY OF BEXAR - SHERIFF</t>
  </si>
  <si>
    <t>COVERT CHEVROLET-OLDS</t>
  </si>
  <si>
    <t>BUTLER ANIMAL HEALTH HOLDING COMPANY  LLC</t>
  </si>
  <si>
    <t>CROSSHAIRS TEXAS LLC</t>
  </si>
  <si>
    <t>DARRELL WILLIAMSON</t>
  </si>
  <si>
    <t>DAVID B BROOKS</t>
  </si>
  <si>
    <t>DAVID CONTI</t>
  </si>
  <si>
    <t>DAVID GONZALEZ</t>
  </si>
  <si>
    <t>DAVID M COLLINS</t>
  </si>
  <si>
    <t>DEBBIE'S BAIL BOND SERVICE</t>
  </si>
  <si>
    <t>DEBORAH BALDWIN</t>
  </si>
  <si>
    <t>DELL</t>
  </si>
  <si>
    <t>DENNY LYNN WINKLER</t>
  </si>
  <si>
    <t>DENTRUST DENTAL TX PC</t>
  </si>
  <si>
    <t>DESMAR WALKES  MD  PA</t>
  </si>
  <si>
    <t>DICKENS LOCKSMITH INC</t>
  </si>
  <si>
    <t>DOBIE SUPPLY LLC</t>
  </si>
  <si>
    <t>DONNA M. VANDIVER</t>
  </si>
  <si>
    <t>DONNIE STARK</t>
  </si>
  <si>
    <t>DOUBLE D INTERNATIONAL FOOD CO.  INC.</t>
  </si>
  <si>
    <t>DOUBLE TUFF TRUCK TARPS INC</t>
  </si>
  <si>
    <t>DOUGLAS ADAMS</t>
  </si>
  <si>
    <t>ENTERPRISE UAS  LLC</t>
  </si>
  <si>
    <t>DUNNE &amp; JUAREZ L.L.C.</t>
  </si>
  <si>
    <t>DAVID MCMULLEN</t>
  </si>
  <si>
    <t>RHODES &amp; LOZIER LLC</t>
  </si>
  <si>
    <t>EASYVOTE SOLUTIONS LLC</t>
  </si>
  <si>
    <t>ECOLAB INC</t>
  </si>
  <si>
    <t>ELECTION SYSTEMS &amp; SOFTWARE INC</t>
  </si>
  <si>
    <t>BLACKLANDS PUBLICATIONS INC</t>
  </si>
  <si>
    <t>="52421-20213</t>
  </si>
  <si>
    <t xml:space="preserve"> 52421"</t>
  </si>
  <si>
    <t>MOON HONG</t>
  </si>
  <si>
    <t>CITY OF ELGIN UTILITIES</t>
  </si>
  <si>
    <t>ELLIOTT ELECTRIC SUPPLY INC</t>
  </si>
  <si>
    <t>ENVIRONMENTAL SYSTEMS RESEARCH INSTITUTE  INC</t>
  </si>
  <si>
    <t>ERGON ASPHALT &amp; EMULSIONS INC</t>
  </si>
  <si>
    <t>EWALD KUBOTA  INC.</t>
  </si>
  <si>
    <t>BASTROP COUNTY WOMEN'S SHELTER</t>
  </si>
  <si>
    <t>FAMILY HEALTH CENTER OF BASTROP PLLC</t>
  </si>
  <si>
    <t>TEXAN URGENT CARE  PLLC</t>
  </si>
  <si>
    <t>FAYETTE MEDICAL SUPPLY</t>
  </si>
  <si>
    <t>FERGUSON ENTERPRISES  INC.</t>
  </si>
  <si>
    <t>FLASHBACK DATA  LLC</t>
  </si>
  <si>
    <t>FLEETPRIDE</t>
  </si>
  <si>
    <t>FOREMOST COUNTY MUTUAL INS CO</t>
  </si>
  <si>
    <t>FORENSIC ANALYTICAL SCIENCES INC.</t>
  </si>
  <si>
    <t>FORT BEND COUNTY CONSTABLE PCT 2</t>
  </si>
  <si>
    <t>FORT BEND COUNTY CONSTABLE PCT 1</t>
  </si>
  <si>
    <t>FRANCES HUNTER</t>
  </si>
  <si>
    <t>AUSTIN TRUCK AND EQUIPMENT  LTD</t>
  </si>
  <si>
    <t>EUGENE W BRIGGS JR</t>
  </si>
  <si>
    <t>GALLS PARENT HOLDINGS LLC</t>
  </si>
  <si>
    <t>GERALD L. BYINGTON</t>
  </si>
  <si>
    <t>GRAINGER INC</t>
  </si>
  <si>
    <t>GRAPEVINE DODGE CHRYSLER JEEP  LLC</t>
  </si>
  <si>
    <t>GRUBER TECHNICAL</t>
  </si>
  <si>
    <t>GT DISTRIBUTORS  INC.</t>
  </si>
  <si>
    <t>GULF COAST PAPER CO. INC.</t>
  </si>
  <si>
    <t>HALFF ASSOCIATES</t>
  </si>
  <si>
    <t>HARMONY HOUSE RETREAT</t>
  </si>
  <si>
    <t>HARRIS COUNTY CONSTABLE PCT 1</t>
  </si>
  <si>
    <t>HAWK ANALYTICS INC</t>
  </si>
  <si>
    <t>HAYLEY STITELER</t>
  </si>
  <si>
    <t>HAYS COUNTY CONSTABLE PCT 1</t>
  </si>
  <si>
    <t>HEARTLAND QUARRIES  LLC</t>
  </si>
  <si>
    <t>DAVID P HEBE DVM</t>
  </si>
  <si>
    <t>HERBERT J BARTSCH JR</t>
  </si>
  <si>
    <t>HERSHCAP BACKHOE &amp; DITCHING  INC.</t>
  </si>
  <si>
    <t>HI-LINE</t>
  </si>
  <si>
    <t>BASCOM L HODGES JR</t>
  </si>
  <si>
    <t>HODGSON G ECKEL</t>
  </si>
  <si>
    <t>HOLLY TUCKER</t>
  </si>
  <si>
    <t>BD HOLT CO</t>
  </si>
  <si>
    <t>CITIBANK (SOUTH DAKOTA)N.A./THE HOME DEPOT</t>
  </si>
  <si>
    <t>NORTHWEST CASCADE INC</t>
  </si>
  <si>
    <t>AMERICAS EQUINE WAREHOUSE  INC.</t>
  </si>
  <si>
    <t>GREGORY LUCAS</t>
  </si>
  <si>
    <t>HYDRAULIC HOUSE INC</t>
  </si>
  <si>
    <t>IDEXX DISTRIBUTION INC</t>
  </si>
  <si>
    <t>INDIGENT HEALTHCARE SOLUTIONS</t>
  </si>
  <si>
    <t>INEZ ESCAMILLA</t>
  </si>
  <si>
    <t>WILLIAM B. HOLMES</t>
  </si>
  <si>
    <t>IRON MOUNTAIN RECORDS MGMT INC</t>
  </si>
  <si>
    <t>ISIDRO HERNANDEZ-CASTRO</t>
  </si>
  <si>
    <t>JAMES ALLEN</t>
  </si>
  <si>
    <t>JAMES DONNELLY</t>
  </si>
  <si>
    <t>JAMES K REGIER</t>
  </si>
  <si>
    <t>JAN LANGER  DVM</t>
  </si>
  <si>
    <t>JENKINS &amp; JENKINS LLP</t>
  </si>
  <si>
    <t>JENNIFER TOMASZYCKI</t>
  </si>
  <si>
    <t>JAMES MORGAN</t>
  </si>
  <si>
    <t>JOHN CALL</t>
  </si>
  <si>
    <t>JOHN DEERE FINANCIAL f.s.b.</t>
  </si>
  <si>
    <t>JOHNNIE SCHROEDER  JR.</t>
  </si>
  <si>
    <t>JORDAN BATTERSBY  MCDONALD</t>
  </si>
  <si>
    <t>JUAN MARTINEZ</t>
  </si>
  <si>
    <t>JBI  LTD</t>
  </si>
  <si>
    <t>JUSTIN MATTHEW FOHN</t>
  </si>
  <si>
    <t>KAREN STARKS</t>
  </si>
  <si>
    <t>KAYCI SCHULTZ WATSON</t>
  </si>
  <si>
    <t>MAX ACOSTA-RUBIO</t>
  </si>
  <si>
    <t>KELLY-MOORE PAINT COMPANY  INC</t>
  </si>
  <si>
    <t>KENT BROUSSARD TOWER RENTAL INC</t>
  </si>
  <si>
    <t>DIONNE HIEBERT</t>
  </si>
  <si>
    <t>KIMCO SERVICES  INC</t>
  </si>
  <si>
    <t>KING'S PORTABLE THRONES</t>
  </si>
  <si>
    <t>KNIGHT SECURITY SYSTEMS LLC</t>
  </si>
  <si>
    <t>KOETTER FIRE PROTECTION OF AUSTIN  LLC</t>
  </si>
  <si>
    <t>LONGHORN INTERNATIONAL TRUCKS LTD</t>
  </si>
  <si>
    <t>THE LA GRANGE PARTS HOUSE INC</t>
  </si>
  <si>
    <t>LA GRANGE PORTABLE &amp; EQUIPMENT LP</t>
  </si>
  <si>
    <t>LABATT INSTITUTIONAL SUPPLY CO</t>
  </si>
  <si>
    <t>LARA WILSON</t>
  </si>
  <si>
    <t>LAURA ROBERTSON</t>
  </si>
  <si>
    <t>LEE COUNTY WATER SUPPLY CORP</t>
  </si>
  <si>
    <t>LENNOX INDUSTRIES INC</t>
  </si>
  <si>
    <t>LEXISNEXIS RISK DATA MGMT INC</t>
  </si>
  <si>
    <t>LIBERTY COUNTY SHERIFF</t>
  </si>
  <si>
    <t>LIBERTY TIRE RECYCLING</t>
  </si>
  <si>
    <t>LINDA HARMON-TAX ASSESSOR</t>
  </si>
  <si>
    <t>LISA K JACKSON</t>
  </si>
  <si>
    <t>LISA M. MIMS</t>
  </si>
  <si>
    <t>LISA SMITH</t>
  </si>
  <si>
    <t>LLOYD GOSSELINK ROCHELLE &amp; TOWNSEND. PC</t>
  </si>
  <si>
    <t>UNITED KWB COLLABORATIONS LLC</t>
  </si>
  <si>
    <t>LONGHORN EMERGENCY MEDICAL ASSOC PA</t>
  </si>
  <si>
    <t>LONGHORN MOBILE GLASS SERVICE INC</t>
  </si>
  <si>
    <t>LONNIE LAWRENCE DAVIS JR</t>
  </si>
  <si>
    <t>SCOTT BRYANT</t>
  </si>
  <si>
    <t>TRUBAR  LLC</t>
  </si>
  <si>
    <t>LOWE'S</t>
  </si>
  <si>
    <t>LYN TURNER</t>
  </si>
  <si>
    <t>MARK DOUGLAS CUNNINGHAM</t>
  </si>
  <si>
    <t>MARK T. MALONE  M.D. P.A</t>
  </si>
  <si>
    <t>MARK WAYNE HOFFEREK</t>
  </si>
  <si>
    <t>JOHN W GASPARINI INC</t>
  </si>
  <si>
    <t>MARY BETH SCOTT</t>
  </si>
  <si>
    <t>MATHESON TRI-GAS INC</t>
  </si>
  <si>
    <t>McCOY'S BUILDING SUPPLY CENTER</t>
  </si>
  <si>
    <t>McCREARY  VESELKA  BRAGG &amp; ALLEN P</t>
  </si>
  <si>
    <t>McKESSON MEDICAL-SURGIVAL GOVERNMENT SOLUTIONS LLC</t>
  </si>
  <si>
    <t>TERENCE WAYNE MEADOWS</t>
  </si>
  <si>
    <t>MEDIMPACT HEALTHCARE SYSTEMS INC</t>
  </si>
  <si>
    <t>MEGAN FAITH ANDERSON</t>
  </si>
  <si>
    <t>MELLANIE MICKELSON</t>
  </si>
  <si>
    <t>MIDTEX MATERIALS</t>
  </si>
  <si>
    <t>MIMI ANHNGOC TRAN</t>
  </si>
  <si>
    <t>LONNY RAY BOSTIC</t>
  </si>
  <si>
    <t>JAMIE DEE FORD</t>
  </si>
  <si>
    <t>GERALDINE ANN MCCOY</t>
  </si>
  <si>
    <t>PAMELA PIPER CRABB</t>
  </si>
  <si>
    <t>SHERILYN KAATZ KISAMORE</t>
  </si>
  <si>
    <t>RUSSELL JAY ASH</t>
  </si>
  <si>
    <t>STACY ROY CARPENTER JR</t>
  </si>
  <si>
    <t>SCOTT JAY QUINTANILLA</t>
  </si>
  <si>
    <t>JON HAROLD KEENER</t>
  </si>
  <si>
    <t>DONNA JAYE MEZERA</t>
  </si>
  <si>
    <t>JEFFERY LEE TUFFENTSAMER</t>
  </si>
  <si>
    <t>SCOTT TYLER TUCKER</t>
  </si>
  <si>
    <t>MONARCH DISPOSAL  LLC</t>
  </si>
  <si>
    <t>MOTOROLA SOLUTIONS  IN.C</t>
  </si>
  <si>
    <t>MODERN RENOVATIONS  INC.</t>
  </si>
  <si>
    <t>MUSTANG MACHINERY COMPANY LTD</t>
  </si>
  <si>
    <t>NALCO COMPANY LLC</t>
  </si>
  <si>
    <t>NALLEY HVAC MECHANICAL LLC</t>
  </si>
  <si>
    <t>NATIONAL FOOD GROUP INC</t>
  </si>
  <si>
    <t>NATIONAL EMERGENCY NUMBER ASSOCIATION</t>
  </si>
  <si>
    <t>O'REILLY AUTOMOTIVE  INC.</t>
  </si>
  <si>
    <t>SOUTHERN FOODS GROUP LP</t>
  </si>
  <si>
    <t>DEAN FOODS COMPANY</t>
  </si>
  <si>
    <t>OFFICE DEPOT</t>
  </si>
  <si>
    <t>ON SITE SERVICES</t>
  </si>
  <si>
    <t>ROGER C. OSBORN</t>
  </si>
  <si>
    <t>OSBURN ASSOCIATES INC.</t>
  </si>
  <si>
    <t>OVIEDO MOTORS  LLC</t>
  </si>
  <si>
    <t>PAIGE TRACTORS INC</t>
  </si>
  <si>
    <t>SL PARKER PARTNERSHIP LLC</t>
  </si>
  <si>
    <t>PATRICK ELECTRIC SERVICE</t>
  </si>
  <si>
    <t>PATTERSON  VETERINARY SUPPLY INC</t>
  </si>
  <si>
    <t>PATTILLO  BROWN &amp; HILL   LLP</t>
  </si>
  <si>
    <t>PHILIP R DUCLOUX</t>
  </si>
  <si>
    <t>PITNEY BOWES GLOBAL FINANCIAL SERVICES</t>
  </si>
  <si>
    <t>PM WILSON &amp; ASSOCIATES PLLC</t>
  </si>
  <si>
    <t>POST OAK HARDWARE  INC.</t>
  </si>
  <si>
    <t>POSTMASTER</t>
  </si>
  <si>
    <t>PRODUCTION SPECIALTY INCORPORATED</t>
  </si>
  <si>
    <t>PROGRESSIVE PUMPS CORP</t>
  </si>
  <si>
    <t>ELGIN PROVIDENCE LLC</t>
  </si>
  <si>
    <t>THE PUBLIC GROUP LLC</t>
  </si>
  <si>
    <t>QUALYS INC</t>
  </si>
  <si>
    <t>QUEST DIAGNOSTICS CLINICAL LABORATORIES</t>
  </si>
  <si>
    <t>RC HEALTH SERVICES  INC.</t>
  </si>
  <si>
    <t>NESTLE WATERS N AMERICA INC</t>
  </si>
  <si>
    <t>JIM BOB DOOLEY</t>
  </si>
  <si>
    <t>RED ROCK GROCERY</t>
  </si>
  <si>
    <t>RED WING BUSINESS ADVANTAGE ACCOUNT</t>
  </si>
  <si>
    <t>NRG ENERGY INC</t>
  </si>
  <si>
    <t>REPUBLIC TRUCK SALES   PARTS  &amp; REPAIRS LLC</t>
  </si>
  <si>
    <t>RESERVE ACCOUNT</t>
  </si>
  <si>
    <t>REYNOLDS &amp; KEINARTH</t>
  </si>
  <si>
    <t>RICHARD ALLAN DICKMAN JR</t>
  </si>
  <si>
    <t>RICOH USA INC</t>
  </si>
  <si>
    <t>CIT TECHNOLOGY FINANCE</t>
  </si>
  <si>
    <t>MIKE DAVIS</t>
  </si>
  <si>
    <t>ROADRUNNER RADIOLOGY EQUIP LLC</t>
  </si>
  <si>
    <t>ROBERT CARVIN</t>
  </si>
  <si>
    <t>ROBERT MADDEN INDUSTRIES LTD</t>
  </si>
  <si>
    <t>ROMCO EQUIPMENT CO.</t>
  </si>
  <si>
    <t>ROSE PIETSCH COUNTY CLERK</t>
  </si>
  <si>
    <t>SAMMY LERMA III MD</t>
  </si>
  <si>
    <t>SEACHANGE PRINTING &amp; MARKETING SERVICES  LLC</t>
  </si>
  <si>
    <t>SETON FAMILY OF HOSPITALS</t>
  </si>
  <si>
    <t>SETON HEALTHCARE SPONSORED PROJECTS</t>
  </si>
  <si>
    <t>SHARON HANCOCK</t>
  </si>
  <si>
    <t>SHERWIN WILLIAMS CO</t>
  </si>
  <si>
    <t>SHI GOVERNMENT SOLUTIONS INC.</t>
  </si>
  <si>
    <t>SHRED-IT US HOLDCO  INC</t>
  </si>
  <si>
    <t>RONALD JOHN CALDWELL JR</t>
  </si>
  <si>
    <t>SILSBEE FORD</t>
  </si>
  <si>
    <t>SIMPSON SEPTIC INCORPORATED</t>
  </si>
  <si>
    <t>SINGLETON ASSOCIATES  PA</t>
  </si>
  <si>
    <t>SMITH STORES  INC.</t>
  </si>
  <si>
    <t>SMITHVILLE AUTO PARTS  INC</t>
  </si>
  <si>
    <t>SMITHVILLE COMMUNITY CLINIC  INC</t>
  </si>
  <si>
    <t>BRANT DUSSETSCHLEGER</t>
  </si>
  <si>
    <t>SOUTH AUSTIN SURGERY CENTER</t>
  </si>
  <si>
    <t>SOUTHERN TIRE MART LLC</t>
  </si>
  <si>
    <t>DS WATERS OF AMERICA INC</t>
  </si>
  <si>
    <t>SPARKLETTS &amp; SIERRA SPRINGS</t>
  </si>
  <si>
    <t>SPECIALTY VETERINARY PHARMACY INC</t>
  </si>
  <si>
    <t>SPILLAR CUSTOM HITCHES INC</t>
  </si>
  <si>
    <t>ST DAVID'S HEALTHCARE PARTNERSHIP</t>
  </si>
  <si>
    <t>ST. DAVIDS HEART &amp; VASCULAR  PLLC</t>
  </si>
  <si>
    <t>ST. MARK'S MEDICAL CENTER</t>
  </si>
  <si>
    <t>STAPLES ADVANTAGE</t>
  </si>
  <si>
    <t>STATE OF TEXAS</t>
  </si>
  <si>
    <t>STEPHEN R BECK</t>
  </si>
  <si>
    <t>STEVE GRANADO</t>
  </si>
  <si>
    <t>STEVE PEDERSEN</t>
  </si>
  <si>
    <t>SUN COAST RESOURCES</t>
  </si>
  <si>
    <t>TEXAS ASSN OF CONVENTION &amp; VISITORS BUREAU</t>
  </si>
  <si>
    <t>TAVCO SERVICES INC</t>
  </si>
  <si>
    <t>TEJAS ELEVATOR COMPANY</t>
  </si>
  <si>
    <t>JOHN J FIETSAM INC</t>
  </si>
  <si>
    <t>TEX-CON OIL CO</t>
  </si>
  <si>
    <t>TEXAN EYE  P.A.</t>
  </si>
  <si>
    <t>TEXAS AGGREGATES  LLC</t>
  </si>
  <si>
    <t>TEXAS ASSOCIATES INSURORS AGENCY</t>
  </si>
  <si>
    <t>TEXAS ASSOCIATION OF COUNTIES</t>
  </si>
  <si>
    <t>TEXAS CORRUGATORS INC</t>
  </si>
  <si>
    <t>TEXAS DECON LLC</t>
  </si>
  <si>
    <t>TEXAS DEPARTMENT OF HEALTH-ZOONOSIS</t>
  </si>
  <si>
    <t>TEXAS DEPARTMENT OF STATE HEALTH SERVICES</t>
  </si>
  <si>
    <t>TEXAS DEPT OF PUBLIC SAFETY</t>
  </si>
  <si>
    <t>TEXAS ECONOMIC DEVELOPMENT COUNCIL</t>
  </si>
  <si>
    <t>TXFACT  LLC</t>
  </si>
  <si>
    <t>TEXAS MATERIALS GROUP  INC.</t>
  </si>
  <si>
    <t>TEXAS NOTARY PUBLIC</t>
  </si>
  <si>
    <t>TEXAS PARKS &amp; WILDLIFE DEPARTMENT</t>
  </si>
  <si>
    <t>TEXAS VISION CLINIC  PLLC</t>
  </si>
  <si>
    <t>BUG MASTER EXTERMINATING SERVICES  LTD</t>
  </si>
  <si>
    <t>JAMES ANDREW CASEY</t>
  </si>
  <si>
    <t>RICHARD NELSON MOORE</t>
  </si>
  <si>
    <t>THE NITSCHE GROUP</t>
  </si>
  <si>
    <t>THE PERRY RIVERHOUSE</t>
  </si>
  <si>
    <t>THIRD COAST VANS &amp; ACCESSORIES  INC</t>
  </si>
  <si>
    <t>WEST PUBLISHING CORPORATION</t>
  </si>
  <si>
    <t>TIM MAHONEY  ATTORNEY AT LAW  PC</t>
  </si>
  <si>
    <t>TWE-ADVANCE/NEWHOUSE PARTNERSHIP</t>
  </si>
  <si>
    <t>TRACTOR SUPPLY CREDIT PLAN</t>
  </si>
  <si>
    <t>TRAVIS COUNTY CONSTABLE PCT 5</t>
  </si>
  <si>
    <t>TRAVIS COUNTY MEDICAL EXAMINER</t>
  </si>
  <si>
    <t>KAUFFMAN TIRE</t>
  </si>
  <si>
    <t>TREY CLEMONS</t>
  </si>
  <si>
    <t>TULL FARLEY</t>
  </si>
  <si>
    <t>TYLER TECHNOLOGIES INC</t>
  </si>
  <si>
    <t>TYRONE L. WASHINGTON</t>
  </si>
  <si>
    <t>UNITED PARCEL SERVICE</t>
  </si>
  <si>
    <t>HD SUPPLY FACILITIES MAINTENANCE  LTD.</t>
  </si>
  <si>
    <t>="561710</t>
  </si>
  <si>
    <t>051742"</t>
  </si>
  <si>
    <t>U S ANESTHESIA PARTNERS OF TEXAS PA</t>
  </si>
  <si>
    <t>VICTORIA COUNTY SHERIFF</t>
  </si>
  <si>
    <t>US BANK NA</t>
  </si>
  <si>
    <t>VULCAN  INC.</t>
  </si>
  <si>
    <t>WASTE CONNECTIONS LONE STAR. INC.</t>
  </si>
  <si>
    <t>WASTE MANAGEMENT OF TEXAS INC</t>
  </si>
  <si>
    <t>WATCH GUARD VIDEO</t>
  </si>
  <si>
    <t>WEI-ANN LIN (REIMBURSEMENTS ONLY)</t>
  </si>
  <si>
    <t>MAO PHARMACY INC</t>
  </si>
  <si>
    <t>WILLIAMSON COUNTY CONSTABLE PCT 2</t>
  </si>
  <si>
    <t>WILLIAMSON COUNTY CONSTABLE PCT 4</t>
  </si>
  <si>
    <t>WJC CONSTRUCTORS SERVICES  LLC</t>
  </si>
  <si>
    <t>XEROX CORPORATION</t>
  </si>
  <si>
    <t>YOLANDA WHEATON</t>
  </si>
  <si>
    <t>ZOETIS US LLC</t>
  </si>
  <si>
    <t>ZORO TOOLS INC</t>
  </si>
  <si>
    <t>ZURICH DIRECT UNDERWRITERS</t>
  </si>
  <si>
    <t>AMERICAN TITLE COMPANY OF AUSTIN</t>
  </si>
  <si>
    <t>COLOVISTA ESTATES  INC.</t>
  </si>
  <si>
    <t>DATA PROJECTIONS  INC.</t>
  </si>
  <si>
    <t>DYEZZ SURVELLANCE AND SECURITY  INC.</t>
  </si>
  <si>
    <t>FIRST NATIONAL BANK</t>
  </si>
  <si>
    <t>LAMESA CORPORATION</t>
  </si>
  <si>
    <t>SARAH D. JACKSON</t>
  </si>
  <si>
    <t>WIND KNOT INCORPORATED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</si>
  <si>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</si>
  <si>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</si>
  <si>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</si>
  <si>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</si>
  <si>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</si>
  <si>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</si>
  <si>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</si>
  <si>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</si>
  <si>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GERALD FLORES OLIVO</t>
  </si>
  <si>
    <t>PHI AIR MEDICAL  LLC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</si>
  <si>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</si>
  <si>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</si>
  <si>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</si>
  <si>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</si>
  <si>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</si>
  <si>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- FINANCIAL  ASST</t>
  </si>
  <si>
    <t>ACADEMY</t>
  </si>
  <si>
    <t>ALLSTATE FIRE &amp; CASUALTY INS</t>
  </si>
  <si>
    <t>AMERICAS BEST VALUE INN</t>
  </si>
  <si>
    <t>ASIF H. PIASLA</t>
  </si>
  <si>
    <t>BRADLEY CAHOON</t>
  </si>
  <si>
    <t>BRANTENICA CLOUD</t>
  </si>
  <si>
    <t>BRENHAM NATIONAL BANK</t>
  </si>
  <si>
    <t>BRENHAM YOUTH FOOTBALL LEAGUE</t>
  </si>
  <si>
    <t>BURLESON COUNTY TREASURER</t>
  </si>
  <si>
    <t>BURTON SHORT STOP</t>
  </si>
  <si>
    <t>CEFCO #0099</t>
  </si>
  <si>
    <t>CENTRAL MUTUAL INSURANCE CO.</t>
  </si>
  <si>
    <t>CHASE BANK FRAUD</t>
  </si>
  <si>
    <t>CHERYL LYNN STAMPLEY</t>
  </si>
  <si>
    <t>CIRCLE 8 CRANE SERVICES  LLC</t>
  </si>
  <si>
    <t>CLAY NOHAVITZA</t>
  </si>
  <si>
    <t>COLLIER FARMS</t>
  </si>
  <si>
    <t>CRIME VICTIM COMPENSATION</t>
  </si>
  <si>
    <t>CVC ATTORNEY GENERAL</t>
  </si>
  <si>
    <t>DEANNA DIAMOND</t>
  </si>
  <si>
    <t>DEBORAH TATUM</t>
  </si>
  <si>
    <t>DIME BOX PTO</t>
  </si>
  <si>
    <t>DOLLAR GENERAL</t>
  </si>
  <si>
    <t>ELIZABETH BRAZEAL</t>
  </si>
  <si>
    <t>ELLEN YARBROUG WIESE</t>
  </si>
  <si>
    <t>ENERGY TRANSFER CO</t>
  </si>
  <si>
    <t>FARMERS INS</t>
  </si>
  <si>
    <t>GOOD LIFE RANCH  LLC</t>
  </si>
  <si>
    <t>GREAT MIDWEST INS CO. ATTN</t>
  </si>
  <si>
    <t>HERBERT CARLSON</t>
  </si>
  <si>
    <t>HHSC ARTS (MAIL CODE 1470)</t>
  </si>
  <si>
    <t>HHSC-ARTS BILLING (MC E-411)</t>
  </si>
  <si>
    <t>JEANETTE SHELBY REALTY</t>
  </si>
  <si>
    <t>JESSICA MCGRATH</t>
  </si>
  <si>
    <t>JOE GRADY TUCK</t>
  </si>
  <si>
    <t>KENNETH BRADSHAW</t>
  </si>
  <si>
    <t>LEE COUNTY INDIGENT HEALTH CAR</t>
  </si>
  <si>
    <t>LEE COUNTY PETROLEUM</t>
  </si>
  <si>
    <t>METRO PCS</t>
  </si>
  <si>
    <t>MIKE HORNE</t>
  </si>
  <si>
    <t>NABORS CORPORATE SERVICES  INC</t>
  </si>
  <si>
    <t>PATSY STRATTON</t>
  </si>
  <si>
    <t>RODERICK HOLCOMBE</t>
  </si>
  <si>
    <t>RUTH COLEMAN</t>
  </si>
  <si>
    <t>SHARON KIEKE</t>
  </si>
  <si>
    <t>SMITHVILLE HOUSING AUTHORITY</t>
  </si>
  <si>
    <t>STACEY CROFT</t>
  </si>
  <si>
    <t>STANDARD INSURANCE COMPANY</t>
  </si>
  <si>
    <t>STRIPES</t>
  </si>
  <si>
    <t>STRIPES #5150</t>
  </si>
  <si>
    <t>TEXAS DPS  RESTITUTION ACCOUNT</t>
  </si>
  <si>
    <t>UNITED FIRE LLOYDS</t>
  </si>
  <si>
    <t>WAL-MART RESTITUTION RECOVERY</t>
  </si>
  <si>
    <t>WASHINGTON COUNTY EMS</t>
  </si>
  <si>
    <t>WASHINGTON COUNTY SHERIFF'S OF</t>
  </si>
  <si>
    <t>WILLIAM HOLLE</t>
  </si>
  <si>
    <t>BASTROP COUNTY TREASURER</t>
  </si>
  <si>
    <t>WASHINGTON COUNTY DISTRICT CLE</t>
  </si>
  <si>
    <t>BURLESON COUNTY DISTRICT CLERK</t>
  </si>
  <si>
    <t>FOCUSING FAMILIES</t>
  </si>
  <si>
    <t>BLUEBONNET AREA CRIMESTOPPERS</t>
  </si>
  <si>
    <t>WASHINGTON CO CRIMESTOPPERS</t>
  </si>
  <si>
    <t>***VOID***</t>
  </si>
  <si>
    <t>***VOID***              VOIDED</t>
  </si>
  <si>
    <t>WASHINGTON COUNTY TREASURER</t>
  </si>
  <si>
    <t>BASTROP COUNTY DISTRICT CLERK</t>
  </si>
  <si>
    <t>LEE COUNTY TREASURER</t>
  </si>
  <si>
    <t>KARA SAAVEDRA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</si>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</sst>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2"/>
  <sheetViews>
    <sheetView tabSelected="1" topLeftCell="A3385" workbookViewId="0">
      <selection activeCell="C3423" sqref="C3423"/>
    </sheetView>
  </sheetViews>
  <sheetFormatPr defaultRowHeight="15" x14ac:dyDescent="0.25"/>
  <cols>
    <col min="1" max="1" width="56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19.42578125" bestFit="1" customWidth="1"/>
    <col min="6" max="6" width="36.42578125" bestFit="1" customWidth="1"/>
    <col min="7" max="7" width="23.28515625" style="2" bestFit="1" customWidth="1"/>
    <col min="8" max="8" width="36.42578125" bestFit="1" customWidth="1"/>
    <col min="9" max="9" width="8.710937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1747</v>
      </c>
      <c r="C2" s="2">
        <v>190.25</v>
      </c>
      <c r="D2" s="1">
        <v>43782</v>
      </c>
      <c r="E2" t="str">
        <f>"48586"</f>
        <v>48586</v>
      </c>
      <c r="F2" t="str">
        <f>"WIRELESS INTERNET"</f>
        <v>WIRELESS INTERNET</v>
      </c>
      <c r="G2" s="2">
        <v>145.5</v>
      </c>
      <c r="H2" t="str">
        <f>"WIRELESS INTERNET"</f>
        <v>WIRELESS INTERNET</v>
      </c>
    </row>
    <row r="3" spans="1:8" x14ac:dyDescent="0.25">
      <c r="E3" t="str">
        <f>"48587"</f>
        <v>48587</v>
      </c>
      <c r="F3" t="str">
        <f>"WIRELESS INTERNET"</f>
        <v>WIRELESS INTERNET</v>
      </c>
      <c r="G3" s="2">
        <v>44.75</v>
      </c>
      <c r="H3" t="str">
        <f>"WIRELESS INTERNET"</f>
        <v>WIRELESS INTERNET</v>
      </c>
    </row>
    <row r="4" spans="1:8" x14ac:dyDescent="0.25">
      <c r="A4" t="s">
        <v>9</v>
      </c>
      <c r="B4">
        <v>2682</v>
      </c>
      <c r="C4" s="2">
        <v>83.3</v>
      </c>
      <c r="D4" s="1">
        <v>43794</v>
      </c>
      <c r="E4" t="str">
        <f>"201911203473"</f>
        <v>201911203473</v>
      </c>
      <c r="F4" t="str">
        <f>"ACCT#BASTRO/VEHICLE FUEL"</f>
        <v>ACCT#BASTRO/VEHICLE FUEL</v>
      </c>
      <c r="G4" s="2">
        <v>83.3</v>
      </c>
      <c r="H4" t="str">
        <f>"ACCT#BASTRO/VEHICLE FUEL"</f>
        <v>ACCT#BASTRO/VEHICLE FUEL</v>
      </c>
    </row>
    <row r="5" spans="1:8" x14ac:dyDescent="0.25">
      <c r="A5" t="s">
        <v>10</v>
      </c>
      <c r="B5">
        <v>2668</v>
      </c>
      <c r="C5" s="2">
        <v>7</v>
      </c>
      <c r="D5" s="1">
        <v>43781</v>
      </c>
      <c r="E5" t="str">
        <f>"78065"</f>
        <v>78065</v>
      </c>
      <c r="F5" t="str">
        <f>"VEHICLE INSPECTION"</f>
        <v>VEHICLE INSPECTION</v>
      </c>
      <c r="G5" s="2">
        <v>7</v>
      </c>
      <c r="H5" t="str">
        <f>"VEHICLE INSPECTION"</f>
        <v>VEHICLE INSPECTION</v>
      </c>
    </row>
    <row r="6" spans="1:8" x14ac:dyDescent="0.25">
      <c r="A6" t="s">
        <v>11</v>
      </c>
      <c r="B6">
        <v>2669</v>
      </c>
      <c r="C6" s="2">
        <v>21.73</v>
      </c>
      <c r="D6" s="1">
        <v>43781</v>
      </c>
      <c r="E6" t="str">
        <f>"1479740829"</f>
        <v>1479740829</v>
      </c>
      <c r="F6" t="str">
        <f>"ACCT#36550462/PHONE SERVICE"</f>
        <v>ACCT#36550462/PHONE SERVICE</v>
      </c>
      <c r="G6" s="2">
        <v>21.73</v>
      </c>
      <c r="H6" t="str">
        <f>"ACCT#36550462/PHONE SERVICE"</f>
        <v>ACCT#36550462/PHONE SERVICE</v>
      </c>
    </row>
    <row r="7" spans="1:8" x14ac:dyDescent="0.25">
      <c r="A7" t="s">
        <v>12</v>
      </c>
      <c r="B7">
        <v>1748</v>
      </c>
      <c r="C7" s="2">
        <v>3980</v>
      </c>
      <c r="D7" s="1">
        <v>43782</v>
      </c>
      <c r="E7" t="str">
        <f>"47251"</f>
        <v>47251</v>
      </c>
      <c r="F7" t="str">
        <f>"DECEMBER 2019"</f>
        <v>DECEMBER 2019</v>
      </c>
      <c r="G7" s="2">
        <v>3980</v>
      </c>
      <c r="H7" t="str">
        <f>"DECEMBER 2019"</f>
        <v>DECEMBER 2019</v>
      </c>
    </row>
    <row r="8" spans="1:8" x14ac:dyDescent="0.25">
      <c r="A8" t="s">
        <v>13</v>
      </c>
      <c r="B8">
        <v>2670</v>
      </c>
      <c r="C8" s="2">
        <v>7</v>
      </c>
      <c r="D8" s="1">
        <v>43781</v>
      </c>
      <c r="E8" t="str">
        <f>"CVCS542112"</f>
        <v>CVCS542112</v>
      </c>
      <c r="F8" t="str">
        <f>"VEHICLE INSPECTION"</f>
        <v>VEHICLE INSPECTION</v>
      </c>
      <c r="G8" s="2">
        <v>7</v>
      </c>
      <c r="H8" t="str">
        <f>"VEHICLE INSPECTION"</f>
        <v>VEHICLE INSPECTION</v>
      </c>
    </row>
    <row r="9" spans="1:8" x14ac:dyDescent="0.25">
      <c r="A9" t="s">
        <v>14</v>
      </c>
      <c r="B9">
        <v>2683</v>
      </c>
      <c r="C9" s="2">
        <v>375.84</v>
      </c>
      <c r="D9" s="1">
        <v>43794</v>
      </c>
      <c r="E9" t="str">
        <f>"201911203474"</f>
        <v>201911203474</v>
      </c>
      <c r="F9" t="str">
        <f>"TRAVEL ADVANCE-PER DIEM/HOTEL"</f>
        <v>TRAVEL ADVANCE-PER DIEM/HOTEL</v>
      </c>
      <c r="G9" s="2">
        <v>375.84</v>
      </c>
      <c r="H9" t="str">
        <f>"TRAVEL ADVANCE-PER DIEM/HOTEL"</f>
        <v>TRAVEL ADVANCE-PER DIEM/HOTEL</v>
      </c>
    </row>
    <row r="10" spans="1:8" x14ac:dyDescent="0.25">
      <c r="A10" t="s">
        <v>15</v>
      </c>
      <c r="B10">
        <v>2671</v>
      </c>
      <c r="C10" s="2">
        <v>39.44</v>
      </c>
      <c r="D10" s="1">
        <v>43781</v>
      </c>
      <c r="E10" t="str">
        <f>"201911063031"</f>
        <v>201911063031</v>
      </c>
      <c r="F10" t="str">
        <f>"MILEAGE REIMBURSEMENT"</f>
        <v>MILEAGE REIMBURSEMENT</v>
      </c>
      <c r="G10" s="2">
        <v>39.44</v>
      </c>
      <c r="H10" t="str">
        <f>"MILEAGE REIMBURSEMENT"</f>
        <v>MILEAGE REIMBURSEMENT</v>
      </c>
    </row>
    <row r="11" spans="1:8" x14ac:dyDescent="0.25">
      <c r="A11" t="s">
        <v>16</v>
      </c>
      <c r="B11">
        <v>2672</v>
      </c>
      <c r="C11" s="2">
        <v>50</v>
      </c>
      <c r="D11" s="1">
        <v>43781</v>
      </c>
      <c r="E11" t="str">
        <f>"1223984-20191031"</f>
        <v>1223984-20191031</v>
      </c>
      <c r="F11" t="str">
        <f>"BILL ID:1223984-20191031/CSCD"</f>
        <v>BILL ID:1223984-20191031/CSCD</v>
      </c>
      <c r="G11" s="2">
        <v>50</v>
      </c>
      <c r="H11" t="str">
        <f>"BILL ID:1223984-20191031/CSCD"</f>
        <v>BILL ID:1223984-20191031/CSCD</v>
      </c>
    </row>
    <row r="12" spans="1:8" x14ac:dyDescent="0.25">
      <c r="A12" t="s">
        <v>17</v>
      </c>
      <c r="B12">
        <v>2673</v>
      </c>
      <c r="C12" s="2">
        <v>31.32</v>
      </c>
      <c r="D12" s="1">
        <v>43781</v>
      </c>
      <c r="E12" t="str">
        <f>"201911063032"</f>
        <v>201911063032</v>
      </c>
      <c r="F12" t="str">
        <f>"MILEAGE REIMBURSEMENT"</f>
        <v>MILEAGE REIMBURSEMENT</v>
      </c>
      <c r="G12" s="2">
        <v>31.32</v>
      </c>
      <c r="H12" t="str">
        <f>"MILEAGE REIMBURSEMENT"</f>
        <v>MILEAGE REIMBURSEMENT</v>
      </c>
    </row>
    <row r="13" spans="1:8" x14ac:dyDescent="0.25">
      <c r="A13" t="s">
        <v>18</v>
      </c>
      <c r="B13">
        <v>2674</v>
      </c>
      <c r="C13" s="2">
        <v>181.6</v>
      </c>
      <c r="D13" s="1">
        <v>43781</v>
      </c>
      <c r="E13" t="str">
        <f>"201911063033"</f>
        <v>201911063033</v>
      </c>
      <c r="F13" t="str">
        <f>"TRAVEL REIMBURSEMENT"</f>
        <v>TRAVEL REIMBURSEMENT</v>
      </c>
      <c r="G13" s="2">
        <v>181.6</v>
      </c>
      <c r="H13" t="str">
        <f>"TRAVEL REIMBURSEMENT"</f>
        <v>TRAVEL REIMBURSEMENT</v>
      </c>
    </row>
    <row r="14" spans="1:8" x14ac:dyDescent="0.25">
      <c r="A14" t="s">
        <v>19</v>
      </c>
      <c r="B14">
        <v>2675</v>
      </c>
      <c r="C14" s="2">
        <v>74.989999999999995</v>
      </c>
      <c r="D14" s="1">
        <v>43781</v>
      </c>
      <c r="E14" t="str">
        <f>"392973129001"</f>
        <v>392973129001</v>
      </c>
      <c r="F14" t="str">
        <f>"OFFICE SUPPLIES"</f>
        <v>OFFICE SUPPLIES</v>
      </c>
      <c r="G14" s="2">
        <v>74.989999999999995</v>
      </c>
      <c r="H14" t="str">
        <f>"OFFICE SUPPLIES"</f>
        <v>OFFICE SUPPLIES</v>
      </c>
    </row>
    <row r="15" spans="1:8" x14ac:dyDescent="0.25">
      <c r="A15" t="s">
        <v>19</v>
      </c>
      <c r="B15">
        <v>2684</v>
      </c>
      <c r="C15" s="2">
        <v>242.97</v>
      </c>
      <c r="D15" s="1">
        <v>43794</v>
      </c>
      <c r="E15" t="str">
        <f>"402765516001"</f>
        <v>402765516001</v>
      </c>
      <c r="F15" t="str">
        <f>"ACCT#60805099/ORD#402765516001"</f>
        <v>ACCT#60805099/ORD#402765516001</v>
      </c>
      <c r="G15" s="2">
        <v>242.97</v>
      </c>
      <c r="H15" t="str">
        <f>"ACCT#60805099/ORD#402765516001"</f>
        <v>ACCT#60805099/ORD#402765516001</v>
      </c>
    </row>
    <row r="16" spans="1:8" x14ac:dyDescent="0.25">
      <c r="A16" t="s">
        <v>20</v>
      </c>
      <c r="B16">
        <v>2685</v>
      </c>
      <c r="C16" s="2">
        <v>1852</v>
      </c>
      <c r="D16" s="1">
        <v>43794</v>
      </c>
      <c r="E16" t="str">
        <f>"9304304"</f>
        <v>9304304</v>
      </c>
      <c r="F16" t="str">
        <f>"ACCT#2079410704/COUNSELING"</f>
        <v>ACCT#2079410704/COUNSELING</v>
      </c>
      <c r="G16" s="2">
        <v>1852</v>
      </c>
      <c r="H16" t="str">
        <f>"ACCT#2079410704/COUNSELING"</f>
        <v>ACCT#2079410704/COUNSELING</v>
      </c>
    </row>
    <row r="17" spans="1:8" x14ac:dyDescent="0.25">
      <c r="E17" t="str">
        <f>""</f>
        <v/>
      </c>
      <c r="F17" t="str">
        <f>""</f>
        <v/>
      </c>
      <c r="H17" t="str">
        <f>"ACCT#2079410704/COUNSELING"</f>
        <v>ACCT#2079410704/COUNSELING</v>
      </c>
    </row>
    <row r="18" spans="1:8" x14ac:dyDescent="0.25">
      <c r="A18" t="s">
        <v>21</v>
      </c>
      <c r="B18">
        <v>2676</v>
      </c>
      <c r="C18" s="2">
        <v>346.11</v>
      </c>
      <c r="D18" s="1">
        <v>43781</v>
      </c>
      <c r="E18" t="str">
        <f>"102883022"</f>
        <v>102883022</v>
      </c>
      <c r="F18" t="str">
        <f>"ACCT#969045-1009520A9"</f>
        <v>ACCT#969045-1009520A9</v>
      </c>
      <c r="G18" s="2">
        <v>178</v>
      </c>
      <c r="H18" t="str">
        <f>"ACCT#969045-1009520A9"</f>
        <v>ACCT#969045-1009520A9</v>
      </c>
    </row>
    <row r="19" spans="1:8" x14ac:dyDescent="0.25">
      <c r="E19" t="str">
        <f>"102883751"</f>
        <v>102883751</v>
      </c>
      <c r="F19" t="str">
        <f>"ACCT#1581891-1029681ML"</f>
        <v>ACCT#1581891-1029681ML</v>
      </c>
      <c r="G19" s="2">
        <v>168.11</v>
      </c>
      <c r="H19" t="str">
        <f>"ACCT#1581891-1029681ML"</f>
        <v>ACCT#1581891-1029681ML</v>
      </c>
    </row>
    <row r="20" spans="1:8" x14ac:dyDescent="0.25">
      <c r="A20" t="s">
        <v>22</v>
      </c>
      <c r="B20">
        <v>278</v>
      </c>
      <c r="C20" s="2">
        <v>185.17</v>
      </c>
      <c r="D20" s="1">
        <v>43794</v>
      </c>
      <c r="E20" t="str">
        <f>"62218244"</f>
        <v>62218244</v>
      </c>
      <c r="F20" t="str">
        <f>"ACCT#0496-00-483113-7"</f>
        <v>ACCT#0496-00-483113-7</v>
      </c>
      <c r="G20" s="2">
        <v>185.17</v>
      </c>
      <c r="H20" t="str">
        <f>"ACCT#0496-00-483113-7"</f>
        <v>ACCT#0496-00-483113-7</v>
      </c>
    </row>
    <row r="21" spans="1:8" x14ac:dyDescent="0.25">
      <c r="E21" t="str">
        <f>""</f>
        <v/>
      </c>
      <c r="F21" t="str">
        <f>""</f>
        <v/>
      </c>
      <c r="H21" t="str">
        <f>"ACCT#0496-00-483113-7"</f>
        <v>ACCT#0496-00-483113-7</v>
      </c>
    </row>
    <row r="22" spans="1:8" x14ac:dyDescent="0.25">
      <c r="E22" t="str">
        <f>""</f>
        <v/>
      </c>
      <c r="F22" t="str">
        <f>""</f>
        <v/>
      </c>
      <c r="H22" t="str">
        <f>"ACCT#0496-00-483113-7"</f>
        <v>ACCT#0496-00-483113-7</v>
      </c>
    </row>
    <row r="23" spans="1:8" x14ac:dyDescent="0.25">
      <c r="A23" t="s">
        <v>23</v>
      </c>
      <c r="B23">
        <v>2677</v>
      </c>
      <c r="C23" s="2">
        <v>180</v>
      </c>
      <c r="D23" s="1">
        <v>43781</v>
      </c>
      <c r="E23" t="str">
        <f>"15018"</f>
        <v>15018</v>
      </c>
      <c r="F23" t="str">
        <f>"UA SUPPLIES"</f>
        <v>UA SUPPLIES</v>
      </c>
      <c r="G23" s="2">
        <v>180</v>
      </c>
      <c r="H23" t="str">
        <f>"UA SUPPLIES"</f>
        <v>UA SUPPLIES</v>
      </c>
    </row>
    <row r="24" spans="1:8" x14ac:dyDescent="0.25">
      <c r="A24" t="s">
        <v>24</v>
      </c>
      <c r="B24">
        <v>2678</v>
      </c>
      <c r="C24" s="2">
        <v>407.13</v>
      </c>
      <c r="D24" s="1">
        <v>43781</v>
      </c>
      <c r="E24" t="str">
        <f>"0047972110119"</f>
        <v>0047972110119</v>
      </c>
      <c r="F24" t="str">
        <f>"ACCT#8260 16 111 0047972"</f>
        <v>ACCT#8260 16 111 0047972</v>
      </c>
      <c r="G24" s="2">
        <v>407.13</v>
      </c>
      <c r="H24" t="str">
        <f>"ACCT#8260 16 111 0047972"</f>
        <v>ACCT#8260 16 111 0047972</v>
      </c>
    </row>
    <row r="25" spans="1:8" x14ac:dyDescent="0.25">
      <c r="A25" t="s">
        <v>25</v>
      </c>
      <c r="B25">
        <v>2667</v>
      </c>
      <c r="C25" s="2">
        <v>229.04</v>
      </c>
      <c r="D25" s="1">
        <v>43781</v>
      </c>
      <c r="E25" t="str">
        <f>"201911063030"</f>
        <v>201911063030</v>
      </c>
      <c r="F25" t="str">
        <f>"ACCT#07705-105938-01-4 / CSCD"</f>
        <v>ACCT#07705-105938-01-4 / CSCD</v>
      </c>
      <c r="G25" s="2">
        <v>229.04</v>
      </c>
      <c r="H25" t="str">
        <f>"ACCT#07705-105938-01-4 / CSCD"</f>
        <v>ACCT#07705-105938-01-4 / CSCD</v>
      </c>
    </row>
    <row r="26" spans="1:8" x14ac:dyDescent="0.25">
      <c r="A26" t="s">
        <v>26</v>
      </c>
      <c r="B26">
        <v>2679</v>
      </c>
      <c r="C26" s="2">
        <v>742.43</v>
      </c>
      <c r="D26" s="1">
        <v>43781</v>
      </c>
      <c r="E26" t="str">
        <f>"201911063034"</f>
        <v>201911063034</v>
      </c>
      <c r="F26" t="str">
        <f>"TRAVEL REIMBURSEMENT"</f>
        <v>TRAVEL REIMBURSEMENT</v>
      </c>
      <c r="G26" s="2">
        <v>742.43</v>
      </c>
      <c r="H26" t="str">
        <f>"TRAVEL REIMBURSEMENT"</f>
        <v>TRAVEL REIMBURSEMENT</v>
      </c>
    </row>
    <row r="27" spans="1:8" x14ac:dyDescent="0.25">
      <c r="A27" t="s">
        <v>28</v>
      </c>
      <c r="B27">
        <v>2680</v>
      </c>
      <c r="C27" s="2">
        <v>49239.7</v>
      </c>
      <c r="D27" s="1">
        <v>43781</v>
      </c>
      <c r="E27" t="str">
        <f>"201911063035"</f>
        <v>201911063035</v>
      </c>
      <c r="F27" t="str">
        <f>"REFUND TO STATE"</f>
        <v>REFUND TO STATE</v>
      </c>
      <c r="G27" s="2">
        <v>1384.79</v>
      </c>
      <c r="H27" t="str">
        <f>"REFUND TO STATE"</f>
        <v>REFUND TO STATE</v>
      </c>
    </row>
    <row r="28" spans="1:8" x14ac:dyDescent="0.25">
      <c r="E28" t="str">
        <f>"201911063036"</f>
        <v>201911063036</v>
      </c>
      <c r="F28" t="str">
        <f>"REFUND TO STATE"</f>
        <v>REFUND TO STATE</v>
      </c>
      <c r="G28" s="2">
        <v>6143.41</v>
      </c>
      <c r="H28" t="str">
        <f>"REFUND TO STATE"</f>
        <v>REFUND TO STATE</v>
      </c>
    </row>
    <row r="29" spans="1:8" x14ac:dyDescent="0.25">
      <c r="E29" t="str">
        <f>"201911063037"</f>
        <v>201911063037</v>
      </c>
      <c r="F29" t="str">
        <f>"REFUND TO STATE"</f>
        <v>REFUND TO STATE</v>
      </c>
      <c r="G29" s="2">
        <v>5583.66</v>
      </c>
      <c r="H29" t="str">
        <f>"REFUND TO STATE"</f>
        <v>REFUND TO STATE</v>
      </c>
    </row>
    <row r="30" spans="1:8" x14ac:dyDescent="0.25">
      <c r="E30" t="str">
        <f>"201911063038"</f>
        <v>201911063038</v>
      </c>
      <c r="F30" t="str">
        <f>"REFUND TO STATE"</f>
        <v>REFUND TO STATE</v>
      </c>
      <c r="G30" s="2">
        <v>13524.4</v>
      </c>
      <c r="H30" t="str">
        <f>"REFUND TO STATE"</f>
        <v>REFUND TO STATE</v>
      </c>
    </row>
    <row r="31" spans="1:8" x14ac:dyDescent="0.25">
      <c r="E31" t="str">
        <f>"201911063039"</f>
        <v>201911063039</v>
      </c>
      <c r="F31" t="str">
        <f>"REFUND TO STATE"</f>
        <v>REFUND TO STATE</v>
      </c>
      <c r="G31" s="2">
        <v>22603.439999999999</v>
      </c>
      <c r="H31" t="str">
        <f>"REFUND TO STATE"</f>
        <v>REFUND TO STATE</v>
      </c>
    </row>
    <row r="32" spans="1:8" x14ac:dyDescent="0.25">
      <c r="A32" t="s">
        <v>29</v>
      </c>
      <c r="B32">
        <v>279</v>
      </c>
      <c r="C32" s="2">
        <v>2342.1999999999998</v>
      </c>
      <c r="D32" s="1">
        <v>43794</v>
      </c>
      <c r="E32" t="str">
        <f>"201911203472"</f>
        <v>201911203472</v>
      </c>
      <c r="F32" t="str">
        <f>"ACCT#0132/BASTROP CNTY CSCD"</f>
        <v>ACCT#0132/BASTROP CNTY CSCD</v>
      </c>
      <c r="G32" s="2">
        <v>2342.1999999999998</v>
      </c>
      <c r="H32" t="str">
        <f t="shared" ref="H32:H38" si="0">"ACCT#0132/BASTROP CNTY CSCD"</f>
        <v>ACCT#0132/BASTROP CNTY CSCD</v>
      </c>
    </row>
    <row r="33" spans="1:8" x14ac:dyDescent="0.25">
      <c r="E33" t="str">
        <f>""</f>
        <v/>
      </c>
      <c r="F33" t="str">
        <f>""</f>
        <v/>
      </c>
      <c r="H33" t="str">
        <f t="shared" si="0"/>
        <v>ACCT#0132/BASTROP CNTY CSCD</v>
      </c>
    </row>
    <row r="34" spans="1:8" x14ac:dyDescent="0.25">
      <c r="E34" t="str">
        <f>""</f>
        <v/>
      </c>
      <c r="F34" t="str">
        <f>""</f>
        <v/>
      </c>
      <c r="H34" t="str">
        <f t="shared" si="0"/>
        <v>ACCT#0132/BASTROP CNTY CSCD</v>
      </c>
    </row>
    <row r="35" spans="1:8" x14ac:dyDescent="0.25">
      <c r="E35" t="str">
        <f>""</f>
        <v/>
      </c>
      <c r="F35" t="str">
        <f>""</f>
        <v/>
      </c>
      <c r="H35" t="str">
        <f t="shared" si="0"/>
        <v>ACCT#0132/BASTROP CNTY CSCD</v>
      </c>
    </row>
    <row r="36" spans="1:8" x14ac:dyDescent="0.25">
      <c r="E36" t="str">
        <f>""</f>
        <v/>
      </c>
      <c r="F36" t="str">
        <f>""</f>
        <v/>
      </c>
      <c r="H36" t="str">
        <f t="shared" si="0"/>
        <v>ACCT#0132/BASTROP CNTY CSCD</v>
      </c>
    </row>
    <row r="37" spans="1:8" x14ac:dyDescent="0.25">
      <c r="E37" t="str">
        <f>""</f>
        <v/>
      </c>
      <c r="F37" t="str">
        <f>""</f>
        <v/>
      </c>
      <c r="H37" t="str">
        <f t="shared" si="0"/>
        <v>ACCT#0132/BASTROP CNTY CSCD</v>
      </c>
    </row>
    <row r="38" spans="1:8" x14ac:dyDescent="0.25">
      <c r="E38" t="str">
        <f>""</f>
        <v/>
      </c>
      <c r="F38" t="str">
        <f>""</f>
        <v/>
      </c>
      <c r="H38" t="str">
        <f t="shared" si="0"/>
        <v>ACCT#0132/BASTROP CNTY CSCD</v>
      </c>
    </row>
    <row r="39" spans="1:8" x14ac:dyDescent="0.25">
      <c r="A39" t="s">
        <v>30</v>
      </c>
      <c r="B39">
        <v>2681</v>
      </c>
      <c r="C39" s="2">
        <v>195</v>
      </c>
      <c r="D39" s="1">
        <v>43781</v>
      </c>
      <c r="E39" t="str">
        <f>"25800407"</f>
        <v>25800407</v>
      </c>
      <c r="F39" t="str">
        <f>"ACCT#012-1173727-000"</f>
        <v>ACCT#012-1173727-000</v>
      </c>
      <c r="G39" s="2">
        <v>195</v>
      </c>
      <c r="H39" t="str">
        <f>"ACCT#012-1173727-000"</f>
        <v>ACCT#012-1173727-000</v>
      </c>
    </row>
    <row r="40" spans="1:8" x14ac:dyDescent="0.25">
      <c r="A40" t="s">
        <v>31</v>
      </c>
      <c r="B40">
        <v>2686</v>
      </c>
      <c r="C40" s="2">
        <v>204</v>
      </c>
      <c r="D40" s="1">
        <v>43794</v>
      </c>
      <c r="E40" t="str">
        <f>"201911203475"</f>
        <v>201911203475</v>
      </c>
      <c r="F40" t="str">
        <f>"PO BOX SVC FEE DUE"</f>
        <v>PO BOX SVC FEE DUE</v>
      </c>
      <c r="G40" s="2">
        <v>204</v>
      </c>
      <c r="H40" t="str">
        <f>"PO BOX SVC FEE DUE"</f>
        <v>PO BOX SVC FEE DUE</v>
      </c>
    </row>
    <row r="41" spans="1:8" x14ac:dyDescent="0.25">
      <c r="A41" t="s">
        <v>32</v>
      </c>
      <c r="B41">
        <v>2687</v>
      </c>
      <c r="C41" s="2">
        <v>86.55</v>
      </c>
      <c r="D41" s="1">
        <v>43794</v>
      </c>
      <c r="E41" t="str">
        <f>"201911203476"</f>
        <v>201911203476</v>
      </c>
      <c r="F41" t="str">
        <f>"ACCT#4017/OFFICE SUPPLIES"</f>
        <v>ACCT#4017/OFFICE SUPPLIES</v>
      </c>
      <c r="G41" s="2">
        <v>86.55</v>
      </c>
      <c r="H41" t="str">
        <f>"ACCT#4017/OFFICE SUPPLIES"</f>
        <v>ACCT#4017/OFFICE SUPPLIES</v>
      </c>
    </row>
    <row r="42" spans="1:8" x14ac:dyDescent="0.25">
      <c r="A42" t="s">
        <v>33</v>
      </c>
      <c r="B42">
        <v>129682</v>
      </c>
      <c r="C42" s="2">
        <v>60</v>
      </c>
      <c r="D42" s="1">
        <v>43794</v>
      </c>
      <c r="E42" t="str">
        <f>"201911153300"</f>
        <v>201911153300</v>
      </c>
      <c r="F42" t="str">
        <f>"REIMBURSE COUPON STICKERS"</f>
        <v>REIMBURSE COUPON STICKERS</v>
      </c>
      <c r="G42" s="2">
        <v>60</v>
      </c>
      <c r="H42" t="str">
        <f>"REIMBURSE COUPON STICKERS"</f>
        <v>REIMBURSE COUPON STICKERS</v>
      </c>
    </row>
    <row r="43" spans="1:8" x14ac:dyDescent="0.25">
      <c r="A43" t="s">
        <v>34</v>
      </c>
      <c r="B43">
        <v>1778</v>
      </c>
      <c r="C43" s="2">
        <v>11831.68</v>
      </c>
      <c r="D43" s="1">
        <v>43795</v>
      </c>
      <c r="E43" t="str">
        <f>"1159"</f>
        <v>1159</v>
      </c>
      <c r="F43" t="str">
        <f>"HAULING EXPENSES/PCT#2"</f>
        <v>HAULING EXPENSES/PCT#2</v>
      </c>
      <c r="G43" s="2">
        <v>11831.68</v>
      </c>
      <c r="H43" t="str">
        <f>"HAULING EXPENSES/PCT#2"</f>
        <v>HAULING EXPENSES/PCT#2</v>
      </c>
    </row>
    <row r="44" spans="1:8" x14ac:dyDescent="0.25">
      <c r="A44" t="s">
        <v>35</v>
      </c>
      <c r="B44">
        <v>84654</v>
      </c>
      <c r="C44" s="2">
        <v>15716.91</v>
      </c>
      <c r="D44" s="1">
        <v>43781</v>
      </c>
      <c r="E44" t="str">
        <f>"9725-001-111935"</f>
        <v>9725-001-111935</v>
      </c>
      <c r="F44" t="str">
        <f t="shared" ref="F44:F51" si="1">"ACCT#9725-001/REC BASE/PCT#2"</f>
        <v>ACCT#9725-001/REC BASE/PCT#2</v>
      </c>
      <c r="G44" s="2">
        <v>411.6</v>
      </c>
      <c r="H44" t="str">
        <f t="shared" ref="H44:H51" si="2">"ACCT#9725-001/REC BASE/PCT#2"</f>
        <v>ACCT#9725-001/REC BASE/PCT#2</v>
      </c>
    </row>
    <row r="45" spans="1:8" x14ac:dyDescent="0.25">
      <c r="E45" t="str">
        <f>"9725-001-111976"</f>
        <v>9725-001-111976</v>
      </c>
      <c r="F45" t="str">
        <f t="shared" si="1"/>
        <v>ACCT#9725-001/REC BASE/PCT#2</v>
      </c>
      <c r="G45" s="2">
        <v>454.94</v>
      </c>
      <c r="H45" t="str">
        <f t="shared" si="2"/>
        <v>ACCT#9725-001/REC BASE/PCT#2</v>
      </c>
    </row>
    <row r="46" spans="1:8" x14ac:dyDescent="0.25">
      <c r="E46" t="str">
        <f>"9725-001-112005"</f>
        <v>9725-001-112005</v>
      </c>
      <c r="F46" t="str">
        <f t="shared" si="1"/>
        <v>ACCT#9725-001/REC BASE/PCT#2</v>
      </c>
      <c r="G46" s="2">
        <v>406.88</v>
      </c>
      <c r="H46" t="str">
        <f t="shared" si="2"/>
        <v>ACCT#9725-001/REC BASE/PCT#2</v>
      </c>
    </row>
    <row r="47" spans="1:8" x14ac:dyDescent="0.25">
      <c r="E47" t="str">
        <f>"9725-001-112066"</f>
        <v>9725-001-112066</v>
      </c>
      <c r="F47" t="str">
        <f t="shared" si="1"/>
        <v>ACCT#9725-001/REC BASE/PCT#2</v>
      </c>
      <c r="G47" s="2">
        <v>1214.5999999999999</v>
      </c>
      <c r="H47" t="str">
        <f t="shared" si="2"/>
        <v>ACCT#9725-001/REC BASE/PCT#2</v>
      </c>
    </row>
    <row r="48" spans="1:8" x14ac:dyDescent="0.25">
      <c r="E48" t="str">
        <f>"9725-001-112096"</f>
        <v>9725-001-112096</v>
      </c>
      <c r="F48" t="str">
        <f t="shared" si="1"/>
        <v>ACCT#9725-001/REC BASE/PCT#2</v>
      </c>
      <c r="G48" s="2">
        <v>208.95</v>
      </c>
      <c r="H48" t="str">
        <f t="shared" si="2"/>
        <v>ACCT#9725-001/REC BASE/PCT#2</v>
      </c>
    </row>
    <row r="49" spans="5:8" x14ac:dyDescent="0.25">
      <c r="E49" t="str">
        <f>"9725-001-112131"</f>
        <v>9725-001-112131</v>
      </c>
      <c r="F49" t="str">
        <f t="shared" si="1"/>
        <v>ACCT#9725-001/REC BASE/PCT#2</v>
      </c>
      <c r="G49" s="2">
        <v>210.26</v>
      </c>
      <c r="H49" t="str">
        <f t="shared" si="2"/>
        <v>ACCT#9725-001/REC BASE/PCT#2</v>
      </c>
    </row>
    <row r="50" spans="5:8" x14ac:dyDescent="0.25">
      <c r="E50" t="str">
        <f>"9725-001-112181"</f>
        <v>9725-001-112181</v>
      </c>
      <c r="F50" t="str">
        <f t="shared" si="1"/>
        <v>ACCT#9725-001/REC BASE/PCT#2</v>
      </c>
      <c r="G50" s="2">
        <v>203.61</v>
      </c>
      <c r="H50" t="str">
        <f t="shared" si="2"/>
        <v>ACCT#9725-001/REC BASE/PCT#2</v>
      </c>
    </row>
    <row r="51" spans="5:8" x14ac:dyDescent="0.25">
      <c r="E51" t="str">
        <f>"9725-001-112231"</f>
        <v>9725-001-112231</v>
      </c>
      <c r="F51" t="str">
        <f t="shared" si="1"/>
        <v>ACCT#9725-001/REC BASE/PCT#2</v>
      </c>
      <c r="G51" s="2">
        <v>217.96</v>
      </c>
      <c r="H51" t="str">
        <f t="shared" si="2"/>
        <v>ACCT#9725-001/REC BASE/PCT#2</v>
      </c>
    </row>
    <row r="52" spans="5:8" x14ac:dyDescent="0.25">
      <c r="E52" t="str">
        <f>"9725-004-112017"</f>
        <v>9725-004-112017</v>
      </c>
      <c r="F52" t="str">
        <f>"ACCT#9725-004/PCT#1"</f>
        <v>ACCT#9725-004/PCT#1</v>
      </c>
      <c r="G52" s="2">
        <v>476.79</v>
      </c>
      <c r="H52" t="str">
        <f>"ACCT#9725-004/PCT#1"</f>
        <v>ACCT#9725-004/PCT#1</v>
      </c>
    </row>
    <row r="53" spans="5:8" x14ac:dyDescent="0.25">
      <c r="E53" t="str">
        <f>"9725-004-112279"</f>
        <v>9725-004-112279</v>
      </c>
      <c r="F53" t="str">
        <f>"RECYCLED BASE / PCT 1"</f>
        <v>RECYCLED BASE / PCT 1</v>
      </c>
      <c r="G53" s="2">
        <v>615.39</v>
      </c>
      <c r="H53" t="str">
        <f>"RECYCLED BASE / PCT 1"</f>
        <v>RECYCLED BASE / PCT 1</v>
      </c>
    </row>
    <row r="54" spans="5:8" x14ac:dyDescent="0.25">
      <c r="E54" t="str">
        <f>"9725-004-112320"</f>
        <v>9725-004-112320</v>
      </c>
      <c r="F54" t="str">
        <f>"RECYCLED BASE / PCT 1"</f>
        <v>RECYCLED BASE / PCT 1</v>
      </c>
      <c r="G54" s="2">
        <v>224.09</v>
      </c>
      <c r="H54" t="str">
        <f>"RECYCLED BASE / PCT 1"</f>
        <v>RECYCLED BASE / PCT 1</v>
      </c>
    </row>
    <row r="55" spans="5:8" x14ac:dyDescent="0.25">
      <c r="E55" t="str">
        <f>"9725-007-111949"</f>
        <v>9725-007-111949</v>
      </c>
      <c r="F55" t="str">
        <f t="shared" ref="F55:F64" si="3">"ACCT#9725-007/REC BASE/PCT#4"</f>
        <v>ACCT#9725-007/REC BASE/PCT#4</v>
      </c>
      <c r="G55" s="2">
        <v>623</v>
      </c>
      <c r="H55" t="str">
        <f t="shared" ref="H55:H64" si="4">"ACCT#9725-007/REC BASE/PCT#4"</f>
        <v>ACCT#9725-007/REC BASE/PCT#4</v>
      </c>
    </row>
    <row r="56" spans="5:8" x14ac:dyDescent="0.25">
      <c r="E56" t="str">
        <f>"9725-007-112018"</f>
        <v>9725-007-112018</v>
      </c>
      <c r="F56" t="str">
        <f t="shared" si="3"/>
        <v>ACCT#9725-007/REC BASE/PCT#4</v>
      </c>
      <c r="G56" s="2">
        <v>658.71</v>
      </c>
      <c r="H56" t="str">
        <f t="shared" si="4"/>
        <v>ACCT#9725-007/REC BASE/PCT#4</v>
      </c>
    </row>
    <row r="57" spans="5:8" x14ac:dyDescent="0.25">
      <c r="E57" t="str">
        <f>"9725-007-112051"</f>
        <v>9725-007-112051</v>
      </c>
      <c r="F57" t="str">
        <f t="shared" si="3"/>
        <v>ACCT#9725-007/REC BASE/PCT#4</v>
      </c>
      <c r="G57" s="2">
        <v>1098.1500000000001</v>
      </c>
      <c r="H57" t="str">
        <f t="shared" si="4"/>
        <v>ACCT#9725-007/REC BASE/PCT#4</v>
      </c>
    </row>
    <row r="58" spans="5:8" x14ac:dyDescent="0.25">
      <c r="E58" t="str">
        <f>"9725-007-112082"</f>
        <v>9725-007-112082</v>
      </c>
      <c r="F58" t="str">
        <f t="shared" si="3"/>
        <v>ACCT#9725-007/REC BASE/PCT#4</v>
      </c>
      <c r="G58" s="2">
        <v>934.87</v>
      </c>
      <c r="H58" t="str">
        <f t="shared" si="4"/>
        <v>ACCT#9725-007/REC BASE/PCT#4</v>
      </c>
    </row>
    <row r="59" spans="5:8" x14ac:dyDescent="0.25">
      <c r="E59" t="str">
        <f>"9725-007-112108"</f>
        <v>9725-007-112108</v>
      </c>
      <c r="F59" t="str">
        <f t="shared" si="3"/>
        <v>ACCT#9725-007/REC BASE/PCT#4</v>
      </c>
      <c r="G59" s="2">
        <v>948.26</v>
      </c>
      <c r="H59" t="str">
        <f t="shared" si="4"/>
        <v>ACCT#9725-007/REC BASE/PCT#4</v>
      </c>
    </row>
    <row r="60" spans="5:8" x14ac:dyDescent="0.25">
      <c r="E60" t="str">
        <f>"9725-007-112146"</f>
        <v>9725-007-112146</v>
      </c>
      <c r="F60" t="str">
        <f t="shared" si="3"/>
        <v>ACCT#9725-007/REC BASE/PCT#4</v>
      </c>
      <c r="G60" s="2">
        <v>1953.97</v>
      </c>
      <c r="H60" t="str">
        <f t="shared" si="4"/>
        <v>ACCT#9725-007/REC BASE/PCT#4</v>
      </c>
    </row>
    <row r="61" spans="5:8" x14ac:dyDescent="0.25">
      <c r="E61" t="str">
        <f>"9725-007-112172"</f>
        <v>9725-007-112172</v>
      </c>
      <c r="F61" t="str">
        <f t="shared" si="3"/>
        <v>ACCT#9725-007/REC BASE/PCT#4</v>
      </c>
      <c r="G61" s="2">
        <v>1886.07</v>
      </c>
      <c r="H61" t="str">
        <f t="shared" si="4"/>
        <v>ACCT#9725-007/REC BASE/PCT#4</v>
      </c>
    </row>
    <row r="62" spans="5:8" x14ac:dyDescent="0.25">
      <c r="E62" t="str">
        <f>"9725-007-112192"</f>
        <v>9725-007-112192</v>
      </c>
      <c r="F62" t="str">
        <f t="shared" si="3"/>
        <v>ACCT#9725-007/REC BASE/PCT#4</v>
      </c>
      <c r="G62" s="2">
        <v>1136.54</v>
      </c>
      <c r="H62" t="str">
        <f t="shared" si="4"/>
        <v>ACCT#9725-007/REC BASE/PCT#4</v>
      </c>
    </row>
    <row r="63" spans="5:8" x14ac:dyDescent="0.25">
      <c r="E63" t="str">
        <f>"9725-007-112214"</f>
        <v>9725-007-112214</v>
      </c>
      <c r="F63" t="str">
        <f t="shared" si="3"/>
        <v>ACCT#9725-007/REC BASE/PCT#4</v>
      </c>
      <c r="G63" s="2">
        <v>1207.5999999999999</v>
      </c>
      <c r="H63" t="str">
        <f t="shared" si="4"/>
        <v>ACCT#9725-007/REC BASE/PCT#4</v>
      </c>
    </row>
    <row r="64" spans="5:8" x14ac:dyDescent="0.25">
      <c r="E64" t="str">
        <f>"9725-007-112280"</f>
        <v>9725-007-112280</v>
      </c>
      <c r="F64" t="str">
        <f t="shared" si="3"/>
        <v>ACCT#9725-007/REC BASE/PCT#4</v>
      </c>
      <c r="G64" s="2">
        <v>624.66999999999996</v>
      </c>
      <c r="H64" t="str">
        <f t="shared" si="4"/>
        <v>ACCT#9725-007/REC BASE/PCT#4</v>
      </c>
    </row>
    <row r="65" spans="1:8" x14ac:dyDescent="0.25">
      <c r="A65" t="s">
        <v>35</v>
      </c>
      <c r="B65">
        <v>129683</v>
      </c>
      <c r="C65" s="2">
        <v>45729.22</v>
      </c>
      <c r="D65" s="1">
        <v>43794</v>
      </c>
      <c r="E65" t="str">
        <f>"9725-001-112305"</f>
        <v>9725-001-112305</v>
      </c>
      <c r="F65" t="str">
        <f t="shared" ref="F65:F72" si="5">"ACCT#9725-001/REC BASE/PCT#2"</f>
        <v>ACCT#9725-001/REC BASE/PCT#2</v>
      </c>
      <c r="G65" s="2">
        <v>217.79</v>
      </c>
      <c r="H65" t="str">
        <f t="shared" ref="H65:H72" si="6">"ACCT#9725-001/REC BASE/PCT#2"</f>
        <v>ACCT#9725-001/REC BASE/PCT#2</v>
      </c>
    </row>
    <row r="66" spans="1:8" x14ac:dyDescent="0.25">
      <c r="E66" t="str">
        <f>"9725-001-112362"</f>
        <v>9725-001-112362</v>
      </c>
      <c r="F66" t="str">
        <f t="shared" si="5"/>
        <v>ACCT#9725-001/REC BASE/PCT#2</v>
      </c>
      <c r="G66" s="2">
        <v>203.88</v>
      </c>
      <c r="H66" t="str">
        <f t="shared" si="6"/>
        <v>ACCT#9725-001/REC BASE/PCT#2</v>
      </c>
    </row>
    <row r="67" spans="1:8" x14ac:dyDescent="0.25">
      <c r="E67" t="str">
        <f>"9725-001-112383"</f>
        <v>9725-001-112383</v>
      </c>
      <c r="F67" t="str">
        <f t="shared" si="5"/>
        <v>ACCT#9725-001/REC BASE/PCT#2</v>
      </c>
      <c r="G67" s="2">
        <v>204.66</v>
      </c>
      <c r="H67" t="str">
        <f t="shared" si="6"/>
        <v>ACCT#9725-001/REC BASE/PCT#2</v>
      </c>
    </row>
    <row r="68" spans="1:8" x14ac:dyDescent="0.25">
      <c r="E68" t="str">
        <f>"9725-001-112417"</f>
        <v>9725-001-112417</v>
      </c>
      <c r="F68" t="str">
        <f t="shared" si="5"/>
        <v>ACCT#9725-001/REC BASE/PCT#2</v>
      </c>
      <c r="G68" s="2">
        <v>3084.47</v>
      </c>
      <c r="H68" t="str">
        <f t="shared" si="6"/>
        <v>ACCT#9725-001/REC BASE/PCT#2</v>
      </c>
    </row>
    <row r="69" spans="1:8" x14ac:dyDescent="0.25">
      <c r="E69" t="str">
        <f>"9725-001-112446"</f>
        <v>9725-001-112446</v>
      </c>
      <c r="F69" t="str">
        <f t="shared" si="5"/>
        <v>ACCT#9725-001/REC BASE/PCT#2</v>
      </c>
      <c r="G69" s="2">
        <v>3171.1</v>
      </c>
      <c r="H69" t="str">
        <f t="shared" si="6"/>
        <v>ACCT#9725-001/REC BASE/PCT#2</v>
      </c>
    </row>
    <row r="70" spans="1:8" x14ac:dyDescent="0.25">
      <c r="E70" t="str">
        <f>"9725-001-112472"</f>
        <v>9725-001-112472</v>
      </c>
      <c r="F70" t="str">
        <f t="shared" si="5"/>
        <v>ACCT#9725-001/REC BASE/PCT#2</v>
      </c>
      <c r="G70" s="2">
        <v>3723.49</v>
      </c>
      <c r="H70" t="str">
        <f t="shared" si="6"/>
        <v>ACCT#9725-001/REC BASE/PCT#2</v>
      </c>
    </row>
    <row r="71" spans="1:8" x14ac:dyDescent="0.25">
      <c r="E71" t="str">
        <f>"9725-001-112495"</f>
        <v>9725-001-112495</v>
      </c>
      <c r="F71" t="str">
        <f t="shared" si="5"/>
        <v>ACCT#9725-001/REC BASE/PCT#2</v>
      </c>
      <c r="G71" s="2">
        <v>4686.96</v>
      </c>
      <c r="H71" t="str">
        <f t="shared" si="6"/>
        <v>ACCT#9725-001/REC BASE/PCT#2</v>
      </c>
    </row>
    <row r="72" spans="1:8" x14ac:dyDescent="0.25">
      <c r="E72" t="str">
        <f>"9725-001-112524"</f>
        <v>9725-001-112524</v>
      </c>
      <c r="F72" t="str">
        <f t="shared" si="5"/>
        <v>ACCT#9725-001/REC BASE/PCT#2</v>
      </c>
      <c r="G72" s="2">
        <v>4071.57</v>
      </c>
      <c r="H72" t="str">
        <f t="shared" si="6"/>
        <v>ACCT#9725-001/REC BASE/PCT#2</v>
      </c>
    </row>
    <row r="73" spans="1:8" x14ac:dyDescent="0.25">
      <c r="E73" t="str">
        <f>"9725-004-112348"</f>
        <v>9725-004-112348</v>
      </c>
      <c r="F73" t="str">
        <f>"ACCT#9725-004/REC BASE/PCT#1"</f>
        <v>ACCT#9725-004/REC BASE/PCT#1</v>
      </c>
      <c r="G73" s="2">
        <v>422.72</v>
      </c>
      <c r="H73" t="str">
        <f>"ACCT#9725-004/REC BASE/PCT#1"</f>
        <v>ACCT#9725-004/REC BASE/PCT#1</v>
      </c>
    </row>
    <row r="74" spans="1:8" x14ac:dyDescent="0.25">
      <c r="E74" t="str">
        <f>"9725-004-112429"</f>
        <v>9725-004-112429</v>
      </c>
      <c r="F74" t="str">
        <f>"ACCT#9725-004/REC BASE/PCT#1"</f>
        <v>ACCT#9725-004/REC BASE/PCT#1</v>
      </c>
      <c r="G74" s="2">
        <v>223.39</v>
      </c>
      <c r="H74" t="str">
        <f>"ACCT#9725-004/REC BASE/PCT#1"</f>
        <v>ACCT#9725-004/REC BASE/PCT#1</v>
      </c>
    </row>
    <row r="75" spans="1:8" x14ac:dyDescent="0.25">
      <c r="E75" t="str">
        <f>"9725-004-112456"</f>
        <v>9725-004-112456</v>
      </c>
      <c r="F75" t="str">
        <f>"ACCT#9725-004/REC BASE/PCT#4"</f>
        <v>ACCT#9725-004/REC BASE/PCT#4</v>
      </c>
      <c r="G75" s="2">
        <v>203</v>
      </c>
      <c r="H75" t="str">
        <f>"ACCT#9725-004/REC BASE/PCT#4"</f>
        <v>ACCT#9725-004/REC BASE/PCT#4</v>
      </c>
    </row>
    <row r="76" spans="1:8" x14ac:dyDescent="0.25">
      <c r="E76" t="str">
        <f>"9725-004-112483"</f>
        <v>9725-004-112483</v>
      </c>
      <c r="F76" t="str">
        <f>"ACCT#9725-004/REC BASE/PCT#1"</f>
        <v>ACCT#9725-004/REC BASE/PCT#1</v>
      </c>
      <c r="G76" s="2">
        <v>86.36</v>
      </c>
      <c r="H76" t="str">
        <f>"ACCT#9725-004/REC BASE/PCT#1"</f>
        <v>ACCT#9725-004/REC BASE/PCT#1</v>
      </c>
    </row>
    <row r="77" spans="1:8" x14ac:dyDescent="0.25">
      <c r="E77" t="str">
        <f>"9725-007-112321"</f>
        <v>9725-007-112321</v>
      </c>
      <c r="F77" t="str">
        <f t="shared" ref="F77:F85" si="7">"ACCT#9725-007/REC BASE/PCT#4"</f>
        <v>ACCT#9725-007/REC BASE/PCT#4</v>
      </c>
      <c r="G77" s="2">
        <v>3906.83</v>
      </c>
      <c r="H77" t="str">
        <f t="shared" ref="H77:H85" si="8">"ACCT#9725-007/REC BASE/PCT#4"</f>
        <v>ACCT#9725-007/REC BASE/PCT#4</v>
      </c>
    </row>
    <row r="78" spans="1:8" x14ac:dyDescent="0.25">
      <c r="E78" t="str">
        <f>"9725-007-112349"</f>
        <v>9725-007-112349</v>
      </c>
      <c r="F78" t="str">
        <f t="shared" si="7"/>
        <v>ACCT#9725-007/REC BASE/PCT#4</v>
      </c>
      <c r="G78" s="2">
        <v>2817.54</v>
      </c>
      <c r="H78" t="str">
        <f t="shared" si="8"/>
        <v>ACCT#9725-007/REC BASE/PCT#4</v>
      </c>
    </row>
    <row r="79" spans="1:8" x14ac:dyDescent="0.25">
      <c r="E79" t="str">
        <f>"9725-007-112371"</f>
        <v>9725-007-112371</v>
      </c>
      <c r="F79" t="str">
        <f t="shared" si="7"/>
        <v>ACCT#9725-007/REC BASE/PCT#4</v>
      </c>
      <c r="G79" s="2">
        <v>1771.19</v>
      </c>
      <c r="H79" t="str">
        <f t="shared" si="8"/>
        <v>ACCT#9725-007/REC BASE/PCT#4</v>
      </c>
    </row>
    <row r="80" spans="1:8" x14ac:dyDescent="0.25">
      <c r="E80" t="str">
        <f>"9725-007-112393"</f>
        <v>9725-007-112393</v>
      </c>
      <c r="F80" t="str">
        <f t="shared" si="7"/>
        <v>ACCT#9725-007/REC BASE/PCT#4</v>
      </c>
      <c r="G80" s="2">
        <v>1234.6300000000001</v>
      </c>
      <c r="H80" t="str">
        <f t="shared" si="8"/>
        <v>ACCT#9725-007/REC BASE/PCT#4</v>
      </c>
    </row>
    <row r="81" spans="1:8" x14ac:dyDescent="0.25">
      <c r="E81" t="str">
        <f>"9725-007-112430"</f>
        <v>9725-007-112430</v>
      </c>
      <c r="F81" t="str">
        <f t="shared" si="7"/>
        <v>ACCT#9725-007/REC BASE/PCT#4</v>
      </c>
      <c r="G81" s="2">
        <v>1674.93</v>
      </c>
      <c r="H81" t="str">
        <f t="shared" si="8"/>
        <v>ACCT#9725-007/REC BASE/PCT#4</v>
      </c>
    </row>
    <row r="82" spans="1:8" x14ac:dyDescent="0.25">
      <c r="E82" t="str">
        <f>"9725-007-112457"</f>
        <v>9725-007-112457</v>
      </c>
      <c r="F82" t="str">
        <f t="shared" si="7"/>
        <v>ACCT#9725-007/REC BASE/PCT#4</v>
      </c>
      <c r="G82" s="2">
        <v>2107.9899999999998</v>
      </c>
      <c r="H82" t="str">
        <f t="shared" si="8"/>
        <v>ACCT#9725-007/REC BASE/PCT#4</v>
      </c>
    </row>
    <row r="83" spans="1:8" x14ac:dyDescent="0.25">
      <c r="E83" t="str">
        <f>"9725-007-112484"</f>
        <v>9725-007-112484</v>
      </c>
      <c r="F83" t="str">
        <f t="shared" si="7"/>
        <v>ACCT#9725-007/REC BASE/PCT#4</v>
      </c>
      <c r="G83" s="2">
        <v>2383.9499999999998</v>
      </c>
      <c r="H83" t="str">
        <f t="shared" si="8"/>
        <v>ACCT#9725-007/REC BASE/PCT#4</v>
      </c>
    </row>
    <row r="84" spans="1:8" x14ac:dyDescent="0.25">
      <c r="E84" t="str">
        <f>"9725-007-112508"</f>
        <v>9725-007-112508</v>
      </c>
      <c r="F84" t="str">
        <f t="shared" si="7"/>
        <v>ACCT#9725-007/REC BASE/PCT#4</v>
      </c>
      <c r="G84" s="2">
        <v>4552.41</v>
      </c>
      <c r="H84" t="str">
        <f t="shared" si="8"/>
        <v>ACCT#9725-007/REC BASE/PCT#4</v>
      </c>
    </row>
    <row r="85" spans="1:8" x14ac:dyDescent="0.25">
      <c r="E85" t="str">
        <f>"9725-007-112535"</f>
        <v>9725-007-112535</v>
      </c>
      <c r="F85" t="str">
        <f t="shared" si="7"/>
        <v>ACCT#9725-007/REC BASE/PCT#4</v>
      </c>
      <c r="G85" s="2">
        <v>2407.7600000000002</v>
      </c>
      <c r="H85" t="str">
        <f t="shared" si="8"/>
        <v>ACCT#9725-007/REC BASE/PCT#4</v>
      </c>
    </row>
    <row r="86" spans="1:8" x14ac:dyDescent="0.25">
      <c r="E86" t="str">
        <f>"9725-007-112562"</f>
        <v>9725-007-112562</v>
      </c>
      <c r="F86" t="str">
        <f>"ACCT#9725-007-112562"</f>
        <v>ACCT#9725-007-112562</v>
      </c>
      <c r="G86" s="2">
        <v>2572.6</v>
      </c>
      <c r="H86" t="str">
        <f>"ACCT#9725-007-112562"</f>
        <v>ACCT#9725-007-112562</v>
      </c>
    </row>
    <row r="87" spans="1:8" x14ac:dyDescent="0.25">
      <c r="A87" t="s">
        <v>36</v>
      </c>
      <c r="B87">
        <v>84655</v>
      </c>
      <c r="C87" s="2">
        <v>45</v>
      </c>
      <c r="D87" s="1">
        <v>43781</v>
      </c>
      <c r="E87" t="str">
        <f>"201911052884"</f>
        <v>201911052884</v>
      </c>
      <c r="F87" t="str">
        <f>"REIMBURSE COUPONS"</f>
        <v>REIMBURSE COUPONS</v>
      </c>
      <c r="G87" s="2">
        <v>45</v>
      </c>
      <c r="H87" t="str">
        <f>"REIMBURSE COUPONS"</f>
        <v>REIMBURSE COUPONS</v>
      </c>
    </row>
    <row r="88" spans="1:8" x14ac:dyDescent="0.25">
      <c r="A88" t="s">
        <v>36</v>
      </c>
      <c r="B88">
        <v>129684</v>
      </c>
      <c r="C88" s="2">
        <v>30</v>
      </c>
      <c r="D88" s="1">
        <v>43794</v>
      </c>
      <c r="E88" t="str">
        <f>"201911153299"</f>
        <v>201911153299</v>
      </c>
      <c r="F88" t="str">
        <f>"REIMBURSE COUPON STICKERS"</f>
        <v>REIMBURSE COUPON STICKERS</v>
      </c>
      <c r="G88" s="2">
        <v>30</v>
      </c>
      <c r="H88" t="str">
        <f>"REIMBURSE COUPON STICKERS"</f>
        <v>REIMBURSE COUPON STICKERS</v>
      </c>
    </row>
    <row r="89" spans="1:8" x14ac:dyDescent="0.25">
      <c r="A89" t="s">
        <v>37</v>
      </c>
      <c r="B89">
        <v>84656</v>
      </c>
      <c r="C89" s="2">
        <v>1251.4100000000001</v>
      </c>
      <c r="D89" s="1">
        <v>43781</v>
      </c>
      <c r="E89" t="str">
        <f>"201911042854"</f>
        <v>201911042854</v>
      </c>
      <c r="F89" t="str">
        <f>"CUST#16500/STATEMENT#366553/P4"</f>
        <v>CUST#16500/STATEMENT#366553/P4</v>
      </c>
      <c r="G89" s="2">
        <v>231.45</v>
      </c>
      <c r="H89" t="str">
        <f>"CUST#16500/STATEMENT#366553/P4"</f>
        <v>CUST#16500/STATEMENT#366553/P4</v>
      </c>
    </row>
    <row r="90" spans="1:8" x14ac:dyDescent="0.25">
      <c r="E90" t="str">
        <f>"201911063054"</f>
        <v>201911063054</v>
      </c>
      <c r="F90" t="str">
        <f>"CUST#16500/STATEMENT#366553/P4"</f>
        <v>CUST#16500/STATEMENT#366553/P4</v>
      </c>
      <c r="G90" s="2">
        <v>1019.96</v>
      </c>
      <c r="H90" t="str">
        <f>"CUST#16500/STATEMENT#366553/P4"</f>
        <v>CUST#16500/STATEMENT#366553/P4</v>
      </c>
    </row>
    <row r="91" spans="1:8" x14ac:dyDescent="0.25">
      <c r="A91" t="s">
        <v>38</v>
      </c>
      <c r="B91">
        <v>1697</v>
      </c>
      <c r="C91" s="2">
        <v>8475.4</v>
      </c>
      <c r="D91" s="1">
        <v>43782</v>
      </c>
      <c r="E91" t="str">
        <f>"201911042852"</f>
        <v>201911042852</v>
      </c>
      <c r="F91" t="str">
        <f>"HAULING EXPS 10/21-10/31/PCT#4"</f>
        <v>HAULING EXPS 10/21-10/31/PCT#4</v>
      </c>
      <c r="G91" s="2">
        <v>1687.77</v>
      </c>
      <c r="H91" t="str">
        <f>"HAULING EXPS 10/21-10/31/PCT#4"</f>
        <v>HAULING EXPS 10/21-10/31/PCT#4</v>
      </c>
    </row>
    <row r="92" spans="1:8" x14ac:dyDescent="0.25">
      <c r="E92" t="str">
        <f>"201911042853"</f>
        <v>201911042853</v>
      </c>
      <c r="F92" t="str">
        <f>"HAULING EXPS 10/21-10/31/PCT#4"</f>
        <v>HAULING EXPS 10/21-10/31/PCT#4</v>
      </c>
      <c r="G92" s="2">
        <v>6787.63</v>
      </c>
      <c r="H92" t="str">
        <f>"HAULING EXPS 10/21-10/31/PCT#4"</f>
        <v>HAULING EXPS 10/21-10/31/PCT#4</v>
      </c>
    </row>
    <row r="93" spans="1:8" x14ac:dyDescent="0.25">
      <c r="A93" t="s">
        <v>38</v>
      </c>
      <c r="B93">
        <v>1758</v>
      </c>
      <c r="C93" s="2">
        <v>15292.42</v>
      </c>
      <c r="D93" s="1">
        <v>43795</v>
      </c>
      <c r="E93" t="str">
        <f>"201911183313"</f>
        <v>201911183313</v>
      </c>
      <c r="F93" t="str">
        <f>"HAULING EXPS 11/04-11/15/PCT#4"</f>
        <v>HAULING EXPS 11/04-11/15/PCT#4</v>
      </c>
      <c r="G93" s="2">
        <v>7896.85</v>
      </c>
      <c r="H93" t="str">
        <f>"HAULING EXPS 11/04-11/15/PCT#4"</f>
        <v>HAULING EXPS 11/04-11/15/PCT#4</v>
      </c>
    </row>
    <row r="94" spans="1:8" x14ac:dyDescent="0.25">
      <c r="E94" t="str">
        <f>"201911183314"</f>
        <v>201911183314</v>
      </c>
      <c r="F94" t="str">
        <f>"HAULING EXPS 11/04-11/15/PCT#4"</f>
        <v>HAULING EXPS 11/04-11/15/PCT#4</v>
      </c>
      <c r="G94" s="2">
        <v>7395.57</v>
      </c>
      <c r="H94" t="str">
        <f>"HAULING EXPS 11/04-11/15/PCT#4"</f>
        <v>HAULING EXPS 11/04-11/15/PCT#4</v>
      </c>
    </row>
    <row r="95" spans="1:8" x14ac:dyDescent="0.25">
      <c r="A95" t="s">
        <v>39</v>
      </c>
      <c r="B95">
        <v>84657</v>
      </c>
      <c r="C95" s="2">
        <v>115</v>
      </c>
      <c r="D95" s="1">
        <v>43781</v>
      </c>
      <c r="E95" t="str">
        <f>"320562"</f>
        <v>320562</v>
      </c>
      <c r="F95" t="str">
        <f>"FIRE &amp; SAFETY EQUIP / GEN SERV"</f>
        <v>FIRE &amp; SAFETY EQUIP / GEN SERV</v>
      </c>
      <c r="G95" s="2">
        <v>115</v>
      </c>
      <c r="H95" t="str">
        <f>"FIRE &amp; SAFETY EQUIP / GEN SERV"</f>
        <v>FIRE &amp; SAFETY EQUIP / GEN SERV</v>
      </c>
    </row>
    <row r="96" spans="1:8" x14ac:dyDescent="0.25">
      <c r="A96" t="s">
        <v>39</v>
      </c>
      <c r="B96">
        <v>129685</v>
      </c>
      <c r="C96" s="2">
        <v>35</v>
      </c>
      <c r="D96" s="1">
        <v>43794</v>
      </c>
      <c r="E96" t="str">
        <f>"320568"</f>
        <v>320568</v>
      </c>
      <c r="F96" t="str">
        <f>"ANNUAL FIRE EXTINGUISHER SVC"</f>
        <v>ANNUAL FIRE EXTINGUISHER SVC</v>
      </c>
      <c r="G96" s="2">
        <v>35</v>
      </c>
      <c r="H96" t="str">
        <f>"ANNUAL FIRE EXTINGUISHER SVC"</f>
        <v>ANNUAL FIRE EXTINGUISHER SVC</v>
      </c>
    </row>
    <row r="97" spans="1:8" x14ac:dyDescent="0.25">
      <c r="A97" t="s">
        <v>40</v>
      </c>
      <c r="B97">
        <v>84658</v>
      </c>
      <c r="C97" s="2">
        <v>2030</v>
      </c>
      <c r="D97" s="1">
        <v>43781</v>
      </c>
      <c r="E97" t="str">
        <f>"201911012816"</f>
        <v>201911012816</v>
      </c>
      <c r="F97" t="str">
        <f>"423-3959"</f>
        <v>423-3959</v>
      </c>
      <c r="G97" s="2">
        <v>2030</v>
      </c>
      <c r="H97" t="str">
        <f>"423-3959"</f>
        <v>423-3959</v>
      </c>
    </row>
    <row r="98" spans="1:8" x14ac:dyDescent="0.25">
      <c r="A98" t="s">
        <v>41</v>
      </c>
      <c r="B98">
        <v>129686</v>
      </c>
      <c r="C98" s="2">
        <v>795</v>
      </c>
      <c r="D98" s="1">
        <v>43794</v>
      </c>
      <c r="E98" t="str">
        <f>"201911193376"</f>
        <v>201911193376</v>
      </c>
      <c r="F98" t="str">
        <f>"19-19857"</f>
        <v>19-19857</v>
      </c>
      <c r="G98" s="2">
        <v>142.5</v>
      </c>
    </row>
    <row r="99" spans="1:8" x14ac:dyDescent="0.25">
      <c r="E99" t="str">
        <f>"201911193377"</f>
        <v>201911193377</v>
      </c>
      <c r="F99" t="str">
        <f>"19-19864"</f>
        <v>19-19864</v>
      </c>
      <c r="G99" s="2">
        <v>175</v>
      </c>
    </row>
    <row r="100" spans="1:8" x14ac:dyDescent="0.25">
      <c r="E100" t="str">
        <f>"201911193378"</f>
        <v>201911193378</v>
      </c>
      <c r="F100" t="str">
        <f>"19-19713"</f>
        <v>19-19713</v>
      </c>
      <c r="G100" s="2">
        <v>75</v>
      </c>
    </row>
    <row r="101" spans="1:8" x14ac:dyDescent="0.25">
      <c r="E101" t="str">
        <f>"201911193379"</f>
        <v>201911193379</v>
      </c>
      <c r="F101" t="str">
        <f>"19-19558"</f>
        <v>19-19558</v>
      </c>
      <c r="G101" s="2">
        <v>287.5</v>
      </c>
    </row>
    <row r="102" spans="1:8" x14ac:dyDescent="0.25">
      <c r="E102" t="str">
        <f>"201911193380"</f>
        <v>201911193380</v>
      </c>
      <c r="F102" t="str">
        <f>"19-19811"</f>
        <v>19-19811</v>
      </c>
      <c r="G102" s="2">
        <v>115</v>
      </c>
    </row>
    <row r="103" spans="1:8" x14ac:dyDescent="0.25">
      <c r="A103" t="s">
        <v>42</v>
      </c>
      <c r="B103">
        <v>1765</v>
      </c>
      <c r="C103" s="2">
        <v>433.76</v>
      </c>
      <c r="D103" s="1">
        <v>43795</v>
      </c>
      <c r="E103" t="str">
        <f>"201911193320"</f>
        <v>201911193320</v>
      </c>
      <c r="F103" t="str">
        <f>"REIMBURSE HOTEL/MAIL/PARKING"</f>
        <v>REIMBURSE HOTEL/MAIL/PARKING</v>
      </c>
      <c r="G103" s="2">
        <v>313.76</v>
      </c>
      <c r="H103" t="str">
        <f>"REIMBURSE HOTEL/MAIL/PARKING"</f>
        <v>REIMBURSE HOTEL/MAIL/PARKING</v>
      </c>
    </row>
    <row r="104" spans="1:8" x14ac:dyDescent="0.25">
      <c r="E104" t="str">
        <f>"201911193321"</f>
        <v>201911193321</v>
      </c>
      <c r="F104" t="str">
        <f>"TRAVEL ADVANCE-PER DIEM"</f>
        <v>TRAVEL ADVANCE-PER DIEM</v>
      </c>
      <c r="G104" s="2">
        <v>120</v>
      </c>
      <c r="H104" t="str">
        <f>"TRAVEL ADVANCE-PER DIEM"</f>
        <v>TRAVEL ADVANCE-PER DIEM</v>
      </c>
    </row>
    <row r="105" spans="1:8" x14ac:dyDescent="0.25">
      <c r="A105" t="s">
        <v>43</v>
      </c>
      <c r="B105">
        <v>84659</v>
      </c>
      <c r="C105" s="2">
        <v>55</v>
      </c>
      <c r="D105" s="1">
        <v>43781</v>
      </c>
      <c r="E105" t="str">
        <f>"202977"</f>
        <v>202977</v>
      </c>
      <c r="F105" t="str">
        <f>"INV 202977"</f>
        <v>INV 202977</v>
      </c>
      <c r="G105" s="2">
        <v>55</v>
      </c>
      <c r="H105" t="str">
        <f>"INV 202977"</f>
        <v>INV 202977</v>
      </c>
    </row>
    <row r="106" spans="1:8" x14ac:dyDescent="0.25">
      <c r="A106" t="s">
        <v>44</v>
      </c>
      <c r="B106">
        <v>129687</v>
      </c>
      <c r="C106" s="2">
        <v>244</v>
      </c>
      <c r="D106" s="1">
        <v>43794</v>
      </c>
      <c r="E106" t="str">
        <f>"6846340"</f>
        <v>6846340</v>
      </c>
      <c r="F106" t="str">
        <f>"CUST#17295/PCT#4"</f>
        <v>CUST#17295/PCT#4</v>
      </c>
      <c r="G106" s="2">
        <v>244</v>
      </c>
      <c r="H106" t="str">
        <f>"CUST#17295/PCT#4"</f>
        <v>CUST#17295/PCT#4</v>
      </c>
    </row>
    <row r="107" spans="1:8" x14ac:dyDescent="0.25">
      <c r="A107" t="s">
        <v>45</v>
      </c>
      <c r="B107">
        <v>129688</v>
      </c>
      <c r="C107" s="2">
        <v>5349.39</v>
      </c>
      <c r="D107" s="1">
        <v>43794</v>
      </c>
      <c r="E107" t="str">
        <f>"67787"</f>
        <v>67787</v>
      </c>
      <c r="F107" t="str">
        <f>"LABOR/PARTS/EPA FEE/GAS/OIL/P3"</f>
        <v>LABOR/PARTS/EPA FEE/GAS/OIL/P3</v>
      </c>
      <c r="G107" s="2">
        <v>5349.39</v>
      </c>
      <c r="H107" t="str">
        <f>"LABOR/PARTS/EPA FEE/GAS/OIL/P3"</f>
        <v>LABOR/PARTS/EPA FEE/GAS/OIL/P3</v>
      </c>
    </row>
    <row r="108" spans="1:8" x14ac:dyDescent="0.25">
      <c r="A108" t="s">
        <v>46</v>
      </c>
      <c r="B108">
        <v>1731</v>
      </c>
      <c r="C108" s="2">
        <v>2400</v>
      </c>
      <c r="D108" s="1">
        <v>43782</v>
      </c>
      <c r="E108" t="str">
        <f>"201910292795"</f>
        <v>201910292795</v>
      </c>
      <c r="F108" t="str">
        <f>"16 982"</f>
        <v>16 982</v>
      </c>
      <c r="G108" s="2">
        <v>400</v>
      </c>
      <c r="H108" t="str">
        <f>"16 982"</f>
        <v>16 982</v>
      </c>
    </row>
    <row r="109" spans="1:8" x14ac:dyDescent="0.25">
      <c r="E109" t="str">
        <f>"201910292796"</f>
        <v>201910292796</v>
      </c>
      <c r="F109" t="str">
        <f>"16 983"</f>
        <v>16 983</v>
      </c>
      <c r="G109" s="2">
        <v>400</v>
      </c>
      <c r="H109" t="str">
        <f>"16 983"</f>
        <v>16 983</v>
      </c>
    </row>
    <row r="110" spans="1:8" x14ac:dyDescent="0.25">
      <c r="E110" t="str">
        <f>"201910292797"</f>
        <v>201910292797</v>
      </c>
      <c r="F110" t="str">
        <f>"16 852"</f>
        <v>16 852</v>
      </c>
      <c r="G110" s="2">
        <v>400</v>
      </c>
      <c r="H110" t="str">
        <f>"16 852"</f>
        <v>16 852</v>
      </c>
    </row>
    <row r="111" spans="1:8" x14ac:dyDescent="0.25">
      <c r="E111" t="str">
        <f>"201910292798"</f>
        <v>201910292798</v>
      </c>
      <c r="F111" t="str">
        <f>"16 867"</f>
        <v>16 867</v>
      </c>
      <c r="G111" s="2">
        <v>400</v>
      </c>
      <c r="H111" t="str">
        <f>"16 867"</f>
        <v>16 867</v>
      </c>
    </row>
    <row r="112" spans="1:8" x14ac:dyDescent="0.25">
      <c r="E112" t="str">
        <f>"201911012826"</f>
        <v>201911012826</v>
      </c>
      <c r="F112" t="str">
        <f>"16 945"</f>
        <v>16 945</v>
      </c>
      <c r="G112" s="2">
        <v>400</v>
      </c>
      <c r="H112" t="str">
        <f>"16 9145"</f>
        <v>16 9145</v>
      </c>
    </row>
    <row r="113" spans="1:8" x14ac:dyDescent="0.25">
      <c r="E113" t="str">
        <f>"201911012827"</f>
        <v>201911012827</v>
      </c>
      <c r="F113" t="str">
        <f>"16621"</f>
        <v>16621</v>
      </c>
      <c r="G113" s="2">
        <v>400</v>
      </c>
      <c r="H113" t="str">
        <f>"16621"</f>
        <v>16621</v>
      </c>
    </row>
    <row r="114" spans="1:8" x14ac:dyDescent="0.25">
      <c r="A114" t="s">
        <v>46</v>
      </c>
      <c r="B114">
        <v>1803</v>
      </c>
      <c r="C114" s="2">
        <v>1200</v>
      </c>
      <c r="D114" s="1">
        <v>43795</v>
      </c>
      <c r="E114" t="str">
        <f>"201911133233"</f>
        <v>201911133233</v>
      </c>
      <c r="F114" t="str">
        <f>"16930"</f>
        <v>16930</v>
      </c>
      <c r="G114" s="2">
        <v>400</v>
      </c>
      <c r="H114" t="str">
        <f>"16930"</f>
        <v>16930</v>
      </c>
    </row>
    <row r="115" spans="1:8" x14ac:dyDescent="0.25">
      <c r="E115" t="str">
        <f>"201911133234"</f>
        <v>201911133234</v>
      </c>
      <c r="F115" t="str">
        <f>"16 992"</f>
        <v>16 992</v>
      </c>
      <c r="G115" s="2">
        <v>400</v>
      </c>
      <c r="H115" t="str">
        <f>"16 992"</f>
        <v>16 992</v>
      </c>
    </row>
    <row r="116" spans="1:8" x14ac:dyDescent="0.25">
      <c r="E116" t="str">
        <f>"201911133255"</f>
        <v>201911133255</v>
      </c>
      <c r="F116" t="str">
        <f>"16897"</f>
        <v>16897</v>
      </c>
      <c r="G116" s="2">
        <v>400</v>
      </c>
      <c r="H116" t="str">
        <f>"16897"</f>
        <v>16897</v>
      </c>
    </row>
    <row r="117" spans="1:8" x14ac:dyDescent="0.25">
      <c r="A117" t="s">
        <v>47</v>
      </c>
      <c r="B117">
        <v>1705</v>
      </c>
      <c r="C117" s="2">
        <v>2667.96</v>
      </c>
      <c r="D117" s="1">
        <v>43782</v>
      </c>
      <c r="E117" t="str">
        <f>"201911052900"</f>
        <v>201911052900</v>
      </c>
      <c r="F117" t="str">
        <f>"57 169 57 171 57 186"</f>
        <v>57 169 57 171 57 186</v>
      </c>
      <c r="G117" s="2">
        <v>338.28</v>
      </c>
      <c r="H117" t="str">
        <f>"57 169 57 171 57 186"</f>
        <v>57 169 57 171 57 186</v>
      </c>
    </row>
    <row r="118" spans="1:8" x14ac:dyDescent="0.25">
      <c r="E118" t="str">
        <f>"201911052901"</f>
        <v>201911052901</v>
      </c>
      <c r="F118" t="str">
        <f>"57 023  57 156  57 185"</f>
        <v>57 023  57 156  57 185</v>
      </c>
      <c r="G118" s="2">
        <v>338.28</v>
      </c>
      <c r="H118" t="str">
        <f>"57 023  57 156  57 185"</f>
        <v>57 023  57 156  57 185</v>
      </c>
    </row>
    <row r="119" spans="1:8" x14ac:dyDescent="0.25">
      <c r="E119" t="str">
        <f>"201911052902"</f>
        <v>201911052902</v>
      </c>
      <c r="F119" t="str">
        <f>"CRIMINAL DOCKET 08/01/19"</f>
        <v>CRIMINAL DOCKET 08/01/19</v>
      </c>
      <c r="G119" s="2">
        <v>338.28</v>
      </c>
      <c r="H119" t="str">
        <f>"CRIMINAL DOCKET 08/01/19"</f>
        <v>CRIMINAL DOCKET 08/01/19</v>
      </c>
    </row>
    <row r="120" spans="1:8" x14ac:dyDescent="0.25">
      <c r="E120" t="str">
        <f>"201911052903"</f>
        <v>201911052903</v>
      </c>
      <c r="F120" t="str">
        <f>"CRIMINAL DOCKET 08/19/19"</f>
        <v>CRIMINAL DOCKET 08/19/19</v>
      </c>
      <c r="G120" s="2">
        <v>338.28</v>
      </c>
      <c r="H120" t="str">
        <f>"CRIMINAL DOCKET 08/01/19"</f>
        <v>CRIMINAL DOCKET 08/01/19</v>
      </c>
    </row>
    <row r="121" spans="1:8" x14ac:dyDescent="0.25">
      <c r="E121" t="str">
        <f>"201911052904"</f>
        <v>201911052904</v>
      </c>
      <c r="F121" t="str">
        <f>"56 875  56 958  56 296"</f>
        <v>56 875  56 958  56 296</v>
      </c>
      <c r="G121" s="2">
        <v>338.28</v>
      </c>
      <c r="H121" t="str">
        <f>"56 875  56 958  56 296"</f>
        <v>56 875  56 958  56 296</v>
      </c>
    </row>
    <row r="122" spans="1:8" x14ac:dyDescent="0.25">
      <c r="E122" t="str">
        <f>"201911052905"</f>
        <v>201911052905</v>
      </c>
      <c r="F122" t="str">
        <f>"CRIMINAL DOCKET 07/25/19"</f>
        <v>CRIMINAL DOCKET 07/25/19</v>
      </c>
      <c r="G122" s="2">
        <v>338.28</v>
      </c>
      <c r="H122" t="str">
        <f>"CRIMINAL DOCKET 07/25/19"</f>
        <v>CRIMINAL DOCKET 07/25/19</v>
      </c>
    </row>
    <row r="123" spans="1:8" x14ac:dyDescent="0.25">
      <c r="E123" t="str">
        <f>"201911063016"</f>
        <v>201911063016</v>
      </c>
      <c r="F123" t="str">
        <f>"423-5862"</f>
        <v>423-5862</v>
      </c>
      <c r="G123" s="2">
        <v>319.14</v>
      </c>
      <c r="H123" t="str">
        <f>"423-5862"</f>
        <v>423-5862</v>
      </c>
    </row>
    <row r="124" spans="1:8" x14ac:dyDescent="0.25">
      <c r="E124" t="str">
        <f>"201911063017"</f>
        <v>201911063017</v>
      </c>
      <c r="F124" t="str">
        <f>"423-5699"</f>
        <v>423-5699</v>
      </c>
      <c r="G124" s="2">
        <v>319.14</v>
      </c>
      <c r="H124" t="str">
        <f>"423-5699"</f>
        <v>423-5699</v>
      </c>
    </row>
    <row r="125" spans="1:8" x14ac:dyDescent="0.25">
      <c r="A125" t="s">
        <v>48</v>
      </c>
      <c r="B125">
        <v>84660</v>
      </c>
      <c r="C125" s="2">
        <v>495</v>
      </c>
      <c r="D125" s="1">
        <v>43781</v>
      </c>
      <c r="E125" t="str">
        <f>"0006081"</f>
        <v>0006081</v>
      </c>
      <c r="F125" t="str">
        <f>"REF#2019040047R/M L SPENCER"</f>
        <v>REF#2019040047R/M L SPENCER</v>
      </c>
      <c r="G125" s="2">
        <v>495</v>
      </c>
      <c r="H125" t="str">
        <f>"REF#2019040047R/M L SPENCER"</f>
        <v>REF#2019040047R/M L SPENCER</v>
      </c>
    </row>
    <row r="126" spans="1:8" x14ac:dyDescent="0.25">
      <c r="A126" t="s">
        <v>49</v>
      </c>
      <c r="B126">
        <v>84661</v>
      </c>
      <c r="C126" s="2">
        <v>36</v>
      </c>
      <c r="D126" s="1">
        <v>43781</v>
      </c>
      <c r="E126" t="str">
        <f>"201911063042"</f>
        <v>201911063042</v>
      </c>
      <c r="F126" t="str">
        <f>"RESTITUTION"</f>
        <v>RESTITUTION</v>
      </c>
      <c r="G126" s="2">
        <v>36</v>
      </c>
      <c r="H126" t="str">
        <f>"RESTITUTION"</f>
        <v>RESTITUTION</v>
      </c>
    </row>
    <row r="127" spans="1:8" x14ac:dyDescent="0.25">
      <c r="A127" t="s">
        <v>50</v>
      </c>
      <c r="B127">
        <v>1791</v>
      </c>
      <c r="C127" s="2">
        <v>5213.5600000000004</v>
      </c>
      <c r="D127" s="1">
        <v>43795</v>
      </c>
      <c r="E127" t="str">
        <f>"31966631"</f>
        <v>31966631</v>
      </c>
      <c r="F127" t="str">
        <f>"CUST ID:39327/BOL#713022/PCT#1"</f>
        <v>CUST ID:39327/BOL#713022/PCT#1</v>
      </c>
      <c r="G127" s="2">
        <v>5213.5600000000004</v>
      </c>
      <c r="H127" t="str">
        <f>"CUST ID:39327/BOL#713022/PCT#1"</f>
        <v>CUST ID:39327/BOL#713022/PCT#1</v>
      </c>
    </row>
    <row r="128" spans="1:8" x14ac:dyDescent="0.25">
      <c r="A128" t="s">
        <v>51</v>
      </c>
      <c r="B128">
        <v>84662</v>
      </c>
      <c r="C128" s="2">
        <v>16.29</v>
      </c>
      <c r="D128" s="1">
        <v>43781</v>
      </c>
      <c r="E128" t="str">
        <f>"201910302811"</f>
        <v>201910302811</v>
      </c>
      <c r="F128" t="str">
        <f>"MILEAGE REIMBURSEMENT"</f>
        <v>MILEAGE REIMBURSEMENT</v>
      </c>
      <c r="G128" s="2">
        <v>16.29</v>
      </c>
      <c r="H128" t="str">
        <f>"MILEAGE REIMBURSEMENT"</f>
        <v>MILEAGE REIMBURSEMENT</v>
      </c>
    </row>
    <row r="129" spans="1:8" x14ac:dyDescent="0.25">
      <c r="A129" t="s">
        <v>52</v>
      </c>
      <c r="B129">
        <v>1710</v>
      </c>
      <c r="C129" s="2">
        <v>5443.81</v>
      </c>
      <c r="D129" s="1">
        <v>43782</v>
      </c>
      <c r="E129" t="str">
        <f>"14P1-V3C9-1FWY"</f>
        <v>14P1-V3C9-1FWY</v>
      </c>
      <c r="F129" t="str">
        <f>"Remote Pilot Test Prep"</f>
        <v>Remote Pilot Test Prep</v>
      </c>
      <c r="G129" s="2">
        <v>89.8</v>
      </c>
      <c r="H129" t="str">
        <f>"2020 Remote Pilot Te"</f>
        <v>2020 Remote Pilot Te</v>
      </c>
    </row>
    <row r="130" spans="1:8" x14ac:dyDescent="0.25">
      <c r="E130" t="str">
        <f>"14QN-WKKK-MP33"</f>
        <v>14QN-WKKK-MP33</v>
      </c>
      <c r="F130" t="str">
        <f>"Amazon Order"</f>
        <v>Amazon Order</v>
      </c>
      <c r="G130" s="2">
        <v>403.37</v>
      </c>
      <c r="H130" t="str">
        <f>"Clamps"</f>
        <v>Clamps</v>
      </c>
    </row>
    <row r="131" spans="1:8" x14ac:dyDescent="0.25">
      <c r="E131" t="str">
        <f>""</f>
        <v/>
      </c>
      <c r="F131" t="str">
        <f>""</f>
        <v/>
      </c>
      <c r="H131" t="str">
        <f>"5% Coupon"</f>
        <v>5% Coupon</v>
      </c>
    </row>
    <row r="132" spans="1:8" x14ac:dyDescent="0.25">
      <c r="E132" t="str">
        <f>"1QL3-R444-WIMC"</f>
        <v>1QL3-R444-WIMC</v>
      </c>
      <c r="F132" t="str">
        <f>"Multiple items"</f>
        <v>Multiple items</v>
      </c>
      <c r="G132" s="2">
        <v>400.86</v>
      </c>
      <c r="H132" t="str">
        <f>"Sit/Stand Desk for I"</f>
        <v>Sit/Stand Desk for I</v>
      </c>
    </row>
    <row r="133" spans="1:8" x14ac:dyDescent="0.25">
      <c r="E133" t="str">
        <f>""</f>
        <v/>
      </c>
      <c r="F133" t="str">
        <f>""</f>
        <v/>
      </c>
      <c r="H133" t="str">
        <f>"9X12Frame"</f>
        <v>9X12Frame</v>
      </c>
    </row>
    <row r="134" spans="1:8" x14ac:dyDescent="0.25">
      <c r="E134" t="str">
        <f>"1QL3-R444-YTYL"</f>
        <v>1QL3-R444-YTYL</v>
      </c>
      <c r="F134" t="str">
        <f>"Cisco Phone Wall Mounts"</f>
        <v>Cisco Phone Wall Mounts</v>
      </c>
      <c r="G134" s="2">
        <v>87</v>
      </c>
      <c r="H134" t="str">
        <f>"Cisco Phone Wall Mounts"</f>
        <v>Cisco Phone Wall Mounts</v>
      </c>
    </row>
    <row r="135" spans="1:8" x14ac:dyDescent="0.25">
      <c r="E135" t="str">
        <f>"201911063027"</f>
        <v>201911063027</v>
      </c>
      <c r="F135" t="str">
        <f>"Mulitple Tickets"</f>
        <v>Mulitple Tickets</v>
      </c>
      <c r="G135" s="2">
        <v>4462.78</v>
      </c>
      <c r="H135" t="str">
        <f>"Key Box"</f>
        <v>Key Box</v>
      </c>
    </row>
    <row r="136" spans="1:8" x14ac:dyDescent="0.25">
      <c r="E136" t="str">
        <f>""</f>
        <v/>
      </c>
      <c r="F136" t="str">
        <f>""</f>
        <v/>
      </c>
      <c r="H136" t="str">
        <f>"Apple - 11-Inch iPad"</f>
        <v>Apple - 11-Inch iPad</v>
      </c>
    </row>
    <row r="137" spans="1:8" x14ac:dyDescent="0.25">
      <c r="E137" t="str">
        <f>""</f>
        <v/>
      </c>
      <c r="F137" t="str">
        <f>""</f>
        <v/>
      </c>
      <c r="H137" t="str">
        <f>"Streamlight LED Ligh"</f>
        <v>Streamlight LED Ligh</v>
      </c>
    </row>
    <row r="138" spans="1:8" x14ac:dyDescent="0.25">
      <c r="E138" t="str">
        <f>""</f>
        <v/>
      </c>
      <c r="F138" t="str">
        <f>""</f>
        <v/>
      </c>
      <c r="H138" t="str">
        <f>"Rubber Bin Backs"</f>
        <v>Rubber Bin Backs</v>
      </c>
    </row>
    <row r="139" spans="1:8" x14ac:dyDescent="0.25">
      <c r="A139" t="s">
        <v>52</v>
      </c>
      <c r="B139">
        <v>1779</v>
      </c>
      <c r="C139" s="2">
        <v>5525.18</v>
      </c>
      <c r="D139" s="1">
        <v>43795</v>
      </c>
      <c r="E139" t="str">
        <f>"14CV-TXQ4-17L9"</f>
        <v>14CV-TXQ4-17L9</v>
      </c>
      <c r="F139" t="str">
        <f>"Drone accessories"</f>
        <v>Drone accessories</v>
      </c>
      <c r="G139" s="2">
        <v>279.76</v>
      </c>
      <c r="H139" t="str">
        <f>"Tablet Tripod"</f>
        <v>Tablet Tripod</v>
      </c>
    </row>
    <row r="140" spans="1:8" x14ac:dyDescent="0.25">
      <c r="E140" t="str">
        <f>""</f>
        <v/>
      </c>
      <c r="F140" t="str">
        <f>""</f>
        <v/>
      </c>
      <c r="H140" t="str">
        <f>"Shipping"</f>
        <v>Shipping</v>
      </c>
    </row>
    <row r="141" spans="1:8" x14ac:dyDescent="0.25">
      <c r="E141" t="str">
        <f>""</f>
        <v/>
      </c>
      <c r="F141" t="str">
        <f>""</f>
        <v/>
      </c>
      <c r="H141" t="str">
        <f>"Yaesu FTA550"</f>
        <v>Yaesu FTA550</v>
      </c>
    </row>
    <row r="142" spans="1:8" x14ac:dyDescent="0.25">
      <c r="E142" t="str">
        <f>"17CK-DX74-RK3T"</f>
        <v>17CK-DX74-RK3T</v>
      </c>
      <c r="F142" t="str">
        <f>"inv# 17CK-DX74-RK3T"</f>
        <v>inv# 17CK-DX74-RK3T</v>
      </c>
      <c r="G142" s="2">
        <v>295.06</v>
      </c>
      <c r="H142" t="str">
        <f>"Havis"</f>
        <v>Havis</v>
      </c>
    </row>
    <row r="143" spans="1:8" x14ac:dyDescent="0.25">
      <c r="E143" t="str">
        <f>""</f>
        <v/>
      </c>
      <c r="F143" t="str">
        <f>""</f>
        <v/>
      </c>
      <c r="H143" t="str">
        <f>"Protect"</f>
        <v>Protect</v>
      </c>
    </row>
    <row r="144" spans="1:8" x14ac:dyDescent="0.25">
      <c r="E144" t="str">
        <f>""</f>
        <v/>
      </c>
      <c r="F144" t="str">
        <f>""</f>
        <v/>
      </c>
      <c r="H144" t="str">
        <f>"Shipping"</f>
        <v>Shipping</v>
      </c>
    </row>
    <row r="145" spans="5:8" x14ac:dyDescent="0.25">
      <c r="E145" t="str">
        <f>""</f>
        <v/>
      </c>
      <c r="F145" t="str">
        <f>""</f>
        <v/>
      </c>
      <c r="H145" t="str">
        <f>"Returned"</f>
        <v>Returned</v>
      </c>
    </row>
    <row r="146" spans="5:8" x14ac:dyDescent="0.25">
      <c r="E146" t="str">
        <f>"17HD-DL6Q-TH3K"</f>
        <v>17HD-DL6Q-TH3K</v>
      </c>
      <c r="F146" t="str">
        <f>"File Cabinets"</f>
        <v>File Cabinets</v>
      </c>
      <c r="G146" s="2">
        <v>817.9</v>
      </c>
      <c r="H146" t="str">
        <f>"File Cabinets"</f>
        <v>File Cabinets</v>
      </c>
    </row>
    <row r="147" spans="5:8" x14ac:dyDescent="0.25">
      <c r="E147" t="str">
        <f>"1DJK-K3WD-TPCF"</f>
        <v>1DJK-K3WD-TPCF</v>
      </c>
      <c r="F147" t="str">
        <f>"Amazon Order"</f>
        <v>Amazon Order</v>
      </c>
      <c r="G147" s="2">
        <v>1324.79</v>
      </c>
      <c r="H147" t="str">
        <f>"TS20049C"</f>
        <v>TS20049C</v>
      </c>
    </row>
    <row r="148" spans="5:8" x14ac:dyDescent="0.25">
      <c r="E148" t="str">
        <f>""</f>
        <v/>
      </c>
      <c r="F148" t="str">
        <f>""</f>
        <v/>
      </c>
      <c r="H148" t="str">
        <f>"TS20048C"</f>
        <v>TS20048C</v>
      </c>
    </row>
    <row r="149" spans="5:8" x14ac:dyDescent="0.25">
      <c r="E149" t="str">
        <f>""</f>
        <v/>
      </c>
      <c r="F149" t="str">
        <f>""</f>
        <v/>
      </c>
      <c r="H149" t="str">
        <f>"Ball and Safety Chai"</f>
        <v>Ball and Safety Chai</v>
      </c>
    </row>
    <row r="150" spans="5:8" x14ac:dyDescent="0.25">
      <c r="E150" t="str">
        <f>""</f>
        <v/>
      </c>
      <c r="F150" t="str">
        <f>""</f>
        <v/>
      </c>
      <c r="H150" t="str">
        <f>"Pencil bag"</f>
        <v>Pencil bag</v>
      </c>
    </row>
    <row r="151" spans="5:8" x14ac:dyDescent="0.25">
      <c r="E151" t="str">
        <f>""</f>
        <v/>
      </c>
      <c r="F151" t="str">
        <f>""</f>
        <v/>
      </c>
      <c r="H151" t="str">
        <f>"BOLT 7018448"</f>
        <v>BOLT 7018448</v>
      </c>
    </row>
    <row r="152" spans="5:8" x14ac:dyDescent="0.25">
      <c r="E152" t="str">
        <f>""</f>
        <v/>
      </c>
      <c r="F152" t="str">
        <f>""</f>
        <v/>
      </c>
      <c r="H152" t="str">
        <f>"Chromalabel Yellow"</f>
        <v>Chromalabel Yellow</v>
      </c>
    </row>
    <row r="153" spans="5:8" x14ac:dyDescent="0.25">
      <c r="E153" t="str">
        <f>""</f>
        <v/>
      </c>
      <c r="F153" t="str">
        <f>""</f>
        <v/>
      </c>
      <c r="H153" t="str">
        <f>"Atomic Clock"</f>
        <v>Atomic Clock</v>
      </c>
    </row>
    <row r="154" spans="5:8" x14ac:dyDescent="0.25">
      <c r="E154" t="str">
        <f>""</f>
        <v/>
      </c>
      <c r="F154" t="str">
        <f>""</f>
        <v/>
      </c>
      <c r="H154" t="str">
        <f>"DJI Backpack"</f>
        <v>DJI Backpack</v>
      </c>
    </row>
    <row r="155" spans="5:8" x14ac:dyDescent="0.25">
      <c r="E155" t="str">
        <f>""</f>
        <v/>
      </c>
      <c r="F155" t="str">
        <f>""</f>
        <v/>
      </c>
      <c r="H155" t="str">
        <f>"Phottix M180"</f>
        <v>Phottix M180</v>
      </c>
    </row>
    <row r="156" spans="5:8" x14ac:dyDescent="0.25">
      <c r="E156" t="str">
        <f>""</f>
        <v/>
      </c>
      <c r="F156" t="str">
        <f>""</f>
        <v/>
      </c>
      <c r="H156" t="str">
        <f>"Zeadio Tripod"</f>
        <v>Zeadio Tripod</v>
      </c>
    </row>
    <row r="157" spans="5:8" x14ac:dyDescent="0.25">
      <c r="E157" t="str">
        <f>"1FIT-PINQ-D6MM"</f>
        <v>1FIT-PINQ-D6MM</v>
      </c>
      <c r="F157" t="str">
        <f>"Walkie Talkie"</f>
        <v>Walkie Talkie</v>
      </c>
      <c r="G157" s="2">
        <v>88.99</v>
      </c>
      <c r="H157" t="str">
        <f>"Walkie Talkie"</f>
        <v>Walkie Talkie</v>
      </c>
    </row>
    <row r="158" spans="5:8" x14ac:dyDescent="0.25">
      <c r="E158" t="str">
        <f>"1G36-9QK7-KKC3"</f>
        <v>1G36-9QK7-KKC3</v>
      </c>
      <c r="F158" t="str">
        <f>"Toliet Parts"</f>
        <v>Toliet Parts</v>
      </c>
      <c r="G158" s="2">
        <v>1903.8</v>
      </c>
      <c r="H158" t="str">
        <f>" 9 Volt"</f>
        <v xml:space="preserve"> 9 Volt</v>
      </c>
    </row>
    <row r="159" spans="5:8" x14ac:dyDescent="0.25">
      <c r="E159" t="str">
        <f>""</f>
        <v/>
      </c>
      <c r="F159" t="str">
        <f>""</f>
        <v/>
      </c>
      <c r="H159" t="str">
        <f>"D Battery"</f>
        <v>D Battery</v>
      </c>
    </row>
    <row r="160" spans="5:8" x14ac:dyDescent="0.25">
      <c r="E160" t="str">
        <f>""</f>
        <v/>
      </c>
      <c r="F160" t="str">
        <f>""</f>
        <v/>
      </c>
      <c r="H160" t="str">
        <f>"C Battery"</f>
        <v>C Battery</v>
      </c>
    </row>
    <row r="161" spans="5:8" x14ac:dyDescent="0.25">
      <c r="E161" t="str">
        <f>""</f>
        <v/>
      </c>
      <c r="F161" t="str">
        <f>""</f>
        <v/>
      </c>
      <c r="H161" t="str">
        <f>"AAA Battery"</f>
        <v>AAA Battery</v>
      </c>
    </row>
    <row r="162" spans="5:8" x14ac:dyDescent="0.25">
      <c r="E162" t="str">
        <f>""</f>
        <v/>
      </c>
      <c r="F162" t="str">
        <f>""</f>
        <v/>
      </c>
      <c r="H162" t="str">
        <f>"AA Battery"</f>
        <v>AA Battery</v>
      </c>
    </row>
    <row r="163" spans="5:8" x14ac:dyDescent="0.25">
      <c r="E163" t="str">
        <f>""</f>
        <v/>
      </c>
      <c r="F163" t="str">
        <f>""</f>
        <v/>
      </c>
      <c r="H163" t="str">
        <f>"Sloan EBV-136-A"</f>
        <v>Sloan EBV-136-A</v>
      </c>
    </row>
    <row r="164" spans="5:8" x14ac:dyDescent="0.25">
      <c r="E164" t="str">
        <f>""</f>
        <v/>
      </c>
      <c r="F164" t="str">
        <f>""</f>
        <v/>
      </c>
      <c r="H164" t="str">
        <f>"V-651-A"</f>
        <v>V-651-A</v>
      </c>
    </row>
    <row r="165" spans="5:8" x14ac:dyDescent="0.25">
      <c r="E165" t="str">
        <f>""</f>
        <v/>
      </c>
      <c r="F165" t="str">
        <f>""</f>
        <v/>
      </c>
      <c r="H165" t="str">
        <f>"EBV-129-A-C"</f>
        <v>EBV-129-A-C</v>
      </c>
    </row>
    <row r="166" spans="5:8" x14ac:dyDescent="0.25">
      <c r="E166" t="str">
        <f>""</f>
        <v/>
      </c>
      <c r="F166" t="str">
        <f>""</f>
        <v/>
      </c>
      <c r="H166" t="str">
        <f>"EBV-129-A-U"</f>
        <v>EBV-129-A-U</v>
      </c>
    </row>
    <row r="167" spans="5:8" x14ac:dyDescent="0.25">
      <c r="E167" t="str">
        <f>""</f>
        <v/>
      </c>
      <c r="F167" t="str">
        <f>""</f>
        <v/>
      </c>
      <c r="H167" t="str">
        <f>"EBV-1020-A"</f>
        <v>EBV-1020-A</v>
      </c>
    </row>
    <row r="168" spans="5:8" x14ac:dyDescent="0.25">
      <c r="E168" t="str">
        <f>""</f>
        <v/>
      </c>
      <c r="F168" t="str">
        <f>""</f>
        <v/>
      </c>
      <c r="H168" t="str">
        <f>"TV Cover"</f>
        <v>TV Cover</v>
      </c>
    </row>
    <row r="169" spans="5:8" x14ac:dyDescent="0.25">
      <c r="E169" t="str">
        <f>"1J9L-HHJM-FKQ9"</f>
        <v>1J9L-HHJM-FKQ9</v>
      </c>
      <c r="F169" t="str">
        <f>"Amazon Order"</f>
        <v>Amazon Order</v>
      </c>
      <c r="G169" s="2">
        <v>399.24</v>
      </c>
      <c r="H169" t="str">
        <f>"SanDisk 512GB"</f>
        <v>SanDisk 512GB</v>
      </c>
    </row>
    <row r="170" spans="5:8" x14ac:dyDescent="0.25">
      <c r="E170" t="str">
        <f>""</f>
        <v/>
      </c>
      <c r="F170" t="str">
        <f>""</f>
        <v/>
      </c>
      <c r="H170" t="str">
        <f>"OtterBox pro 11"</f>
        <v>OtterBox pro 11</v>
      </c>
    </row>
    <row r="171" spans="5:8" x14ac:dyDescent="0.25">
      <c r="E171" t="str">
        <f>""</f>
        <v/>
      </c>
      <c r="F171" t="str">
        <f>""</f>
        <v/>
      </c>
      <c r="H171" t="str">
        <f>"UGREEN SD"</f>
        <v>UGREEN SD</v>
      </c>
    </row>
    <row r="172" spans="5:8" x14ac:dyDescent="0.25">
      <c r="E172" t="str">
        <f>""</f>
        <v/>
      </c>
      <c r="F172" t="str">
        <f>""</f>
        <v/>
      </c>
      <c r="H172" t="str">
        <f>"5% Discount"</f>
        <v>5% Discount</v>
      </c>
    </row>
    <row r="173" spans="5:8" x14ac:dyDescent="0.25">
      <c r="E173" t="str">
        <f>"1P4T-PDF9-9JKX"</f>
        <v>1P4T-PDF9-9JKX</v>
      </c>
      <c r="F173" t="str">
        <f>"Air Wick Pure Freshmatic"</f>
        <v>Air Wick Pure Freshmatic</v>
      </c>
      <c r="G173" s="2">
        <v>45.6</v>
      </c>
      <c r="H173" t="str">
        <f>"Air Wick Pure Freshmatic"</f>
        <v>Air Wick Pure Freshmatic</v>
      </c>
    </row>
    <row r="174" spans="5:8" x14ac:dyDescent="0.25">
      <c r="E174" t="str">
        <f>"1QX9-DXLF-G6CW"</f>
        <v>1QX9-DXLF-G6CW</v>
      </c>
      <c r="F174" t="str">
        <f>"San-Cloth Wipes"</f>
        <v>San-Cloth Wipes</v>
      </c>
      <c r="G174" s="2">
        <v>283.12</v>
      </c>
      <c r="H174" t="str">
        <f>"SUrfase bUosE"</f>
        <v>SUrfase bUosE</v>
      </c>
    </row>
    <row r="175" spans="5:8" x14ac:dyDescent="0.25">
      <c r="E175" t="str">
        <f>""</f>
        <v/>
      </c>
      <c r="F175" t="str">
        <f>""</f>
        <v/>
      </c>
      <c r="H175" t="str">
        <f>"Bleach"</f>
        <v>Bleach</v>
      </c>
    </row>
    <row r="176" spans="5:8" x14ac:dyDescent="0.25">
      <c r="E176" t="str">
        <f>"1YH7-YXXQ-766W"</f>
        <v>1YH7-YXXQ-766W</v>
      </c>
      <c r="F176" t="str">
        <f>"Drone Accessories"</f>
        <v>Drone Accessories</v>
      </c>
      <c r="G176" s="2">
        <v>86.92</v>
      </c>
      <c r="H176" t="str">
        <f>"ishot G&amp; Tripods wit"</f>
        <v>ishot G&amp; Tripods wit</v>
      </c>
    </row>
    <row r="177" spans="1:8" x14ac:dyDescent="0.25">
      <c r="E177" t="str">
        <f>""</f>
        <v/>
      </c>
      <c r="F177" t="str">
        <f>""</f>
        <v/>
      </c>
      <c r="H177" t="str">
        <f>"Shipping"</f>
        <v>Shipping</v>
      </c>
    </row>
    <row r="178" spans="1:8" x14ac:dyDescent="0.25">
      <c r="A178" t="s">
        <v>53</v>
      </c>
      <c r="B178">
        <v>84663</v>
      </c>
      <c r="C178" s="2">
        <v>25.38</v>
      </c>
      <c r="D178" s="1">
        <v>43781</v>
      </c>
      <c r="E178" t="str">
        <f>"01-191228730"</f>
        <v>01-191228730</v>
      </c>
      <c r="F178" t="str">
        <f>"INV 01-191228730"</f>
        <v>INV 01-191228730</v>
      </c>
      <c r="G178" s="2">
        <v>25.38</v>
      </c>
      <c r="H178" t="str">
        <f>"INV 01-191228730"</f>
        <v>INV 01-191228730</v>
      </c>
    </row>
    <row r="179" spans="1:8" x14ac:dyDescent="0.25">
      <c r="A179" t="s">
        <v>54</v>
      </c>
      <c r="B179">
        <v>84664</v>
      </c>
      <c r="C179" s="2">
        <v>137</v>
      </c>
      <c r="D179" s="1">
        <v>43781</v>
      </c>
      <c r="E179" t="str">
        <f>"961171482"</f>
        <v>961171482</v>
      </c>
      <c r="F179" t="str">
        <f>"INV 961171482"</f>
        <v>INV 961171482</v>
      </c>
      <c r="G179" s="2">
        <v>137</v>
      </c>
      <c r="H179" t="str">
        <f>"INV 961171482"</f>
        <v>INV 961171482</v>
      </c>
    </row>
    <row r="180" spans="1:8" x14ac:dyDescent="0.25">
      <c r="A180" t="s">
        <v>55</v>
      </c>
      <c r="B180">
        <v>84665</v>
      </c>
      <c r="C180" s="2">
        <v>28908.36</v>
      </c>
      <c r="D180" s="1">
        <v>43781</v>
      </c>
      <c r="E180" t="str">
        <f>"111209"</f>
        <v>111209</v>
      </c>
      <c r="F180" t="str">
        <f>"METERING/POSTAGE"</f>
        <v>METERING/POSTAGE</v>
      </c>
      <c r="G180" s="2">
        <v>28908.36</v>
      </c>
      <c r="H180" t="str">
        <f>"METERING/POSTAGE"</f>
        <v>METERING/POSTAGE</v>
      </c>
    </row>
    <row r="181" spans="1:8" x14ac:dyDescent="0.25">
      <c r="E181" t="str">
        <f>""</f>
        <v/>
      </c>
      <c r="F181" t="str">
        <f>""</f>
        <v/>
      </c>
      <c r="H181" t="str">
        <f>"METERING/POSTAGE"</f>
        <v>METERING/POSTAGE</v>
      </c>
    </row>
    <row r="182" spans="1:8" x14ac:dyDescent="0.25">
      <c r="A182" t="s">
        <v>55</v>
      </c>
      <c r="B182">
        <v>84848</v>
      </c>
      <c r="C182" s="2">
        <v>10526.98</v>
      </c>
      <c r="D182" s="1">
        <v>43783</v>
      </c>
      <c r="E182" t="str">
        <f>"VR Postage"</f>
        <v>VR Postage</v>
      </c>
      <c r="F182" t="str">
        <f>"VR Postage - Elections"</f>
        <v>VR Postage - Elections</v>
      </c>
      <c r="G182" s="2">
        <v>10526.98</v>
      </c>
      <c r="H182" t="str">
        <f>"VR Postage - Elections"</f>
        <v>VR Postage - Elections</v>
      </c>
    </row>
    <row r="183" spans="1:8" x14ac:dyDescent="0.25">
      <c r="A183" t="s">
        <v>55</v>
      </c>
      <c r="B183">
        <v>129689</v>
      </c>
      <c r="C183" s="2">
        <v>4976.91</v>
      </c>
      <c r="D183" s="1">
        <v>43794</v>
      </c>
      <c r="E183" t="str">
        <f>"111289"</f>
        <v>111289</v>
      </c>
      <c r="F183" t="str">
        <f>"LASER PRINTING/POSTAGE"</f>
        <v>LASER PRINTING/POSTAGE</v>
      </c>
      <c r="G183" s="2">
        <v>4215.1400000000003</v>
      </c>
      <c r="H183" t="str">
        <f>"LASER PRINTING/POSTAGE"</f>
        <v>LASER PRINTING/POSTAGE</v>
      </c>
    </row>
    <row r="184" spans="1:8" x14ac:dyDescent="0.25">
      <c r="E184" t="str">
        <f>"111425"</f>
        <v>111425</v>
      </c>
      <c r="F184" t="str">
        <f>"PAPER/CUTTING/LASER PRINT/POST"</f>
        <v>PAPER/CUTTING/LASER PRINT/POST</v>
      </c>
      <c r="G184" s="2">
        <v>761.77</v>
      </c>
      <c r="H184" t="str">
        <f>"PAPER/CUTTING/LASER PRINT/POST"</f>
        <v>PAPER/CUTTING/LASER PRINT/POST</v>
      </c>
    </row>
    <row r="185" spans="1:8" x14ac:dyDescent="0.25">
      <c r="A185" t="s">
        <v>56</v>
      </c>
      <c r="B185">
        <v>1740</v>
      </c>
      <c r="C185" s="2">
        <v>2675</v>
      </c>
      <c r="D185" s="1">
        <v>43782</v>
      </c>
      <c r="E185" t="str">
        <f>"201911012817"</f>
        <v>201911012817</v>
      </c>
      <c r="F185" t="str">
        <f>"16 925"</f>
        <v>16 925</v>
      </c>
      <c r="G185" s="2">
        <v>400</v>
      </c>
      <c r="H185" t="str">
        <f>"16 925"</f>
        <v>16 925</v>
      </c>
    </row>
    <row r="186" spans="1:8" x14ac:dyDescent="0.25">
      <c r="E186" t="str">
        <f>"201911012818"</f>
        <v>201911012818</v>
      </c>
      <c r="F186" t="str">
        <f>"16 662"</f>
        <v>16 662</v>
      </c>
      <c r="G186" s="2">
        <v>1000</v>
      </c>
      <c r="H186" t="str">
        <f>"16 662"</f>
        <v>16 662</v>
      </c>
    </row>
    <row r="187" spans="1:8" x14ac:dyDescent="0.25">
      <c r="E187" t="str">
        <f>"201911012819"</f>
        <v>201911012819</v>
      </c>
      <c r="F187" t="str">
        <f>"02-1021-2"</f>
        <v>02-1021-2</v>
      </c>
      <c r="G187" s="2">
        <v>400</v>
      </c>
      <c r="H187" t="str">
        <f>"02-1021-2"</f>
        <v>02-1021-2</v>
      </c>
    </row>
    <row r="188" spans="1:8" x14ac:dyDescent="0.25">
      <c r="E188" t="str">
        <f>"201911012820"</f>
        <v>201911012820</v>
      </c>
      <c r="F188" t="str">
        <f>"16 683"</f>
        <v>16 683</v>
      </c>
      <c r="G188" s="2">
        <v>400</v>
      </c>
      <c r="H188" t="str">
        <f>"16 683"</f>
        <v>16 683</v>
      </c>
    </row>
    <row r="189" spans="1:8" x14ac:dyDescent="0.25">
      <c r="E189" t="str">
        <f>"201911052970"</f>
        <v>201911052970</v>
      </c>
      <c r="F189" t="str">
        <f>"57029  408308.3"</f>
        <v>57029  408308.3</v>
      </c>
      <c r="G189" s="2">
        <v>375</v>
      </c>
      <c r="H189" t="str">
        <f>"57029  408308.3"</f>
        <v>57029  408308.3</v>
      </c>
    </row>
    <row r="190" spans="1:8" x14ac:dyDescent="0.25">
      <c r="E190" t="str">
        <f>"201911052971"</f>
        <v>201911052971</v>
      </c>
      <c r="F190" t="str">
        <f>"NO CAUSE # LISTED"</f>
        <v>NO CAUSE # LISTED</v>
      </c>
      <c r="G190" s="2">
        <v>100</v>
      </c>
      <c r="H190" t="str">
        <f>"NO CAUSE # LISTED"</f>
        <v>NO CAUSE # LISTED</v>
      </c>
    </row>
    <row r="191" spans="1:8" x14ac:dyDescent="0.25">
      <c r="A191" t="s">
        <v>56</v>
      </c>
      <c r="B191">
        <v>1822</v>
      </c>
      <c r="C191" s="2">
        <v>5538.02</v>
      </c>
      <c r="D191" s="1">
        <v>43795</v>
      </c>
      <c r="E191" t="str">
        <f>"201911133226"</f>
        <v>201911133226</v>
      </c>
      <c r="F191" t="str">
        <f>"16 980CT1  16 980CT2"</f>
        <v>16 980CT1  16 980CT2</v>
      </c>
      <c r="G191" s="2">
        <v>1400</v>
      </c>
      <c r="H191" t="str">
        <f>"16 980CT1  16 980CT2"</f>
        <v>16 980CT1  16 980CT2</v>
      </c>
    </row>
    <row r="192" spans="1:8" x14ac:dyDescent="0.25">
      <c r="E192" t="str">
        <f>"201911133227"</f>
        <v>201911133227</v>
      </c>
      <c r="F192" t="str">
        <f>"423-5815"</f>
        <v>423-5815</v>
      </c>
      <c r="G192" s="2">
        <v>1567.5</v>
      </c>
      <c r="H192" t="str">
        <f>"423-5815"</f>
        <v>423-5815</v>
      </c>
    </row>
    <row r="193" spans="1:8" x14ac:dyDescent="0.25">
      <c r="E193" t="str">
        <f>"201911133243"</f>
        <v>201911133243</v>
      </c>
      <c r="F193" t="str">
        <f>"16 854"</f>
        <v>16 854</v>
      </c>
      <c r="G193" s="2">
        <v>400</v>
      </c>
      <c r="H193" t="str">
        <f>"16 854"</f>
        <v>16 854</v>
      </c>
    </row>
    <row r="194" spans="1:8" x14ac:dyDescent="0.25">
      <c r="E194" t="str">
        <f>"201911133244"</f>
        <v>201911133244</v>
      </c>
      <c r="F194" t="str">
        <f>"16 803  20180045B"</f>
        <v>16 803  20180045B</v>
      </c>
      <c r="G194" s="2">
        <v>600</v>
      </c>
      <c r="H194" t="str">
        <f>"16 803  20180045B"</f>
        <v>16 803  20180045B</v>
      </c>
    </row>
    <row r="195" spans="1:8" x14ac:dyDescent="0.25">
      <c r="E195" t="str">
        <f>"201911133245"</f>
        <v>201911133245</v>
      </c>
      <c r="F195" t="str">
        <f>"423-4444"</f>
        <v>423-4444</v>
      </c>
      <c r="G195" s="2">
        <v>870.52</v>
      </c>
      <c r="H195" t="str">
        <f>"423-4444"</f>
        <v>423-4444</v>
      </c>
    </row>
    <row r="196" spans="1:8" x14ac:dyDescent="0.25">
      <c r="E196" t="str">
        <f>"201911133246"</f>
        <v>201911133246</v>
      </c>
      <c r="F196" t="str">
        <f>"1308-335"</f>
        <v>1308-335</v>
      </c>
      <c r="G196" s="2">
        <v>100</v>
      </c>
      <c r="H196" t="str">
        <f>"1308-335"</f>
        <v>1308-335</v>
      </c>
    </row>
    <row r="197" spans="1:8" x14ac:dyDescent="0.25">
      <c r="E197" t="str">
        <f>"201911133247"</f>
        <v>201911133247</v>
      </c>
      <c r="F197" t="str">
        <f>"16 910"</f>
        <v>16 910</v>
      </c>
      <c r="G197" s="2">
        <v>400</v>
      </c>
      <c r="H197" t="str">
        <f>"16 910"</f>
        <v>16 910</v>
      </c>
    </row>
    <row r="198" spans="1:8" x14ac:dyDescent="0.25">
      <c r="E198" t="str">
        <f>"201911133248"</f>
        <v>201911133248</v>
      </c>
      <c r="F198" t="str">
        <f>"1341-335  423-6915"</f>
        <v>1341-335  423-6915</v>
      </c>
      <c r="G198" s="2">
        <v>200</v>
      </c>
      <c r="H198" t="str">
        <f>"1341-335  423-6915"</f>
        <v>1341-335  423-6915</v>
      </c>
    </row>
    <row r="199" spans="1:8" x14ac:dyDescent="0.25">
      <c r="A199" t="s">
        <v>57</v>
      </c>
      <c r="B199">
        <v>84666</v>
      </c>
      <c r="C199" s="2">
        <v>106.72</v>
      </c>
      <c r="D199" s="1">
        <v>43781</v>
      </c>
      <c r="E199" t="str">
        <f>"201911052891"</f>
        <v>201911052891</v>
      </c>
      <c r="F199" t="str">
        <f>"MILEAGE REIMBURSEMENT"</f>
        <v>MILEAGE REIMBURSEMENT</v>
      </c>
      <c r="G199" s="2">
        <v>106.72</v>
      </c>
      <c r="H199" t="str">
        <f>"MILEAGE REIMBURSEMENT"</f>
        <v>MILEAGE REIMBURSEMENT</v>
      </c>
    </row>
    <row r="200" spans="1:8" x14ac:dyDescent="0.25">
      <c r="A200" t="s">
        <v>58</v>
      </c>
      <c r="B200">
        <v>84667</v>
      </c>
      <c r="C200" s="2">
        <v>41.88</v>
      </c>
      <c r="D200" s="1">
        <v>43781</v>
      </c>
      <c r="E200" t="str">
        <f>"1910-465071"</f>
        <v>1910-465071</v>
      </c>
      <c r="F200" t="str">
        <f>"ACCT#3-3053/PCT#2"</f>
        <v>ACCT#3-3053/PCT#2</v>
      </c>
      <c r="G200" s="2">
        <v>41.88</v>
      </c>
      <c r="H200" t="str">
        <f>"ACCT#3-3053/PCT#2"</f>
        <v>ACCT#3-3053/PCT#2</v>
      </c>
    </row>
    <row r="201" spans="1:8" x14ac:dyDescent="0.25">
      <c r="A201" t="s">
        <v>59</v>
      </c>
      <c r="B201">
        <v>84668</v>
      </c>
      <c r="C201" s="2">
        <v>508.95</v>
      </c>
      <c r="D201" s="1">
        <v>43781</v>
      </c>
      <c r="E201" t="str">
        <f>"201911012831"</f>
        <v>201911012831</v>
      </c>
      <c r="F201" t="str">
        <f>"ACCT#010602/COMMISSIONER OFF"</f>
        <v>ACCT#010602/COMMISSIONER OFF</v>
      </c>
      <c r="G201" s="2">
        <v>46.5</v>
      </c>
      <c r="H201" t="str">
        <f>"ACCT#010602/COMMISSIONER OFF"</f>
        <v>ACCT#010602/COMMISSIONER OFF</v>
      </c>
    </row>
    <row r="202" spans="1:8" x14ac:dyDescent="0.25">
      <c r="E202" t="str">
        <f>"201911012832"</f>
        <v>201911012832</v>
      </c>
      <c r="F202" t="str">
        <f>"ACCT#010149/TEXAS AGRILIFE EXT"</f>
        <v>ACCT#010149/TEXAS AGRILIFE EXT</v>
      </c>
      <c r="G202" s="2">
        <v>35.49</v>
      </c>
      <c r="H202" t="str">
        <f>"ACCT#010149/TEXAS AGRILIFE EXT"</f>
        <v>ACCT#010149/TEXAS AGRILIFE EXT</v>
      </c>
    </row>
    <row r="203" spans="1:8" x14ac:dyDescent="0.25">
      <c r="E203" t="str">
        <f>"201911012833"</f>
        <v>201911012833</v>
      </c>
      <c r="F203" t="str">
        <f>"ACCT#013393/HUMAN RESOURCES"</f>
        <v>ACCT#013393/HUMAN RESOURCES</v>
      </c>
      <c r="G203" s="2">
        <v>25</v>
      </c>
      <c r="H203" t="str">
        <f>"ACCT#013393/HUMAN RESOURCES"</f>
        <v>ACCT#013393/HUMAN RESOURCES</v>
      </c>
    </row>
    <row r="204" spans="1:8" x14ac:dyDescent="0.25">
      <c r="E204" t="str">
        <f>"201911012834"</f>
        <v>201911012834</v>
      </c>
      <c r="F204" t="str">
        <f>"ACCT#012803/JUDGE"</f>
        <v>ACCT#012803/JUDGE</v>
      </c>
      <c r="G204" s="2">
        <v>16.5</v>
      </c>
      <c r="H204" t="str">
        <f>"ACCT#012803/JUDGE"</f>
        <v>ACCT#012803/JUDGE</v>
      </c>
    </row>
    <row r="205" spans="1:8" x14ac:dyDescent="0.25">
      <c r="E205" t="str">
        <f>"201911012835"</f>
        <v>201911012835</v>
      </c>
      <c r="F205" t="str">
        <f>"ACCT#011955/DISTRICT JUDGE"</f>
        <v>ACCT#011955/DISTRICT JUDGE</v>
      </c>
      <c r="G205" s="2">
        <v>33</v>
      </c>
      <c r="H205" t="str">
        <f>"ACCT#011955/DISTRICT JUDGE"</f>
        <v>ACCT#011955/DISTRICT JUDGE</v>
      </c>
    </row>
    <row r="206" spans="1:8" x14ac:dyDescent="0.25">
      <c r="E206" t="str">
        <f>"201911012836"</f>
        <v>201911012836</v>
      </c>
      <c r="F206" t="str">
        <f>"ACCT#012231/DIST JUDGE OFFICE"</f>
        <v>ACCT#012231/DIST JUDGE OFFICE</v>
      </c>
      <c r="G206" s="2">
        <v>10</v>
      </c>
      <c r="H206" t="str">
        <f>"ACCT#012231/DIST JUDGE OFFICE"</f>
        <v>ACCT#012231/DIST JUDGE OFFICE</v>
      </c>
    </row>
    <row r="207" spans="1:8" x14ac:dyDescent="0.25">
      <c r="E207" t="str">
        <f>"201911012837"</f>
        <v>201911012837</v>
      </c>
      <c r="F207" t="str">
        <f>"ACCT#010057/AUDITOR"</f>
        <v>ACCT#010057/AUDITOR</v>
      </c>
      <c r="G207" s="2">
        <v>60</v>
      </c>
      <c r="H207" t="str">
        <f>"ACCT#010057/AUDITOR"</f>
        <v>ACCT#010057/AUDITOR</v>
      </c>
    </row>
    <row r="208" spans="1:8" x14ac:dyDescent="0.25">
      <c r="E208" t="str">
        <f>"201911012840"</f>
        <v>201911012840</v>
      </c>
      <c r="F208" t="str">
        <f>"ACCT#010835/COMMISSIONER PCT1"</f>
        <v>ACCT#010835/COMMISSIONER PCT1</v>
      </c>
      <c r="G208" s="2">
        <v>9</v>
      </c>
      <c r="H208" t="str">
        <f>"ACCT#010835/COMMISSIONER PCT1"</f>
        <v>ACCT#010835/COMMISSIONER PCT1</v>
      </c>
    </row>
    <row r="209" spans="1:8" x14ac:dyDescent="0.25">
      <c r="E209" t="str">
        <f>"201911042849"</f>
        <v>201911042849</v>
      </c>
      <c r="F209" t="str">
        <f>"ACCT#014877/INDIGENT HEALTH"</f>
        <v>ACCT#014877/INDIGENT HEALTH</v>
      </c>
      <c r="G209" s="2">
        <v>26.99</v>
      </c>
      <c r="H209" t="str">
        <f>"ACCT#014877/INDIGENT HEALTH"</f>
        <v>ACCT#014877/INDIGENT HEALTH</v>
      </c>
    </row>
    <row r="210" spans="1:8" x14ac:dyDescent="0.25">
      <c r="E210" t="str">
        <f>"201911042855"</f>
        <v>201911042855</v>
      </c>
      <c r="F210" t="str">
        <f>"ACCT#011280/COUNTY CLERK"</f>
        <v>ACCT#011280/COUNTY CLERK</v>
      </c>
      <c r="G210" s="2">
        <v>46.5</v>
      </c>
      <c r="H210" t="str">
        <f>"ACCT#011280/COUNTY CLERK"</f>
        <v>ACCT#011280/COUNTY CLERK</v>
      </c>
    </row>
    <row r="211" spans="1:8" x14ac:dyDescent="0.25">
      <c r="E211" t="str">
        <f>"201911042868"</f>
        <v>201911042868</v>
      </c>
      <c r="F211" t="str">
        <f>"ACCT#015199/JP#1"</f>
        <v>ACCT#015199/JP#1</v>
      </c>
      <c r="G211" s="2">
        <v>19.489999999999998</v>
      </c>
      <c r="H211" t="str">
        <f>"ACCT#015199/JP#1"</f>
        <v>ACCT#015199/JP#1</v>
      </c>
    </row>
    <row r="212" spans="1:8" x14ac:dyDescent="0.25">
      <c r="E212" t="str">
        <f>"201911052881"</f>
        <v>201911052881</v>
      </c>
      <c r="F212" t="str">
        <f>"ACCT#011033/IT DEPT"</f>
        <v>ACCT#011033/IT DEPT</v>
      </c>
      <c r="G212" s="2">
        <v>69</v>
      </c>
      <c r="H212" t="str">
        <f>"ACCT#011033/IT DEPT"</f>
        <v>ACCT#011033/IT DEPT</v>
      </c>
    </row>
    <row r="213" spans="1:8" x14ac:dyDescent="0.25">
      <c r="E213" t="str">
        <f>"201911052990"</f>
        <v>201911052990</v>
      </c>
      <c r="F213" t="str">
        <f>"ACCT#014737/ANIMAL SVC"</f>
        <v>ACCT#014737/ANIMAL SVC</v>
      </c>
      <c r="G213" s="2">
        <v>111.48</v>
      </c>
      <c r="H213" t="str">
        <f>"ACCT#014737/ANIMAL SVC"</f>
        <v>ACCT#014737/ANIMAL SVC</v>
      </c>
    </row>
    <row r="214" spans="1:8" x14ac:dyDescent="0.25">
      <c r="A214" t="s">
        <v>59</v>
      </c>
      <c r="B214">
        <v>129690</v>
      </c>
      <c r="C214" s="2">
        <v>73.5</v>
      </c>
      <c r="D214" s="1">
        <v>43794</v>
      </c>
      <c r="E214" t="str">
        <f>"201911143260"</f>
        <v>201911143260</v>
      </c>
      <c r="F214" t="str">
        <f>"ACCT#012260/DA'S OFFICE"</f>
        <v>ACCT#012260/DA'S OFFICE</v>
      </c>
      <c r="G214" s="2">
        <v>73.5</v>
      </c>
      <c r="H214" t="str">
        <f>"ACCT#012260/DA'S OFFICE"</f>
        <v>ACCT#012260/DA'S OFFICE</v>
      </c>
    </row>
    <row r="215" spans="1:8" x14ac:dyDescent="0.25">
      <c r="A215" t="s">
        <v>60</v>
      </c>
      <c r="B215">
        <v>84643</v>
      </c>
      <c r="C215" s="2">
        <v>55.97</v>
      </c>
      <c r="D215" s="1">
        <v>43773</v>
      </c>
      <c r="E215" t="str">
        <f>"201911042859"</f>
        <v>201911042859</v>
      </c>
      <c r="F215" t="str">
        <f>"ACCT#0201855301 - 11/05/2019"</f>
        <v>ACCT#0201855301 - 11/05/2019</v>
      </c>
      <c r="G215" s="2">
        <v>30.69</v>
      </c>
      <c r="H215" t="str">
        <f>"AQUA WATER SUPPLY CORPORATION"</f>
        <v>AQUA WATER SUPPLY CORPORATION</v>
      </c>
    </row>
    <row r="216" spans="1:8" x14ac:dyDescent="0.25">
      <c r="E216" t="str">
        <f>"201911042860"</f>
        <v>201911042860</v>
      </c>
      <c r="F216" t="str">
        <f>"ACCT#0201891401 - 11/05/2019"</f>
        <v>ACCT#0201891401 - 11/05/2019</v>
      </c>
      <c r="G216" s="2">
        <v>25.28</v>
      </c>
      <c r="H216" t="str">
        <f>"ACCT#0201891401 - 11/05/2019"</f>
        <v>ACCT#0201891401 - 11/05/2019</v>
      </c>
    </row>
    <row r="217" spans="1:8" x14ac:dyDescent="0.25">
      <c r="A217" t="s">
        <v>60</v>
      </c>
      <c r="B217">
        <v>84862</v>
      </c>
      <c r="C217" s="2">
        <v>1489.54</v>
      </c>
      <c r="D217" s="1">
        <v>43790</v>
      </c>
      <c r="E217" t="str">
        <f>"201911213503"</f>
        <v>201911213503</v>
      </c>
      <c r="F217" t="str">
        <f>"ACCT#0102120801 / 11202019"</f>
        <v>ACCT#0102120801 / 11202019</v>
      </c>
      <c r="G217" s="2">
        <v>557.99</v>
      </c>
      <c r="H217" t="str">
        <f>"ACCT#0102120801 / 11202019"</f>
        <v>ACCT#0102120801 / 11202019</v>
      </c>
    </row>
    <row r="218" spans="1:8" x14ac:dyDescent="0.25">
      <c r="E218" t="str">
        <f>"201911213504"</f>
        <v>201911213504</v>
      </c>
      <c r="F218" t="str">
        <f>"ACCT#0400785803 / 11202019"</f>
        <v>ACCT#0400785803 / 11202019</v>
      </c>
      <c r="G218" s="2">
        <v>116.29</v>
      </c>
      <c r="H218" t="str">
        <f>"ACCT#0400785803 / 11202019"</f>
        <v>ACCT#0400785803 / 11202019</v>
      </c>
    </row>
    <row r="219" spans="1:8" x14ac:dyDescent="0.25">
      <c r="E219" t="str">
        <f>"201911213505"</f>
        <v>201911213505</v>
      </c>
      <c r="F219" t="str">
        <f>"ACCT#0401408501 / 11202019"</f>
        <v>ACCT#0401408501 / 11202019</v>
      </c>
      <c r="G219" s="2">
        <v>764.07</v>
      </c>
      <c r="H219" t="str">
        <f>"ACCT#0401408501 / 11202019"</f>
        <v>ACCT#0401408501 / 11202019</v>
      </c>
    </row>
    <row r="220" spans="1:8" x14ac:dyDescent="0.25">
      <c r="E220" t="str">
        <f>"201911213506"</f>
        <v>201911213506</v>
      </c>
      <c r="F220" t="str">
        <f>"ACCT#0800042801 / 11202019"</f>
        <v>ACCT#0800042801 / 11202019</v>
      </c>
      <c r="G220" s="2">
        <v>41.92</v>
      </c>
      <c r="H220" t="str">
        <f>"ACCT#0800042801 / 11202019"</f>
        <v>ACCT#0800042801 / 11202019</v>
      </c>
    </row>
    <row r="221" spans="1:8" x14ac:dyDescent="0.25">
      <c r="E221" t="str">
        <f>"201911213507"</f>
        <v>201911213507</v>
      </c>
      <c r="F221" t="str">
        <f>"ACCT#0802361501 / 11202019"</f>
        <v>ACCT#0802361501 / 11202019</v>
      </c>
      <c r="G221" s="2">
        <v>9.27</v>
      </c>
      <c r="H221" t="str">
        <f>"ACCT#0802361501 / 11202019"</f>
        <v>ACCT#0802361501 / 11202019</v>
      </c>
    </row>
    <row r="222" spans="1:8" x14ac:dyDescent="0.25">
      <c r="A222" t="s">
        <v>60</v>
      </c>
      <c r="B222">
        <v>129691</v>
      </c>
      <c r="C222" s="2">
        <v>1937.76</v>
      </c>
      <c r="D222" s="1">
        <v>43794</v>
      </c>
      <c r="E222" t="str">
        <f>"201911143264"</f>
        <v>201911143264</v>
      </c>
      <c r="F222" t="str">
        <f>"METER#83799902/ACCT#7700010019"</f>
        <v>METER#83799902/ACCT#7700010019</v>
      </c>
      <c r="G222" s="2">
        <v>103.01</v>
      </c>
      <c r="H222" t="str">
        <f>"METER#83799902/ACCT#7700010019"</f>
        <v>METER#83799902/ACCT#7700010019</v>
      </c>
    </row>
    <row r="223" spans="1:8" x14ac:dyDescent="0.25">
      <c r="E223" t="str">
        <f>"201911143279"</f>
        <v>201911143279</v>
      </c>
      <c r="F223" t="str">
        <f>"ACCT#7700010025/7 LDS WATER"</f>
        <v>ACCT#7700010025/7 LDS WATER</v>
      </c>
      <c r="G223" s="2">
        <v>71.75</v>
      </c>
      <c r="H223" t="str">
        <f>"ACCT#7700010025/7 LDS WATER"</f>
        <v>ACCT#7700010025/7 LDS WATER</v>
      </c>
    </row>
    <row r="224" spans="1:8" x14ac:dyDescent="0.25">
      <c r="E224" t="str">
        <f>"201911143283"</f>
        <v>201911143283</v>
      </c>
      <c r="F224" t="str">
        <f>"ACCT#7700010026/127 LDS/PCT#3"</f>
        <v>ACCT#7700010026/127 LDS/PCT#3</v>
      </c>
      <c r="G224" s="2">
        <v>1301.75</v>
      </c>
      <c r="H224" t="str">
        <f>"ACCT#7700010026/127 LDS/PCT#3"</f>
        <v>ACCT#7700010026/127 LDS/PCT#3</v>
      </c>
    </row>
    <row r="225" spans="1:8" x14ac:dyDescent="0.25">
      <c r="E225" t="str">
        <f>"201911143286"</f>
        <v>201911143286</v>
      </c>
      <c r="F225" t="str">
        <f>"ACCT#7700010027/45 LDS WTR/P4"</f>
        <v>ACCT#7700010027/45 LDS WTR/P4</v>
      </c>
      <c r="G225" s="2">
        <v>461.25</v>
      </c>
      <c r="H225" t="str">
        <f>"ACCT#7700010027/45 LDS WTR/P4"</f>
        <v>ACCT#7700010027/45 LDS WTR/P4</v>
      </c>
    </row>
    <row r="226" spans="1:8" x14ac:dyDescent="0.25">
      <c r="A226" t="s">
        <v>61</v>
      </c>
      <c r="B226">
        <v>84669</v>
      </c>
      <c r="C226" s="2">
        <v>125</v>
      </c>
      <c r="D226" s="1">
        <v>43781</v>
      </c>
      <c r="E226" t="str">
        <f>"13075"</f>
        <v>13075</v>
      </c>
      <c r="F226" t="str">
        <f>"SERVICE"</f>
        <v>SERVICE</v>
      </c>
      <c r="G226" s="2">
        <v>125</v>
      </c>
      <c r="H226" t="str">
        <f>"SERVICE"</f>
        <v>SERVICE</v>
      </c>
    </row>
    <row r="227" spans="1:8" x14ac:dyDescent="0.25">
      <c r="A227" t="s">
        <v>62</v>
      </c>
      <c r="B227">
        <v>84670</v>
      </c>
      <c r="C227" s="2">
        <v>1400</v>
      </c>
      <c r="D227" s="1">
        <v>43781</v>
      </c>
      <c r="E227" t="str">
        <f>"1814.12"</f>
        <v>1814.12</v>
      </c>
      <c r="F227" t="str">
        <f>"inv# 1814.12"</f>
        <v>inv# 1814.12</v>
      </c>
      <c r="G227" s="2">
        <v>1400</v>
      </c>
      <c r="H227" t="str">
        <f>"inv# 1814.12"</f>
        <v>inv# 1814.12</v>
      </c>
    </row>
    <row r="228" spans="1:8" x14ac:dyDescent="0.25">
      <c r="A228" t="s">
        <v>63</v>
      </c>
      <c r="B228">
        <v>1702</v>
      </c>
      <c r="C228" s="2">
        <v>395</v>
      </c>
      <c r="D228" s="1">
        <v>43782</v>
      </c>
      <c r="E228" t="str">
        <f>"2019-1014-5"</f>
        <v>2019-1014-5</v>
      </c>
      <c r="F228" t="str">
        <f>"2019 ARCIT MEMBERSHIP"</f>
        <v>2019 ARCIT MEMBERSHIP</v>
      </c>
      <c r="G228" s="2">
        <v>395</v>
      </c>
      <c r="H228" t="str">
        <f>"2019 ARCIT MEMBERSHIP"</f>
        <v>2019 ARCIT MEMBERSHIP</v>
      </c>
    </row>
    <row r="229" spans="1:8" x14ac:dyDescent="0.25">
      <c r="A229" t="s">
        <v>64</v>
      </c>
      <c r="B229">
        <v>1755</v>
      </c>
      <c r="C229" s="2">
        <v>458.44</v>
      </c>
      <c r="D229" s="1">
        <v>43795</v>
      </c>
      <c r="E229" t="str">
        <f>"PSO120120-1"</f>
        <v>PSO120120-1</v>
      </c>
      <c r="F229" t="str">
        <f>"CUST#BP0020879/EDGE CUT/PCT#1"</f>
        <v>CUST#BP0020879/EDGE CUT/PCT#1</v>
      </c>
      <c r="G229" s="2">
        <v>458.44</v>
      </c>
      <c r="H229" t="str">
        <f>"CUST#BP0020879/EDGE CUT/PCT#1"</f>
        <v>CUST#BP0020879/EDGE CUT/PCT#1</v>
      </c>
    </row>
    <row r="230" spans="1:8" x14ac:dyDescent="0.25">
      <c r="A230" t="s">
        <v>65</v>
      </c>
      <c r="B230">
        <v>84671</v>
      </c>
      <c r="C230" s="2">
        <v>74.989999999999995</v>
      </c>
      <c r="D230" s="1">
        <v>43781</v>
      </c>
      <c r="E230" t="str">
        <f>"201911052989"</f>
        <v>201911052989</v>
      </c>
      <c r="F230" t="str">
        <f>"REIMBURSE BUSINESS CARDS"</f>
        <v>REIMBURSE BUSINESS CARDS</v>
      </c>
      <c r="G230" s="2">
        <v>74.989999999999995</v>
      </c>
      <c r="H230" t="str">
        <f>"REIMBURSE BUSINESS CARDS"</f>
        <v>REIMBURSE BUSINESS CARDS</v>
      </c>
    </row>
    <row r="231" spans="1:8" x14ac:dyDescent="0.25">
      <c r="A231" t="s">
        <v>66</v>
      </c>
      <c r="B231">
        <v>84672</v>
      </c>
      <c r="C231" s="2">
        <v>1044</v>
      </c>
      <c r="D231" s="1">
        <v>43781</v>
      </c>
      <c r="E231" t="str">
        <f>"495526"</f>
        <v>495526</v>
      </c>
      <c r="F231" t="str">
        <f>"Asphalt"</f>
        <v>Asphalt</v>
      </c>
      <c r="G231" s="2">
        <v>1044</v>
      </c>
      <c r="H231" t="str">
        <f>"Asphalt Bags"</f>
        <v>Asphalt Bags</v>
      </c>
    </row>
    <row r="232" spans="1:8" x14ac:dyDescent="0.25">
      <c r="E232" t="str">
        <f>""</f>
        <v/>
      </c>
      <c r="F232" t="str">
        <f>""</f>
        <v/>
      </c>
      <c r="H232" t="str">
        <f>"Delivery"</f>
        <v>Delivery</v>
      </c>
    </row>
    <row r="233" spans="1:8" x14ac:dyDescent="0.25">
      <c r="A233" t="s">
        <v>67</v>
      </c>
      <c r="B233">
        <v>84673</v>
      </c>
      <c r="C233" s="2">
        <v>5788.11</v>
      </c>
      <c r="D233" s="1">
        <v>43781</v>
      </c>
      <c r="E233" t="str">
        <f>"201911052879"</f>
        <v>201911052879</v>
      </c>
      <c r="F233" t="str">
        <f>"ACCT#512A49-0048 193 3"</f>
        <v>ACCT#512A49-0048 193 3</v>
      </c>
      <c r="G233" s="2">
        <v>5788.11</v>
      </c>
      <c r="H233" t="str">
        <f>"ACCT#512A49-0048 193 3"</f>
        <v>ACCT#512A49-0048 193 3</v>
      </c>
    </row>
    <row r="234" spans="1:8" x14ac:dyDescent="0.25">
      <c r="E234" t="str">
        <f>""</f>
        <v/>
      </c>
      <c r="F234" t="str">
        <f>""</f>
        <v/>
      </c>
      <c r="H234" t="str">
        <f>"ACCT#512A49-0048 193 3"</f>
        <v>ACCT#512A49-0048 193 3</v>
      </c>
    </row>
    <row r="235" spans="1:8" x14ac:dyDescent="0.25">
      <c r="E235" t="str">
        <f>""</f>
        <v/>
      </c>
      <c r="F235" t="str">
        <f>""</f>
        <v/>
      </c>
      <c r="H235" t="str">
        <f>"ACCT#512A49-0048 193 3"</f>
        <v>ACCT#512A49-0048 193 3</v>
      </c>
    </row>
    <row r="236" spans="1:8" x14ac:dyDescent="0.25">
      <c r="E236" t="str">
        <f>""</f>
        <v/>
      </c>
      <c r="F236" t="str">
        <f>""</f>
        <v/>
      </c>
      <c r="H236" t="str">
        <f>"ACCT#512A49-0048 193 3"</f>
        <v>ACCT#512A49-0048 193 3</v>
      </c>
    </row>
    <row r="237" spans="1:8" x14ac:dyDescent="0.25">
      <c r="A237" t="s">
        <v>67</v>
      </c>
      <c r="B237">
        <v>84674</v>
      </c>
      <c r="C237" s="2">
        <v>125</v>
      </c>
      <c r="D237" s="1">
        <v>43781</v>
      </c>
      <c r="E237" t="str">
        <f>"330246"</f>
        <v>330246</v>
      </c>
      <c r="F237" t="str">
        <f>"INV 330246"</f>
        <v>INV 330246</v>
      </c>
      <c r="G237" s="2">
        <v>125</v>
      </c>
      <c r="H237" t="str">
        <f>"INV 330246"</f>
        <v>INV 330246</v>
      </c>
    </row>
    <row r="238" spans="1:8" x14ac:dyDescent="0.25">
      <c r="A238" t="s">
        <v>67</v>
      </c>
      <c r="B238">
        <v>84675</v>
      </c>
      <c r="C238" s="2">
        <v>5054.34</v>
      </c>
      <c r="D238" s="1">
        <v>43781</v>
      </c>
      <c r="E238" t="str">
        <f>"0367560507"</f>
        <v>0367560507</v>
      </c>
      <c r="F238" t="str">
        <f>"ACCT#831-000-6084 095"</f>
        <v>ACCT#831-000-6084 095</v>
      </c>
      <c r="G238" s="2">
        <v>1684.69</v>
      </c>
      <c r="H238" t="str">
        <f>"ACCT#831-000-6084 095"</f>
        <v>ACCT#831-000-6084 095</v>
      </c>
    </row>
    <row r="239" spans="1:8" x14ac:dyDescent="0.25">
      <c r="E239" t="str">
        <f>"201911052985"</f>
        <v>201911052985</v>
      </c>
      <c r="F239" t="str">
        <f>"ACCT#512 308-9870 530 7"</f>
        <v>ACCT#512 308-9870 530 7</v>
      </c>
      <c r="G239" s="2">
        <v>495.02</v>
      </c>
      <c r="H239" t="str">
        <f>"ACCT#512 308-9870 530 7"</f>
        <v>ACCT#512 308-9870 530 7</v>
      </c>
    </row>
    <row r="240" spans="1:8" x14ac:dyDescent="0.25">
      <c r="E240" t="str">
        <f>"201911052986"</f>
        <v>201911052986</v>
      </c>
      <c r="F240" t="str">
        <f>"ACCT#831-000-7218 923"</f>
        <v>ACCT#831-000-7218 923</v>
      </c>
      <c r="G240" s="2">
        <v>874.25</v>
      </c>
      <c r="H240" t="str">
        <f>"ACCT#831-000-7218 923"</f>
        <v>ACCT#831-000-7218 923</v>
      </c>
    </row>
    <row r="241" spans="1:8" x14ac:dyDescent="0.25">
      <c r="E241" t="str">
        <f>"5333831502"</f>
        <v>5333831502</v>
      </c>
      <c r="F241" t="str">
        <f>"ACCT#831-000-7919 623"</f>
        <v>ACCT#831-000-7919 623</v>
      </c>
      <c r="G241" s="2">
        <v>2000.38</v>
      </c>
      <c r="H241" t="str">
        <f>"ACCT#831-000-7919 623"</f>
        <v>ACCT#831-000-7919 623</v>
      </c>
    </row>
    <row r="242" spans="1:8" x14ac:dyDescent="0.25">
      <c r="A242" t="s">
        <v>67</v>
      </c>
      <c r="B242">
        <v>129692</v>
      </c>
      <c r="C242" s="2">
        <v>1814.49</v>
      </c>
      <c r="D242" s="1">
        <v>43794</v>
      </c>
      <c r="E242" t="str">
        <f>"201911193463"</f>
        <v>201911193463</v>
      </c>
      <c r="F242" t="str">
        <f>"ACCT. 512 303-1080 238 5"</f>
        <v>ACCT. 512 303-1080 238 5</v>
      </c>
      <c r="G242" s="2">
        <v>1814.49</v>
      </c>
      <c r="H242" t="str">
        <f>"512-303-1080 (JAIL)"</f>
        <v>512-303-1080 (JAIL)</v>
      </c>
    </row>
    <row r="243" spans="1:8" x14ac:dyDescent="0.25">
      <c r="E243" t="str">
        <f>""</f>
        <v/>
      </c>
      <c r="F243" t="str">
        <f>""</f>
        <v/>
      </c>
      <c r="H243" t="str">
        <f>"512-303-1080 (LE)"</f>
        <v>512-303-1080 (LE)</v>
      </c>
    </row>
    <row r="244" spans="1:8" x14ac:dyDescent="0.25">
      <c r="A244" t="s">
        <v>68</v>
      </c>
      <c r="B244">
        <v>84676</v>
      </c>
      <c r="C244" s="2">
        <v>2667</v>
      </c>
      <c r="D244" s="1">
        <v>43781</v>
      </c>
      <c r="E244" t="str">
        <f>"287290524359X10227"</f>
        <v>287290524359X10227</v>
      </c>
      <c r="F244" t="str">
        <f>"ACCT#287290524359"</f>
        <v>ACCT#287290524359</v>
      </c>
      <c r="G244" s="2">
        <v>2667</v>
      </c>
      <c r="H244" t="str">
        <f t="shared" ref="H244:H249" si="9">"ACCT#287290524359"</f>
        <v>ACCT#287290524359</v>
      </c>
    </row>
    <row r="245" spans="1:8" x14ac:dyDescent="0.25">
      <c r="E245" t="str">
        <f>""</f>
        <v/>
      </c>
      <c r="F245" t="str">
        <f>""</f>
        <v/>
      </c>
      <c r="H245" t="str">
        <f t="shared" si="9"/>
        <v>ACCT#287290524359</v>
      </c>
    </row>
    <row r="246" spans="1:8" x14ac:dyDescent="0.25">
      <c r="E246" t="str">
        <f>""</f>
        <v/>
      </c>
      <c r="F246" t="str">
        <f>""</f>
        <v/>
      </c>
      <c r="H246" t="str">
        <f t="shared" si="9"/>
        <v>ACCT#287290524359</v>
      </c>
    </row>
    <row r="247" spans="1:8" x14ac:dyDescent="0.25">
      <c r="E247" t="str">
        <f>""</f>
        <v/>
      </c>
      <c r="F247" t="str">
        <f>""</f>
        <v/>
      </c>
      <c r="H247" t="str">
        <f t="shared" si="9"/>
        <v>ACCT#287290524359</v>
      </c>
    </row>
    <row r="248" spans="1:8" x14ac:dyDescent="0.25">
      <c r="E248" t="str">
        <f>""</f>
        <v/>
      </c>
      <c r="F248" t="str">
        <f>""</f>
        <v/>
      </c>
      <c r="H248" t="str">
        <f t="shared" si="9"/>
        <v>ACCT#287290524359</v>
      </c>
    </row>
    <row r="249" spans="1:8" x14ac:dyDescent="0.25">
      <c r="E249" t="str">
        <f>""</f>
        <v/>
      </c>
      <c r="F249" t="str">
        <f>""</f>
        <v/>
      </c>
      <c r="H249" t="str">
        <f t="shared" si="9"/>
        <v>ACCT#287290524359</v>
      </c>
    </row>
    <row r="250" spans="1:8" x14ac:dyDescent="0.25">
      <c r="A250" t="s">
        <v>68</v>
      </c>
      <c r="B250">
        <v>129693</v>
      </c>
      <c r="C250" s="2">
        <v>1521.39</v>
      </c>
      <c r="D250" s="1">
        <v>43794</v>
      </c>
      <c r="E250" t="str">
        <f>"201911193339"</f>
        <v>201911193339</v>
      </c>
      <c r="F250" t="str">
        <f>"ACCT#287263291654"</f>
        <v>ACCT#287263291654</v>
      </c>
      <c r="G250" s="2">
        <v>1302.67</v>
      </c>
      <c r="H250" t="str">
        <f t="shared" ref="H250:H264" si="10">"ACCT#287263291654"</f>
        <v>ACCT#287263291654</v>
      </c>
    </row>
    <row r="251" spans="1:8" x14ac:dyDescent="0.25">
      <c r="E251" t="str">
        <f>""</f>
        <v/>
      </c>
      <c r="F251" t="str">
        <f>""</f>
        <v/>
      </c>
      <c r="H251" t="str">
        <f t="shared" si="10"/>
        <v>ACCT#287263291654</v>
      </c>
    </row>
    <row r="252" spans="1:8" x14ac:dyDescent="0.25">
      <c r="E252" t="str">
        <f>""</f>
        <v/>
      </c>
      <c r="F252" t="str">
        <f>""</f>
        <v/>
      </c>
      <c r="H252" t="str">
        <f t="shared" si="10"/>
        <v>ACCT#287263291654</v>
      </c>
    </row>
    <row r="253" spans="1:8" x14ac:dyDescent="0.25">
      <c r="E253" t="str">
        <f>""</f>
        <v/>
      </c>
      <c r="F253" t="str">
        <f>""</f>
        <v/>
      </c>
      <c r="H253" t="str">
        <f t="shared" si="10"/>
        <v>ACCT#287263291654</v>
      </c>
    </row>
    <row r="254" spans="1:8" x14ac:dyDescent="0.25">
      <c r="E254" t="str">
        <f>""</f>
        <v/>
      </c>
      <c r="F254" t="str">
        <f>""</f>
        <v/>
      </c>
      <c r="H254" t="str">
        <f t="shared" si="10"/>
        <v>ACCT#287263291654</v>
      </c>
    </row>
    <row r="255" spans="1:8" x14ac:dyDescent="0.25">
      <c r="E255" t="str">
        <f>""</f>
        <v/>
      </c>
      <c r="F255" t="str">
        <f>""</f>
        <v/>
      </c>
      <c r="H255" t="str">
        <f t="shared" si="10"/>
        <v>ACCT#287263291654</v>
      </c>
    </row>
    <row r="256" spans="1:8" x14ac:dyDescent="0.25">
      <c r="E256" t="str">
        <f>""</f>
        <v/>
      </c>
      <c r="F256" t="str">
        <f>""</f>
        <v/>
      </c>
      <c r="H256" t="str">
        <f t="shared" si="10"/>
        <v>ACCT#287263291654</v>
      </c>
    </row>
    <row r="257" spans="1:8" x14ac:dyDescent="0.25">
      <c r="E257" t="str">
        <f>""</f>
        <v/>
      </c>
      <c r="F257" t="str">
        <f>""</f>
        <v/>
      </c>
      <c r="H257" t="str">
        <f t="shared" si="10"/>
        <v>ACCT#287263291654</v>
      </c>
    </row>
    <row r="258" spans="1:8" x14ac:dyDescent="0.25">
      <c r="E258" t="str">
        <f>""</f>
        <v/>
      </c>
      <c r="F258" t="str">
        <f>""</f>
        <v/>
      </c>
      <c r="H258" t="str">
        <f t="shared" si="10"/>
        <v>ACCT#287263291654</v>
      </c>
    </row>
    <row r="259" spans="1:8" x14ac:dyDescent="0.25">
      <c r="E259" t="str">
        <f>""</f>
        <v/>
      </c>
      <c r="F259" t="str">
        <f>""</f>
        <v/>
      </c>
      <c r="H259" t="str">
        <f t="shared" si="10"/>
        <v>ACCT#287263291654</v>
      </c>
    </row>
    <row r="260" spans="1:8" x14ac:dyDescent="0.25">
      <c r="E260" t="str">
        <f>""</f>
        <v/>
      </c>
      <c r="F260" t="str">
        <f>""</f>
        <v/>
      </c>
      <c r="H260" t="str">
        <f t="shared" si="10"/>
        <v>ACCT#287263291654</v>
      </c>
    </row>
    <row r="261" spans="1:8" x14ac:dyDescent="0.25">
      <c r="E261" t="str">
        <f>""</f>
        <v/>
      </c>
      <c r="F261" t="str">
        <f>""</f>
        <v/>
      </c>
      <c r="H261" t="str">
        <f t="shared" si="10"/>
        <v>ACCT#287263291654</v>
      </c>
    </row>
    <row r="262" spans="1:8" x14ac:dyDescent="0.25">
      <c r="E262" t="str">
        <f>""</f>
        <v/>
      </c>
      <c r="F262" t="str">
        <f>""</f>
        <v/>
      </c>
      <c r="H262" t="str">
        <f t="shared" si="10"/>
        <v>ACCT#287263291654</v>
      </c>
    </row>
    <row r="263" spans="1:8" x14ac:dyDescent="0.25">
      <c r="E263" t="str">
        <f>""</f>
        <v/>
      </c>
      <c r="F263" t="str">
        <f>""</f>
        <v/>
      </c>
      <c r="H263" t="str">
        <f t="shared" si="10"/>
        <v>ACCT#287263291654</v>
      </c>
    </row>
    <row r="264" spans="1:8" x14ac:dyDescent="0.25">
      <c r="E264" t="str">
        <f>""</f>
        <v/>
      </c>
      <c r="F264" t="str">
        <f>""</f>
        <v/>
      </c>
      <c r="H264" t="str">
        <f t="shared" si="10"/>
        <v>ACCT#287263291654</v>
      </c>
    </row>
    <row r="265" spans="1:8" x14ac:dyDescent="0.25">
      <c r="E265" t="str">
        <f>"201911193460"</f>
        <v>201911193460</v>
      </c>
      <c r="F265" t="str">
        <f>"INV 287280903541X11202019"</f>
        <v>INV 287280903541X11202019</v>
      </c>
      <c r="G265" s="2">
        <v>218.72</v>
      </c>
      <c r="H265" t="str">
        <f>"INV 287280903541X11202019"</f>
        <v>INV 287280903541X11202019</v>
      </c>
    </row>
    <row r="266" spans="1:8" x14ac:dyDescent="0.25">
      <c r="A266" t="s">
        <v>69</v>
      </c>
      <c r="B266">
        <v>84677</v>
      </c>
      <c r="C266" s="2">
        <v>1385.67</v>
      </c>
      <c r="D266" s="1">
        <v>43781</v>
      </c>
      <c r="E266" t="str">
        <f>"201911012839"</f>
        <v>201911012839</v>
      </c>
      <c r="F266" t="str">
        <f>"ACCT#15619929/RENEWAL"</f>
        <v>ACCT#15619929/RENEWAL</v>
      </c>
      <c r="G266" s="2">
        <v>53.88</v>
      </c>
      <c r="H266" t="str">
        <f>"ACCT#15619929/RENEWAL"</f>
        <v>ACCT#15619929/RENEWAL</v>
      </c>
    </row>
    <row r="267" spans="1:8" x14ac:dyDescent="0.25">
      <c r="E267" t="str">
        <f>"I00519409 / 451"</f>
        <v>I00519409 / 451</v>
      </c>
      <c r="F267" t="str">
        <f>"ad# 519409 &amp; 519451"</f>
        <v>ad# 519409 &amp; 519451</v>
      </c>
      <c r="G267" s="2">
        <v>1331.79</v>
      </c>
      <c r="H267" t="str">
        <f>"ad# 519409"</f>
        <v>ad# 519409</v>
      </c>
    </row>
    <row r="268" spans="1:8" x14ac:dyDescent="0.25">
      <c r="E268" t="str">
        <f>""</f>
        <v/>
      </c>
      <c r="F268" t="str">
        <f>""</f>
        <v/>
      </c>
      <c r="H268" t="str">
        <f>"ad# 519451"</f>
        <v>ad# 519451</v>
      </c>
    </row>
    <row r="269" spans="1:8" x14ac:dyDescent="0.25">
      <c r="A269" t="s">
        <v>70</v>
      </c>
      <c r="B269">
        <v>129694</v>
      </c>
      <c r="C269" s="2">
        <v>33.270000000000003</v>
      </c>
      <c r="D269" s="1">
        <v>43794</v>
      </c>
      <c r="E269" t="str">
        <f>"201911203478"</f>
        <v>201911203478</v>
      </c>
      <c r="F269" t="str">
        <f>"INDIGENT HEALTH"</f>
        <v>INDIGENT HEALTH</v>
      </c>
      <c r="G269" s="2">
        <v>33.270000000000003</v>
      </c>
      <c r="H269" t="str">
        <f>"INDIGENT HEALTH"</f>
        <v>INDIGENT HEALTH</v>
      </c>
    </row>
    <row r="270" spans="1:8" x14ac:dyDescent="0.25">
      <c r="A270" t="s">
        <v>71</v>
      </c>
      <c r="B270">
        <v>129695</v>
      </c>
      <c r="C270" s="2">
        <v>138.19999999999999</v>
      </c>
      <c r="D270" s="1">
        <v>43794</v>
      </c>
      <c r="E270" t="str">
        <f>"201911203479"</f>
        <v>201911203479</v>
      </c>
      <c r="F270" t="str">
        <f>"INDIGENT HEALTH"</f>
        <v>INDIGENT HEALTH</v>
      </c>
      <c r="G270" s="2">
        <v>138.19999999999999</v>
      </c>
      <c r="H270" t="str">
        <f>"INDIGENT HEALTH"</f>
        <v>INDIGENT HEALTH</v>
      </c>
    </row>
    <row r="271" spans="1:8" x14ac:dyDescent="0.25">
      <c r="E271" t="str">
        <f>""</f>
        <v/>
      </c>
      <c r="F271" t="str">
        <f>""</f>
        <v/>
      </c>
      <c r="H271" t="str">
        <f>"INDIGENT HEALTH"</f>
        <v>INDIGENT HEALTH</v>
      </c>
    </row>
    <row r="272" spans="1:8" x14ac:dyDescent="0.25">
      <c r="A272" t="s">
        <v>72</v>
      </c>
      <c r="B272">
        <v>84678</v>
      </c>
      <c r="C272" s="2">
        <v>59.78</v>
      </c>
      <c r="D272" s="1">
        <v>43781</v>
      </c>
      <c r="E272" t="str">
        <f>"152930"</f>
        <v>152930</v>
      </c>
      <c r="F272" t="str">
        <f>"SUCTION A/C CUSTOM HOSE"</f>
        <v>SUCTION A/C CUSTOM HOSE</v>
      </c>
      <c r="G272" s="2">
        <v>59.78</v>
      </c>
      <c r="H272" t="str">
        <f>"SUCTION A/C CUSTOM HOSE"</f>
        <v>SUCTION A/C CUSTOM HOSE</v>
      </c>
    </row>
    <row r="273" spans="1:8" x14ac:dyDescent="0.25">
      <c r="A273" t="s">
        <v>73</v>
      </c>
      <c r="B273">
        <v>1712</v>
      </c>
      <c r="C273" s="2">
        <v>1120</v>
      </c>
      <c r="D273" s="1">
        <v>43782</v>
      </c>
      <c r="E273" t="str">
        <f>"259722"</f>
        <v>259722</v>
      </c>
      <c r="F273" t="str">
        <f>"inv# 259722"</f>
        <v>inv# 259722</v>
      </c>
      <c r="G273" s="2">
        <v>1120</v>
      </c>
      <c r="H273" t="str">
        <f>"inv# 259722"</f>
        <v>inv# 259722</v>
      </c>
    </row>
    <row r="274" spans="1:8" x14ac:dyDescent="0.25">
      <c r="A274" t="s">
        <v>74</v>
      </c>
      <c r="B274">
        <v>84679</v>
      </c>
      <c r="C274" s="2">
        <v>1183.0999999999999</v>
      </c>
      <c r="D274" s="1">
        <v>43781</v>
      </c>
      <c r="E274" t="str">
        <f>"201911053006"</f>
        <v>201911053006</v>
      </c>
      <c r="F274" t="str">
        <f>"Security Paper"</f>
        <v>Security Paper</v>
      </c>
      <c r="G274" s="2">
        <v>1183.0999999999999</v>
      </c>
      <c r="H274" t="str">
        <f>"B6 805 X11"</f>
        <v>B6 805 X11</v>
      </c>
    </row>
    <row r="275" spans="1:8" x14ac:dyDescent="0.25">
      <c r="E275" t="str">
        <f>""</f>
        <v/>
      </c>
      <c r="F275" t="str">
        <f>""</f>
        <v/>
      </c>
      <c r="H275" t="str">
        <f>"SetUP"</f>
        <v>SetUP</v>
      </c>
    </row>
    <row r="276" spans="1:8" x14ac:dyDescent="0.25">
      <c r="E276" t="str">
        <f>""</f>
        <v/>
      </c>
      <c r="F276" t="str">
        <f>""</f>
        <v/>
      </c>
      <c r="H276" t="str">
        <f>"B7 805 X14"</f>
        <v>B7 805 X14</v>
      </c>
    </row>
    <row r="277" spans="1:8" x14ac:dyDescent="0.25">
      <c r="A277" t="s">
        <v>75</v>
      </c>
      <c r="B277">
        <v>1723</v>
      </c>
      <c r="C277" s="2">
        <v>401.59</v>
      </c>
      <c r="D277" s="1">
        <v>43782</v>
      </c>
      <c r="E277" t="str">
        <f>"201911042873"</f>
        <v>201911042873</v>
      </c>
      <c r="F277" t="str">
        <f>"CUST#0009/PCT#1"</f>
        <v>CUST#0009/PCT#1</v>
      </c>
      <c r="G277" s="2">
        <v>150</v>
      </c>
      <c r="H277" t="str">
        <f>"CUST#0009/PCT#1"</f>
        <v>CUST#0009/PCT#1</v>
      </c>
    </row>
    <row r="278" spans="1:8" x14ac:dyDescent="0.25">
      <c r="E278" t="str">
        <f>"365448 &amp; 365798"</f>
        <v>365448 &amp; 365798</v>
      </c>
      <c r="F278" t="str">
        <f>"CUST ID:0010/PCT#2"</f>
        <v>CUST ID:0010/PCT#2</v>
      </c>
      <c r="G278" s="2">
        <v>106.5</v>
      </c>
      <c r="H278" t="str">
        <f>"CUST ID:0010/PCT#2"</f>
        <v>CUST ID:0010/PCT#2</v>
      </c>
    </row>
    <row r="279" spans="1:8" x14ac:dyDescent="0.25">
      <c r="E279" t="str">
        <f>"366151"</f>
        <v>366151</v>
      </c>
      <c r="F279" t="str">
        <f>"CUST ID:0017/ANIMAL CONTROL"</f>
        <v>CUST ID:0017/ANIMAL CONTROL</v>
      </c>
      <c r="G279" s="2">
        <v>145.09</v>
      </c>
      <c r="H279" t="str">
        <f>"CUST ID:0017/ANIMAL CONTROL"</f>
        <v>CUST ID:0017/ANIMAL CONTROL</v>
      </c>
    </row>
    <row r="280" spans="1:8" x14ac:dyDescent="0.25">
      <c r="A280" t="s">
        <v>75</v>
      </c>
      <c r="B280">
        <v>1793</v>
      </c>
      <c r="C280" s="2">
        <v>389.98</v>
      </c>
      <c r="D280" s="1">
        <v>43795</v>
      </c>
      <c r="E280" t="str">
        <f>"201911143282"</f>
        <v>201911143282</v>
      </c>
      <c r="F280" t="str">
        <f>"CUST ID:0011/PCT#3"</f>
        <v>CUST ID:0011/PCT#3</v>
      </c>
      <c r="G280" s="2">
        <v>389.98</v>
      </c>
      <c r="H280" t="str">
        <f>"CUST ID:0011/PCT#3"</f>
        <v>CUST ID:0011/PCT#3</v>
      </c>
    </row>
    <row r="281" spans="1:8" x14ac:dyDescent="0.25">
      <c r="A281" t="s">
        <v>76</v>
      </c>
      <c r="B281">
        <v>1696</v>
      </c>
      <c r="C281" s="2">
        <v>1800</v>
      </c>
      <c r="D281" s="1">
        <v>43782</v>
      </c>
      <c r="E281" t="str">
        <f>"1546"</f>
        <v>1546</v>
      </c>
      <c r="F281" t="str">
        <f>"TREE REMOVAL/PCT#2"</f>
        <v>TREE REMOVAL/PCT#2</v>
      </c>
      <c r="G281" s="2">
        <v>1800</v>
      </c>
      <c r="H281" t="str">
        <f>"TREE REMOVAL/PCT#2"</f>
        <v>TREE REMOVAL/PCT#2</v>
      </c>
    </row>
    <row r="282" spans="1:8" x14ac:dyDescent="0.25">
      <c r="A282" t="s">
        <v>76</v>
      </c>
      <c r="B282">
        <v>1757</v>
      </c>
      <c r="C282" s="2">
        <v>2150</v>
      </c>
      <c r="D282" s="1">
        <v>43795</v>
      </c>
      <c r="E282" t="str">
        <f>"1547"</f>
        <v>1547</v>
      </c>
      <c r="F282" t="str">
        <f>"REMOVED TREES/PCT#1"</f>
        <v>REMOVED TREES/PCT#1</v>
      </c>
      <c r="G282" s="2">
        <v>1950</v>
      </c>
      <c r="H282" t="str">
        <f>"REMOVED TREES/PCT#1"</f>
        <v>REMOVED TREES/PCT#1</v>
      </c>
    </row>
    <row r="283" spans="1:8" x14ac:dyDescent="0.25">
      <c r="E283" t="str">
        <f>"1548"</f>
        <v>1548</v>
      </c>
      <c r="F283" t="str">
        <f>"STRETCHED CHAIN LINK FENCE/P2"</f>
        <v>STRETCHED CHAIN LINK FENCE/P2</v>
      </c>
      <c r="G283" s="2">
        <v>200</v>
      </c>
      <c r="H283" t="str">
        <f>"STRETCHED CHAIN LINK FENCE/P2"</f>
        <v>STRETCHED CHAIN LINK FENCE/P2</v>
      </c>
    </row>
    <row r="284" spans="1:8" x14ac:dyDescent="0.25">
      <c r="A284" t="s">
        <v>77</v>
      </c>
      <c r="B284">
        <v>84680</v>
      </c>
      <c r="C284" s="2">
        <v>265</v>
      </c>
      <c r="D284" s="1">
        <v>43781</v>
      </c>
      <c r="E284" t="str">
        <f>"16703"</f>
        <v>16703</v>
      </c>
      <c r="F284" t="str">
        <f>"LABOR/SVC CALL/ENVIRON FEE"</f>
        <v>LABOR/SVC CALL/ENVIRON FEE</v>
      </c>
      <c r="G284" s="2">
        <v>265</v>
      </c>
      <c r="H284" t="str">
        <f>"LABOR/SVC CALL/ENVIRON FEE"</f>
        <v>LABOR/SVC CALL/ENVIRON FEE</v>
      </c>
    </row>
    <row r="285" spans="1:8" x14ac:dyDescent="0.25">
      <c r="A285" t="s">
        <v>78</v>
      </c>
      <c r="B285">
        <v>84681</v>
      </c>
      <c r="C285" s="2">
        <v>4150</v>
      </c>
      <c r="D285" s="1">
        <v>43781</v>
      </c>
      <c r="E285" t="str">
        <f>"12786"</f>
        <v>12786</v>
      </c>
      <c r="F285" t="str">
        <f t="shared" ref="F285:F296" si="11">"SERVICE"</f>
        <v>SERVICE</v>
      </c>
      <c r="G285" s="2">
        <v>325</v>
      </c>
      <c r="H285" t="str">
        <f t="shared" ref="H285:H296" si="12">"SERVICE"</f>
        <v>SERVICE</v>
      </c>
    </row>
    <row r="286" spans="1:8" x14ac:dyDescent="0.25">
      <c r="E286" t="str">
        <f>"12863"</f>
        <v>12863</v>
      </c>
      <c r="F286" t="str">
        <f t="shared" si="11"/>
        <v>SERVICE</v>
      </c>
      <c r="G286" s="2">
        <v>325</v>
      </c>
      <c r="H286" t="str">
        <f t="shared" si="12"/>
        <v>SERVICE</v>
      </c>
    </row>
    <row r="287" spans="1:8" x14ac:dyDescent="0.25">
      <c r="E287" t="str">
        <f>"12885"</f>
        <v>12885</v>
      </c>
      <c r="F287" t="str">
        <f t="shared" si="11"/>
        <v>SERVICE</v>
      </c>
      <c r="G287" s="2">
        <v>250</v>
      </c>
      <c r="H287" t="str">
        <f t="shared" si="12"/>
        <v>SERVICE</v>
      </c>
    </row>
    <row r="288" spans="1:8" x14ac:dyDescent="0.25">
      <c r="E288" t="str">
        <f>"12889"</f>
        <v>12889</v>
      </c>
      <c r="F288" t="str">
        <f t="shared" si="11"/>
        <v>SERVICE</v>
      </c>
      <c r="G288" s="2">
        <v>575</v>
      </c>
      <c r="H288" t="str">
        <f t="shared" si="12"/>
        <v>SERVICE</v>
      </c>
    </row>
    <row r="289" spans="1:8" x14ac:dyDescent="0.25">
      <c r="E289" t="str">
        <f>"12989"</f>
        <v>12989</v>
      </c>
      <c r="F289" t="str">
        <f t="shared" si="11"/>
        <v>SERVICE</v>
      </c>
      <c r="G289" s="2">
        <v>400</v>
      </c>
      <c r="H289" t="str">
        <f t="shared" si="12"/>
        <v>SERVICE</v>
      </c>
    </row>
    <row r="290" spans="1:8" x14ac:dyDescent="0.25">
      <c r="E290" t="str">
        <f>"13033"</f>
        <v>13033</v>
      </c>
      <c r="F290" t="str">
        <f t="shared" si="11"/>
        <v>SERVICE</v>
      </c>
      <c r="G290" s="2">
        <v>325</v>
      </c>
      <c r="H290" t="str">
        <f t="shared" si="12"/>
        <v>SERVICE</v>
      </c>
    </row>
    <row r="291" spans="1:8" x14ac:dyDescent="0.25">
      <c r="E291" t="str">
        <f>"13044"</f>
        <v>13044</v>
      </c>
      <c r="F291" t="str">
        <f t="shared" si="11"/>
        <v>SERVICE</v>
      </c>
      <c r="G291" s="2">
        <v>325</v>
      </c>
      <c r="H291" t="str">
        <f t="shared" si="12"/>
        <v>SERVICE</v>
      </c>
    </row>
    <row r="292" spans="1:8" x14ac:dyDescent="0.25">
      <c r="E292" t="str">
        <f>"13052"</f>
        <v>13052</v>
      </c>
      <c r="F292" t="str">
        <f t="shared" si="11"/>
        <v>SERVICE</v>
      </c>
      <c r="G292" s="2">
        <v>325</v>
      </c>
      <c r="H292" t="str">
        <f t="shared" si="12"/>
        <v>SERVICE</v>
      </c>
    </row>
    <row r="293" spans="1:8" x14ac:dyDescent="0.25">
      <c r="E293" t="str">
        <f>"13065"</f>
        <v>13065</v>
      </c>
      <c r="F293" t="str">
        <f t="shared" si="11"/>
        <v>SERVICE</v>
      </c>
      <c r="G293" s="2">
        <v>325</v>
      </c>
      <c r="H293" t="str">
        <f t="shared" si="12"/>
        <v>SERVICE</v>
      </c>
    </row>
    <row r="294" spans="1:8" x14ac:dyDescent="0.25">
      <c r="E294" t="str">
        <f>"13066 08/26/19"</f>
        <v>13066 08/26/19</v>
      </c>
      <c r="F294" t="str">
        <f t="shared" si="11"/>
        <v>SERVICE</v>
      </c>
      <c r="G294" s="2">
        <v>250</v>
      </c>
      <c r="H294" t="str">
        <f t="shared" si="12"/>
        <v>SERVICE</v>
      </c>
    </row>
    <row r="295" spans="1:8" x14ac:dyDescent="0.25">
      <c r="E295" t="str">
        <f>"13075"</f>
        <v>13075</v>
      </c>
      <c r="F295" t="str">
        <f t="shared" si="11"/>
        <v>SERVICE</v>
      </c>
      <c r="G295" s="2">
        <v>325</v>
      </c>
      <c r="H295" t="str">
        <f t="shared" si="12"/>
        <v>SERVICE</v>
      </c>
    </row>
    <row r="296" spans="1:8" x14ac:dyDescent="0.25">
      <c r="E296" t="str">
        <f>"9545"</f>
        <v>9545</v>
      </c>
      <c r="F296" t="str">
        <f t="shared" si="11"/>
        <v>SERVICE</v>
      </c>
      <c r="G296" s="2">
        <v>400</v>
      </c>
      <c r="H296" t="str">
        <f t="shared" si="12"/>
        <v>SERVICE</v>
      </c>
    </row>
    <row r="297" spans="1:8" x14ac:dyDescent="0.25">
      <c r="A297" t="s">
        <v>78</v>
      </c>
      <c r="B297">
        <v>129696</v>
      </c>
      <c r="C297" s="2">
        <v>875</v>
      </c>
      <c r="D297" s="1">
        <v>43794</v>
      </c>
      <c r="E297" t="str">
        <f>"12847"</f>
        <v>12847</v>
      </c>
      <c r="F297" t="str">
        <f>"SERVICE  08/26/19"</f>
        <v>SERVICE  08/26/19</v>
      </c>
      <c r="G297" s="2">
        <v>550</v>
      </c>
      <c r="H297" t="str">
        <f>"SERVICE  08/26/19"</f>
        <v>SERVICE  08/26/19</v>
      </c>
    </row>
    <row r="298" spans="1:8" x14ac:dyDescent="0.25">
      <c r="E298" t="str">
        <f>"12890"</f>
        <v>12890</v>
      </c>
      <c r="F298" t="str">
        <f>"SERVICE 08/26/19"</f>
        <v>SERVICE 08/26/19</v>
      </c>
      <c r="G298" s="2">
        <v>325</v>
      </c>
      <c r="H298" t="str">
        <f>"SERVICE 08/26/19"</f>
        <v>SERVICE 08/26/19</v>
      </c>
    </row>
    <row r="299" spans="1:8" x14ac:dyDescent="0.25">
      <c r="A299" t="s">
        <v>79</v>
      </c>
      <c r="B299">
        <v>129697</v>
      </c>
      <c r="C299" s="2">
        <v>301.95999999999998</v>
      </c>
      <c r="D299" s="1">
        <v>43794</v>
      </c>
      <c r="E299" t="str">
        <f>"201911143275"</f>
        <v>201911143275</v>
      </c>
      <c r="F299" t="str">
        <f>"ACCT#BC01"</f>
        <v>ACCT#BC01</v>
      </c>
      <c r="G299" s="2">
        <v>301.95999999999998</v>
      </c>
      <c r="H299" t="str">
        <f>"ACCT#BC01"</f>
        <v>ACCT#BC01</v>
      </c>
    </row>
    <row r="300" spans="1:8" x14ac:dyDescent="0.25">
      <c r="E300" t="str">
        <f>""</f>
        <v/>
      </c>
      <c r="F300" t="str">
        <f>""</f>
        <v/>
      </c>
      <c r="H300" t="str">
        <f>"ACCT#BC01"</f>
        <v>ACCT#BC01</v>
      </c>
    </row>
    <row r="301" spans="1:8" x14ac:dyDescent="0.25">
      <c r="E301" t="str">
        <f>""</f>
        <v/>
      </c>
      <c r="F301" t="str">
        <f>""</f>
        <v/>
      </c>
      <c r="H301" t="str">
        <f>"ACCT#BC01"</f>
        <v>ACCT#BC01</v>
      </c>
    </row>
    <row r="302" spans="1:8" x14ac:dyDescent="0.25">
      <c r="A302" t="s">
        <v>80</v>
      </c>
      <c r="B302">
        <v>1781</v>
      </c>
      <c r="C302" s="2">
        <v>9380.31</v>
      </c>
      <c r="D302" s="1">
        <v>43795</v>
      </c>
      <c r="E302" t="str">
        <f>"201911183311"</f>
        <v>201911183311</v>
      </c>
      <c r="F302" t="str">
        <f>"GRANT REIMBURSEMENT-OCTOBER"</f>
        <v>GRANT REIMBURSEMENT-OCTOBER</v>
      </c>
      <c r="G302" s="2">
        <v>9380.31</v>
      </c>
      <c r="H302" t="str">
        <f>"GRANT REIMBURSEMENT-OCTOBER"</f>
        <v>GRANT REIMBURSEMENT-OCTOBER</v>
      </c>
    </row>
    <row r="303" spans="1:8" x14ac:dyDescent="0.25">
      <c r="A303" t="s">
        <v>81</v>
      </c>
      <c r="B303">
        <v>129698</v>
      </c>
      <c r="C303" s="2">
        <v>900</v>
      </c>
      <c r="D303" s="1">
        <v>43794</v>
      </c>
      <c r="E303" t="str">
        <f>"2021"</f>
        <v>2021</v>
      </c>
      <c r="F303" t="str">
        <f>"DAILY RATE FOR BLDG RENTAL"</f>
        <v>DAILY RATE FOR BLDG RENTAL</v>
      </c>
      <c r="G303" s="2">
        <v>900</v>
      </c>
      <c r="H303" t="str">
        <f>"DAILY RATE FOR BLDG RENTAL"</f>
        <v>DAILY RATE FOR BLDG RENTAL</v>
      </c>
    </row>
    <row r="304" spans="1:8" x14ac:dyDescent="0.25">
      <c r="A304" t="s">
        <v>82</v>
      </c>
      <c r="B304">
        <v>1813</v>
      </c>
      <c r="C304" s="2">
        <v>33.270000000000003</v>
      </c>
      <c r="D304" s="1">
        <v>43795</v>
      </c>
      <c r="E304" t="str">
        <f>"201911203480"</f>
        <v>201911203480</v>
      </c>
      <c r="F304" t="str">
        <f>"INDIGENT HEALTH"</f>
        <v>INDIGENT HEALTH</v>
      </c>
      <c r="G304" s="2">
        <v>33.270000000000003</v>
      </c>
      <c r="H304" t="str">
        <f>"INDIGENT HEALTH"</f>
        <v>INDIGENT HEALTH</v>
      </c>
    </row>
    <row r="305" spans="1:8" x14ac:dyDescent="0.25">
      <c r="A305" t="s">
        <v>83</v>
      </c>
      <c r="B305">
        <v>1695</v>
      </c>
      <c r="C305" s="2">
        <v>695</v>
      </c>
      <c r="D305" s="1">
        <v>43782</v>
      </c>
      <c r="E305" t="str">
        <f>"2019-113"</f>
        <v>2019-113</v>
      </c>
      <c r="F305" t="str">
        <f>"TRANSPORT-C. RAMIREZ"</f>
        <v>TRANSPORT-C. RAMIREZ</v>
      </c>
      <c r="G305" s="2">
        <v>695</v>
      </c>
      <c r="H305" t="str">
        <f>"TRANSPORT-C. RAMIREZ"</f>
        <v>TRANSPORT-C. RAMIREZ</v>
      </c>
    </row>
    <row r="306" spans="1:8" x14ac:dyDescent="0.25">
      <c r="A306" t="s">
        <v>83</v>
      </c>
      <c r="B306">
        <v>1756</v>
      </c>
      <c r="C306" s="2">
        <v>3740</v>
      </c>
      <c r="D306" s="1">
        <v>43795</v>
      </c>
      <c r="E306" t="str">
        <f>"2019-150"</f>
        <v>2019-150</v>
      </c>
      <c r="F306" t="str">
        <f>"TRANSPORT-M.E. HOLLOWAY"</f>
        <v>TRANSPORT-M.E. HOLLOWAY</v>
      </c>
      <c r="G306" s="2">
        <v>720</v>
      </c>
      <c r="H306" t="str">
        <f>"TRANSPORT-M.E. HOLLOWAY"</f>
        <v>TRANSPORT-M.E. HOLLOWAY</v>
      </c>
    </row>
    <row r="307" spans="1:8" x14ac:dyDescent="0.25">
      <c r="E307" t="str">
        <f>"2019116"</f>
        <v>2019116</v>
      </c>
      <c r="F307" t="str">
        <f>"TRANSPORT-T.E. DANIELS"</f>
        <v>TRANSPORT-T.E. DANIELS</v>
      </c>
      <c r="G307" s="2">
        <v>495</v>
      </c>
      <c r="H307" t="str">
        <f>"TRANSPORT-T.E. DANIELS"</f>
        <v>TRANSPORT-T.E. DANIELS</v>
      </c>
    </row>
    <row r="308" spans="1:8" x14ac:dyDescent="0.25">
      <c r="E308" t="str">
        <f>"2019129"</f>
        <v>2019129</v>
      </c>
      <c r="F308" t="str">
        <f>"TRANSPORT-B.W. TURNER"</f>
        <v>TRANSPORT-B.W. TURNER</v>
      </c>
      <c r="G308" s="2">
        <v>295</v>
      </c>
      <c r="H308" t="str">
        <f>"TRANSPORT-B.W. TURNER"</f>
        <v>TRANSPORT-B.W. TURNER</v>
      </c>
    </row>
    <row r="309" spans="1:8" x14ac:dyDescent="0.25">
      <c r="E309" t="str">
        <f>"2019130"</f>
        <v>2019130</v>
      </c>
      <c r="F309" t="str">
        <f>"TRANSPORT-S.F. RIVAS"</f>
        <v>TRANSPORT-S.F. RIVAS</v>
      </c>
      <c r="G309" s="2">
        <v>450</v>
      </c>
      <c r="H309" t="str">
        <f>"TRANSPORT-S.F. RIVAS"</f>
        <v>TRANSPORT-S.F. RIVAS</v>
      </c>
    </row>
    <row r="310" spans="1:8" x14ac:dyDescent="0.25">
      <c r="E310" t="str">
        <f>"2019132"</f>
        <v>2019132</v>
      </c>
      <c r="F310" t="str">
        <f>"TRANSPORT-I. TORIBIO"</f>
        <v>TRANSPORT-I. TORIBIO</v>
      </c>
      <c r="G310" s="2">
        <v>495</v>
      </c>
      <c r="H310" t="str">
        <f>"TRANSPORT-I. TORIBIO"</f>
        <v>TRANSPORT-I. TORIBIO</v>
      </c>
    </row>
    <row r="311" spans="1:8" x14ac:dyDescent="0.25">
      <c r="E311" t="str">
        <f>"2019134"</f>
        <v>2019134</v>
      </c>
      <c r="F311" t="str">
        <f>"TRANSPORT-K. LUCKERT"</f>
        <v>TRANSPORT-K. LUCKERT</v>
      </c>
      <c r="G311" s="2">
        <v>495</v>
      </c>
      <c r="H311" t="str">
        <f>"TRANSPORT-K. LUCKERT"</f>
        <v>TRANSPORT-K. LUCKERT</v>
      </c>
    </row>
    <row r="312" spans="1:8" x14ac:dyDescent="0.25">
      <c r="E312" t="str">
        <f>"2019135"</f>
        <v>2019135</v>
      </c>
      <c r="F312" t="str">
        <f>"TRANSPORT-J. BALDERAS"</f>
        <v>TRANSPORT-J. BALDERAS</v>
      </c>
      <c r="G312" s="2">
        <v>495</v>
      </c>
      <c r="H312" t="str">
        <f>"TRANSPORT-J. BALDERAS"</f>
        <v>TRANSPORT-J. BALDERAS</v>
      </c>
    </row>
    <row r="313" spans="1:8" x14ac:dyDescent="0.25">
      <c r="E313" t="str">
        <f>"2019136"</f>
        <v>2019136</v>
      </c>
      <c r="F313" t="str">
        <f>"TRANSPORT-D.R. RICHERSON"</f>
        <v>TRANSPORT-D.R. RICHERSON</v>
      </c>
      <c r="G313" s="2">
        <v>295</v>
      </c>
      <c r="H313" t="str">
        <f>"TRANSPORT-D.R. RICHERSON"</f>
        <v>TRANSPORT-D.R. RICHERSON</v>
      </c>
    </row>
    <row r="314" spans="1:8" x14ac:dyDescent="0.25">
      <c r="A314" t="s">
        <v>84</v>
      </c>
      <c r="B314">
        <v>84682</v>
      </c>
      <c r="C314" s="2">
        <v>440</v>
      </c>
      <c r="D314" s="1">
        <v>43781</v>
      </c>
      <c r="E314" t="str">
        <f>"7164"</f>
        <v>7164</v>
      </c>
      <c r="F314" t="str">
        <f>"YARD SIGNS/ELECTIONS"</f>
        <v>YARD SIGNS/ELECTIONS</v>
      </c>
      <c r="G314" s="2">
        <v>440</v>
      </c>
      <c r="H314" t="str">
        <f>"YARD SIGNS/ELECTIONS"</f>
        <v>YARD SIGNS/ELECTIONS</v>
      </c>
    </row>
    <row r="315" spans="1:8" x14ac:dyDescent="0.25">
      <c r="A315" t="s">
        <v>85</v>
      </c>
      <c r="B315">
        <v>84683</v>
      </c>
      <c r="C315" s="2">
        <v>179.36</v>
      </c>
      <c r="D315" s="1">
        <v>43781</v>
      </c>
      <c r="E315" t="str">
        <f>"1142772"</f>
        <v>1142772</v>
      </c>
      <c r="F315" t="str">
        <f>"CONSULT / ANIMAL SERVICES"</f>
        <v>CONSULT / ANIMAL SERVICES</v>
      </c>
      <c r="G315" s="2">
        <v>51.5</v>
      </c>
      <c r="H315" t="str">
        <f>"CONSULT / ANIMAL SERVICES"</f>
        <v>CONSULT / ANIMAL SERVICES</v>
      </c>
    </row>
    <row r="316" spans="1:8" x14ac:dyDescent="0.25">
      <c r="E316" t="str">
        <f>"1143025"</f>
        <v>1143025</v>
      </c>
      <c r="F316" t="str">
        <f>"INV 1143025"</f>
        <v>INV 1143025</v>
      </c>
      <c r="G316" s="2">
        <v>127.86</v>
      </c>
      <c r="H316" t="str">
        <f>"INV 1143025"</f>
        <v>INV 1143025</v>
      </c>
    </row>
    <row r="317" spans="1:8" x14ac:dyDescent="0.25">
      <c r="A317" t="s">
        <v>86</v>
      </c>
      <c r="B317">
        <v>1749</v>
      </c>
      <c r="C317" s="2">
        <v>1435</v>
      </c>
      <c r="D317" s="1">
        <v>43795</v>
      </c>
      <c r="E317" t="str">
        <f>"201911193461"</f>
        <v>201911193461</v>
      </c>
      <c r="F317" t="str">
        <f>"OCTOBER SERVICES"</f>
        <v>OCTOBER SERVICES</v>
      </c>
      <c r="G317" s="2">
        <v>1435</v>
      </c>
      <c r="H317" t="str">
        <f>"OCTOBER - LAW ENFOR"</f>
        <v>OCTOBER - LAW ENFOR</v>
      </c>
    </row>
    <row r="318" spans="1:8" x14ac:dyDescent="0.25">
      <c r="E318" t="str">
        <f>""</f>
        <v/>
      </c>
      <c r="F318" t="str">
        <f>""</f>
        <v/>
      </c>
      <c r="H318" t="str">
        <f>"OCTOBER - JAIL"</f>
        <v>OCTOBER - JAIL</v>
      </c>
    </row>
    <row r="319" spans="1:8" x14ac:dyDescent="0.25">
      <c r="A319" t="s">
        <v>87</v>
      </c>
      <c r="B319">
        <v>129699</v>
      </c>
      <c r="C319" s="2">
        <v>1336.55</v>
      </c>
      <c r="D319" s="1">
        <v>43794</v>
      </c>
      <c r="E319" t="str">
        <f>"DX09852"</f>
        <v>DX09852</v>
      </c>
      <c r="F319" t="str">
        <f>"INV DX09852"</f>
        <v>INV DX09852</v>
      </c>
      <c r="G319" s="2">
        <v>1336.55</v>
      </c>
      <c r="H319" t="str">
        <f>"INV DX09852"</f>
        <v>INV DX09852</v>
      </c>
    </row>
    <row r="320" spans="1:8" x14ac:dyDescent="0.25">
      <c r="A320" t="s">
        <v>88</v>
      </c>
      <c r="B320">
        <v>129700</v>
      </c>
      <c r="C320" s="2">
        <v>3500</v>
      </c>
      <c r="D320" s="1">
        <v>43794</v>
      </c>
      <c r="E320" t="str">
        <f>"18750"</f>
        <v>18750</v>
      </c>
      <c r="F320" t="str">
        <f>"JAIL SESSION-V. CLARK"</f>
        <v>JAIL SESSION-V. CLARK</v>
      </c>
      <c r="G320" s="2">
        <v>3500</v>
      </c>
      <c r="H320" t="str">
        <f>"JAIL SESSION-V. CLARK"</f>
        <v>JAIL SESSION-V. CLARK</v>
      </c>
    </row>
    <row r="321" spans="1:8" x14ac:dyDescent="0.25">
      <c r="A321" t="s">
        <v>89</v>
      </c>
      <c r="B321">
        <v>84684</v>
      </c>
      <c r="C321" s="2">
        <v>280</v>
      </c>
      <c r="D321" s="1">
        <v>43781</v>
      </c>
      <c r="E321" t="str">
        <f>"12885"</f>
        <v>12885</v>
      </c>
      <c r="F321" t="str">
        <f>"SERVICE"</f>
        <v>SERVICE</v>
      </c>
      <c r="G321" s="2">
        <v>280</v>
      </c>
      <c r="H321" t="str">
        <f>"SERVICE"</f>
        <v>SERVICE</v>
      </c>
    </row>
    <row r="322" spans="1:8" x14ac:dyDescent="0.25">
      <c r="A322" t="s">
        <v>90</v>
      </c>
      <c r="B322">
        <v>84685</v>
      </c>
      <c r="C322" s="2">
        <v>854.44</v>
      </c>
      <c r="D322" s="1">
        <v>43781</v>
      </c>
      <c r="E322" t="str">
        <f>"75284333"</f>
        <v>75284333</v>
      </c>
      <c r="F322" t="str">
        <f>"INV 75284333"</f>
        <v>INV 75284333</v>
      </c>
      <c r="G322" s="2">
        <v>854.44</v>
      </c>
      <c r="H322" t="str">
        <f>"INV 75284333"</f>
        <v>INV 75284333</v>
      </c>
    </row>
    <row r="323" spans="1:8" x14ac:dyDescent="0.25">
      <c r="A323" t="s">
        <v>90</v>
      </c>
      <c r="B323">
        <v>129701</v>
      </c>
      <c r="C323" s="2">
        <v>2844.67</v>
      </c>
      <c r="D323" s="1">
        <v>43794</v>
      </c>
      <c r="E323" t="str">
        <f>"75272643 75301364"</f>
        <v>75272643 75301364</v>
      </c>
      <c r="F323" t="str">
        <f>"INV 75272643"</f>
        <v>INV 75272643</v>
      </c>
      <c r="G323" s="2">
        <v>2844.67</v>
      </c>
      <c r="H323" t="str">
        <f>"INV 75272643"</f>
        <v>INV 75272643</v>
      </c>
    </row>
    <row r="324" spans="1:8" x14ac:dyDescent="0.25">
      <c r="E324" t="str">
        <f>""</f>
        <v/>
      </c>
      <c r="F324" t="str">
        <f>""</f>
        <v/>
      </c>
      <c r="H324" t="str">
        <f>"INV 75301364"</f>
        <v>INV 75301364</v>
      </c>
    </row>
    <row r="325" spans="1:8" x14ac:dyDescent="0.25">
      <c r="E325" t="str">
        <f>""</f>
        <v/>
      </c>
      <c r="F325" t="str">
        <f>""</f>
        <v/>
      </c>
      <c r="H325" t="str">
        <f>"INV 75309763"</f>
        <v>INV 75309763</v>
      </c>
    </row>
    <row r="326" spans="1:8" x14ac:dyDescent="0.25">
      <c r="A326" t="s">
        <v>91</v>
      </c>
      <c r="B326">
        <v>129702</v>
      </c>
      <c r="C326" s="2">
        <v>3867.9</v>
      </c>
      <c r="D326" s="1">
        <v>43794</v>
      </c>
      <c r="E326" t="str">
        <f>"7110"</f>
        <v>7110</v>
      </c>
      <c r="F326" t="str">
        <f>"BOOTS/PCT#3"</f>
        <v>BOOTS/PCT#3</v>
      </c>
      <c r="G326" s="2">
        <v>3867.9</v>
      </c>
      <c r="H326" t="str">
        <f>"BOOTS/PCT#3"</f>
        <v>BOOTS/PCT#3</v>
      </c>
    </row>
    <row r="327" spans="1:8" x14ac:dyDescent="0.25">
      <c r="A327" t="s">
        <v>92</v>
      </c>
      <c r="B327">
        <v>84686</v>
      </c>
      <c r="C327" s="2">
        <v>979.84</v>
      </c>
      <c r="D327" s="1">
        <v>43781</v>
      </c>
      <c r="E327" t="str">
        <f>"4076250"</f>
        <v>4076250</v>
      </c>
      <c r="F327" t="str">
        <f>"inv# 4076250"</f>
        <v>inv# 4076250</v>
      </c>
      <c r="G327" s="2">
        <v>924.85</v>
      </c>
      <c r="H327" t="str">
        <f>"inv# 4076250"</f>
        <v>inv# 4076250</v>
      </c>
    </row>
    <row r="328" spans="1:8" x14ac:dyDescent="0.25">
      <c r="E328" t="str">
        <f>"4099625"</f>
        <v>4099625</v>
      </c>
      <c r="F328" t="str">
        <f>"inv# 4099625"</f>
        <v>inv# 4099625</v>
      </c>
      <c r="G328" s="2">
        <v>54.99</v>
      </c>
      <c r="H328" t="str">
        <f>"inv# 4099625"</f>
        <v>inv# 4099625</v>
      </c>
    </row>
    <row r="329" spans="1:8" x14ac:dyDescent="0.25">
      <c r="A329" t="s">
        <v>93</v>
      </c>
      <c r="B329">
        <v>1807</v>
      </c>
      <c r="C329" s="2">
        <v>2466.5700000000002</v>
      </c>
      <c r="D329" s="1">
        <v>43795</v>
      </c>
      <c r="E329" t="str">
        <f>"24485"</f>
        <v>24485</v>
      </c>
      <c r="F329" t="str">
        <f>"INV 24485"</f>
        <v>INV 24485</v>
      </c>
      <c r="G329" s="2">
        <v>2466.5700000000002</v>
      </c>
      <c r="H329" t="str">
        <f>"INV 24485"</f>
        <v>INV 24485</v>
      </c>
    </row>
    <row r="330" spans="1:8" x14ac:dyDescent="0.25">
      <c r="A330" t="s">
        <v>94</v>
      </c>
      <c r="B330">
        <v>1750</v>
      </c>
      <c r="C330" s="2">
        <v>683.06</v>
      </c>
      <c r="D330" s="1">
        <v>43795</v>
      </c>
      <c r="E330" t="str">
        <f>"201911133240"</f>
        <v>201911133240</v>
      </c>
      <c r="F330" t="str">
        <f>"423-6341"</f>
        <v>423-6341</v>
      </c>
      <c r="G330" s="2">
        <v>400</v>
      </c>
      <c r="H330" t="str">
        <f>"423-6341"</f>
        <v>423-6341</v>
      </c>
    </row>
    <row r="331" spans="1:8" x14ac:dyDescent="0.25">
      <c r="E331" t="str">
        <f>"201911193421"</f>
        <v>201911193421</v>
      </c>
      <c r="F331" t="str">
        <f>"56 664"</f>
        <v>56 664</v>
      </c>
      <c r="G331" s="2">
        <v>283.06</v>
      </c>
      <c r="H331" t="str">
        <f>"56 664"</f>
        <v>56 664</v>
      </c>
    </row>
    <row r="332" spans="1:8" x14ac:dyDescent="0.25">
      <c r="A332" t="s">
        <v>95</v>
      </c>
      <c r="B332">
        <v>84687</v>
      </c>
      <c r="C332" s="2">
        <v>555.96</v>
      </c>
      <c r="D332" s="1">
        <v>43781</v>
      </c>
      <c r="E332" t="str">
        <f>"84078903333 3389"</f>
        <v>84078903333 3389</v>
      </c>
      <c r="F332" t="str">
        <f>"INV 84078903333"</f>
        <v>INV 84078903333</v>
      </c>
      <c r="G332" s="2">
        <v>555.96</v>
      </c>
      <c r="H332" t="str">
        <f>"INV 84078903333"</f>
        <v>INV 84078903333</v>
      </c>
    </row>
    <row r="333" spans="1:8" x14ac:dyDescent="0.25">
      <c r="E333" t="str">
        <f>""</f>
        <v/>
      </c>
      <c r="F333" t="str">
        <f>""</f>
        <v/>
      </c>
      <c r="H333" t="str">
        <f>"INV 84078903389"</f>
        <v>INV 84078903389</v>
      </c>
    </row>
    <row r="334" spans="1:8" x14ac:dyDescent="0.25">
      <c r="A334" t="s">
        <v>95</v>
      </c>
      <c r="B334">
        <v>129703</v>
      </c>
      <c r="C334" s="2">
        <v>564.29999999999995</v>
      </c>
      <c r="D334" s="1">
        <v>43794</v>
      </c>
      <c r="E334" t="str">
        <f>"84078903443 840789"</f>
        <v>84078903443 840789</v>
      </c>
      <c r="F334" t="str">
        <f>"INV 84078903443"</f>
        <v>INV 84078903443</v>
      </c>
      <c r="G334" s="2">
        <v>564.29999999999995</v>
      </c>
      <c r="H334" t="str">
        <f>"INV 84078903443"</f>
        <v>INV 84078903443</v>
      </c>
    </row>
    <row r="335" spans="1:8" x14ac:dyDescent="0.25">
      <c r="E335" t="str">
        <f>""</f>
        <v/>
      </c>
      <c r="F335" t="str">
        <f>""</f>
        <v/>
      </c>
      <c r="H335" t="str">
        <f>"INV 84078903494"</f>
        <v>INV 84078903494</v>
      </c>
    </row>
    <row r="336" spans="1:8" x14ac:dyDescent="0.25">
      <c r="A336" t="s">
        <v>96</v>
      </c>
      <c r="B336">
        <v>1771</v>
      </c>
      <c r="C336" s="2">
        <v>906.25</v>
      </c>
      <c r="D336" s="1">
        <v>43795</v>
      </c>
      <c r="E336" t="str">
        <f>"201911193381"</f>
        <v>201911193381</v>
      </c>
      <c r="F336" t="str">
        <f>"406259.5  925-353-4524A001  19"</f>
        <v>406259.5  925-353-4524A001  19</v>
      </c>
      <c r="G336" s="2">
        <v>250</v>
      </c>
      <c r="H336" t="str">
        <f>"406259.5  925-353-4524A001  19"</f>
        <v>406259.5  925-353-4524A001  19</v>
      </c>
    </row>
    <row r="337" spans="1:8" x14ac:dyDescent="0.25">
      <c r="E337" t="str">
        <f>"201911193382"</f>
        <v>201911193382</v>
      </c>
      <c r="F337" t="str">
        <f>"18-18997"</f>
        <v>18-18997</v>
      </c>
      <c r="G337" s="2">
        <v>100</v>
      </c>
      <c r="H337" t="str">
        <f>"18-18997"</f>
        <v>18-18997</v>
      </c>
    </row>
    <row r="338" spans="1:8" x14ac:dyDescent="0.25">
      <c r="E338" t="str">
        <f>"201911193383"</f>
        <v>201911193383</v>
      </c>
      <c r="F338" t="str">
        <f>"18-19166"</f>
        <v>18-19166</v>
      </c>
      <c r="G338" s="2">
        <v>456.25</v>
      </c>
      <c r="H338" t="str">
        <f>"18-19166"</f>
        <v>18-19166</v>
      </c>
    </row>
    <row r="339" spans="1:8" x14ac:dyDescent="0.25">
      <c r="E339" t="str">
        <f>"201911203467"</f>
        <v>201911203467</v>
      </c>
      <c r="F339" t="str">
        <f>"18-19050"</f>
        <v>18-19050</v>
      </c>
      <c r="G339" s="2">
        <v>100</v>
      </c>
      <c r="H339" t="str">
        <f>"18-19050"</f>
        <v>18-19050</v>
      </c>
    </row>
    <row r="340" spans="1:8" x14ac:dyDescent="0.25">
      <c r="A340" t="s">
        <v>97</v>
      </c>
      <c r="B340">
        <v>129704</v>
      </c>
      <c r="C340" s="2">
        <v>310.45999999999998</v>
      </c>
      <c r="D340" s="1">
        <v>43794</v>
      </c>
      <c r="E340" t="str">
        <f>"201911153301"</f>
        <v>201911153301</v>
      </c>
      <c r="F340" t="str">
        <f>"CRIMESTOPPER FEES-OCTOBER 2019"</f>
        <v>CRIMESTOPPER FEES-OCTOBER 2019</v>
      </c>
      <c r="G340" s="2">
        <v>310.45999999999998</v>
      </c>
      <c r="H340" t="str">
        <f>"CRIMESTOPPER FEES-OCTOBER 2019"</f>
        <v>CRIMESTOPPER FEES-OCTOBER 2019</v>
      </c>
    </row>
    <row r="341" spans="1:8" x14ac:dyDescent="0.25">
      <c r="A341" t="s">
        <v>98</v>
      </c>
      <c r="B341">
        <v>84649</v>
      </c>
      <c r="C341" s="2">
        <v>3355.53</v>
      </c>
      <c r="D341" s="1">
        <v>43777</v>
      </c>
      <c r="E341" t="str">
        <f>"201911083063"</f>
        <v>201911083063</v>
      </c>
      <c r="F341" t="str">
        <f>"ACCT#5000057374 / 11/03/2019"</f>
        <v>ACCT#5000057374 / 11/03/2019</v>
      </c>
      <c r="G341" s="2">
        <v>3355.53</v>
      </c>
      <c r="H341" t="str">
        <f>"ACCT#5000057374 / 11/03/2019"</f>
        <v>ACCT#5000057374 / 11/03/2019</v>
      </c>
    </row>
    <row r="342" spans="1:8" x14ac:dyDescent="0.25">
      <c r="E342" t="str">
        <f>""</f>
        <v/>
      </c>
      <c r="F342" t="str">
        <f>""</f>
        <v/>
      </c>
      <c r="H342" t="str">
        <f>"ACCT#5000057374 / 11/03/2019"</f>
        <v>ACCT#5000057374 / 11/03/2019</v>
      </c>
    </row>
    <row r="343" spans="1:8" x14ac:dyDescent="0.25">
      <c r="E343" t="str">
        <f>""</f>
        <v/>
      </c>
      <c r="F343" t="str">
        <f>""</f>
        <v/>
      </c>
      <c r="H343" t="str">
        <f>"ACCT#5000057374 / 11/03/2019"</f>
        <v>ACCT#5000057374 / 11/03/2019</v>
      </c>
    </row>
    <row r="344" spans="1:8" x14ac:dyDescent="0.25">
      <c r="E344" t="str">
        <f>""</f>
        <v/>
      </c>
      <c r="F344" t="str">
        <f>""</f>
        <v/>
      </c>
      <c r="H344" t="str">
        <f>"ACCT#5000057374 / 11/03/2019"</f>
        <v>ACCT#5000057374 / 11/03/2019</v>
      </c>
    </row>
    <row r="345" spans="1:8" x14ac:dyDescent="0.25">
      <c r="A345" t="s">
        <v>99</v>
      </c>
      <c r="B345">
        <v>1820</v>
      </c>
      <c r="C345" s="2">
        <v>1350</v>
      </c>
      <c r="D345" s="1">
        <v>43795</v>
      </c>
      <c r="E345" t="str">
        <f>"25-10-2019"</f>
        <v>25-10-2019</v>
      </c>
      <c r="F345" t="str">
        <f>"INV 25-10-2019"</f>
        <v>INV 25-10-2019</v>
      </c>
      <c r="G345" s="2">
        <v>1350</v>
      </c>
      <c r="H345" t="str">
        <f>"INV 25-10-2019"</f>
        <v>INV 25-10-2019</v>
      </c>
    </row>
    <row r="346" spans="1:8" x14ac:dyDescent="0.25">
      <c r="A346" t="s">
        <v>100</v>
      </c>
      <c r="B346">
        <v>129705</v>
      </c>
      <c r="C346" s="2">
        <v>1190</v>
      </c>
      <c r="D346" s="1">
        <v>43794</v>
      </c>
      <c r="E346" t="str">
        <f>"UT1000515548"</f>
        <v>UT1000515548</v>
      </c>
      <c r="F346" t="str">
        <f>"INV UT1000515548"</f>
        <v>INV UT1000515548</v>
      </c>
      <c r="G346" s="2">
        <v>1190</v>
      </c>
      <c r="H346" t="str">
        <f>"INV UT1000515548"</f>
        <v>INV UT1000515548</v>
      </c>
    </row>
    <row r="347" spans="1:8" x14ac:dyDescent="0.25">
      <c r="A347" t="s">
        <v>101</v>
      </c>
      <c r="B347">
        <v>129706</v>
      </c>
      <c r="C347" s="2">
        <v>97.2</v>
      </c>
      <c r="D347" s="1">
        <v>43794</v>
      </c>
      <c r="E347" t="str">
        <f>"9897781"</f>
        <v>9897781</v>
      </c>
      <c r="F347" t="str">
        <f>"ACCT#300362/ORD#20302855"</f>
        <v>ACCT#300362/ORD#20302855</v>
      </c>
      <c r="G347" s="2">
        <v>97.2</v>
      </c>
      <c r="H347" t="str">
        <f>"ACCT#300362/ORD#20302855"</f>
        <v>ACCT#300362/ORD#20302855</v>
      </c>
    </row>
    <row r="348" spans="1:8" x14ac:dyDescent="0.25">
      <c r="A348" t="s">
        <v>102</v>
      </c>
      <c r="B348">
        <v>84688</v>
      </c>
      <c r="C348" s="2">
        <v>471.63</v>
      </c>
      <c r="D348" s="1">
        <v>43781</v>
      </c>
      <c r="E348" t="str">
        <f>"105215"</f>
        <v>105215</v>
      </c>
      <c r="F348" t="str">
        <f>"ACCT#1268/PCT#3"</f>
        <v>ACCT#1268/PCT#3</v>
      </c>
      <c r="G348" s="2">
        <v>471.63</v>
      </c>
      <c r="H348" t="str">
        <f>"ACCT#1268/PCT#3"</f>
        <v>ACCT#1268/PCT#3</v>
      </c>
    </row>
    <row r="349" spans="1:8" x14ac:dyDescent="0.25">
      <c r="A349" t="s">
        <v>102</v>
      </c>
      <c r="B349">
        <v>129707</v>
      </c>
      <c r="C349" s="2">
        <v>5545.71</v>
      </c>
      <c r="D349" s="1">
        <v>43794</v>
      </c>
      <c r="E349" t="str">
        <f>"105464"</f>
        <v>105464</v>
      </c>
      <c r="F349" t="str">
        <f>"ACCT#1268/PCT#3"</f>
        <v>ACCT#1268/PCT#3</v>
      </c>
      <c r="G349" s="2">
        <v>385.77</v>
      </c>
      <c r="H349" t="str">
        <f>"ACCT#1268/PCT#3"</f>
        <v>ACCT#1268/PCT#3</v>
      </c>
    </row>
    <row r="350" spans="1:8" x14ac:dyDescent="0.25">
      <c r="E350" t="str">
        <f>"105465"</f>
        <v>105465</v>
      </c>
      <c r="F350" t="str">
        <f>"ACCT#1269/PCT#4"</f>
        <v>ACCT#1269/PCT#4</v>
      </c>
      <c r="G350" s="2">
        <v>2920.29</v>
      </c>
      <c r="H350" t="str">
        <f>"ACCT#1269/PCT#4"</f>
        <v>ACCT#1269/PCT#4</v>
      </c>
    </row>
    <row r="351" spans="1:8" x14ac:dyDescent="0.25">
      <c r="E351" t="str">
        <f>"105617"</f>
        <v>105617</v>
      </c>
      <c r="F351" t="str">
        <f>"ACCT#1268/PCT#3"</f>
        <v>ACCT#1268/PCT#3</v>
      </c>
      <c r="G351" s="2">
        <v>1163.02</v>
      </c>
      <c r="H351" t="str">
        <f>"ACCT#1268/PCT#3"</f>
        <v>ACCT#1268/PCT#3</v>
      </c>
    </row>
    <row r="352" spans="1:8" x14ac:dyDescent="0.25">
      <c r="E352" t="str">
        <f>"105618"</f>
        <v>105618</v>
      </c>
      <c r="F352" t="str">
        <f>"ACCT#1269/PCT#4"</f>
        <v>ACCT#1269/PCT#4</v>
      </c>
      <c r="G352" s="2">
        <v>1076.6300000000001</v>
      </c>
      <c r="H352" t="str">
        <f>"ACCT#1269/PCT#4"</f>
        <v>ACCT#1269/PCT#4</v>
      </c>
    </row>
    <row r="353" spans="1:8" x14ac:dyDescent="0.25">
      <c r="A353" t="s">
        <v>103</v>
      </c>
      <c r="B353">
        <v>84689</v>
      </c>
      <c r="C353" s="2">
        <v>150</v>
      </c>
      <c r="D353" s="1">
        <v>43781</v>
      </c>
      <c r="E353" t="str">
        <f>"13033"</f>
        <v>13033</v>
      </c>
      <c r="F353" t="str">
        <f>"SERVICE"</f>
        <v>SERVICE</v>
      </c>
      <c r="G353" s="2">
        <v>150</v>
      </c>
      <c r="H353" t="str">
        <f>"SERVICE"</f>
        <v>SERVICE</v>
      </c>
    </row>
    <row r="354" spans="1:8" x14ac:dyDescent="0.25">
      <c r="A354" t="s">
        <v>104</v>
      </c>
      <c r="B354">
        <v>1743</v>
      </c>
      <c r="C354" s="2">
        <v>1250</v>
      </c>
      <c r="D354" s="1">
        <v>43782</v>
      </c>
      <c r="E354" t="str">
        <f>"201911052906"</f>
        <v>201911052906</v>
      </c>
      <c r="F354" t="str">
        <f>"57 145"</f>
        <v>57 145</v>
      </c>
      <c r="G354" s="2">
        <v>250</v>
      </c>
      <c r="H354" t="str">
        <f>"57 145"</f>
        <v>57 145</v>
      </c>
    </row>
    <row r="355" spans="1:8" x14ac:dyDescent="0.25">
      <c r="E355" t="str">
        <f>"201911052907"</f>
        <v>201911052907</v>
      </c>
      <c r="F355" t="str">
        <f>"57 170"</f>
        <v>57 170</v>
      </c>
      <c r="G355" s="2">
        <v>250</v>
      </c>
      <c r="H355" t="str">
        <f>"57 170"</f>
        <v>57 170</v>
      </c>
    </row>
    <row r="356" spans="1:8" x14ac:dyDescent="0.25">
      <c r="E356" t="str">
        <f>"201911052916"</f>
        <v>201911052916</v>
      </c>
      <c r="F356" t="str">
        <f>"925-354-6840  02-0927.4"</f>
        <v>925-354-6840  02-0927.4</v>
      </c>
      <c r="G356" s="2">
        <v>250</v>
      </c>
      <c r="H356" t="str">
        <f>"925-354-6840  02-0927.4"</f>
        <v>925-354-6840  02-0927.4</v>
      </c>
    </row>
    <row r="357" spans="1:8" x14ac:dyDescent="0.25">
      <c r="E357" t="str">
        <f>"201911052917"</f>
        <v>201911052917</v>
      </c>
      <c r="F357" t="str">
        <f>"57 156"</f>
        <v>57 156</v>
      </c>
      <c r="G357" s="2">
        <v>250</v>
      </c>
      <c r="H357" t="str">
        <f>"57 156"</f>
        <v>57 156</v>
      </c>
    </row>
    <row r="358" spans="1:8" x14ac:dyDescent="0.25">
      <c r="E358" t="str">
        <f>"201911052918"</f>
        <v>201911052918</v>
      </c>
      <c r="F358" t="str">
        <f>"56.963"</f>
        <v>56.963</v>
      </c>
      <c r="G358" s="2">
        <v>250</v>
      </c>
      <c r="H358" t="str">
        <f>"56.963"</f>
        <v>56.963</v>
      </c>
    </row>
    <row r="359" spans="1:8" x14ac:dyDescent="0.25">
      <c r="A359" t="s">
        <v>105</v>
      </c>
      <c r="B359">
        <v>84690</v>
      </c>
      <c r="C359" s="2">
        <v>55</v>
      </c>
      <c r="D359" s="1">
        <v>43781</v>
      </c>
      <c r="E359" t="str">
        <f>"201911052977"</f>
        <v>201911052977</v>
      </c>
      <c r="F359" t="str">
        <f>"REIMBURSEMENT"</f>
        <v>REIMBURSEMENT</v>
      </c>
      <c r="G359" s="2">
        <v>55</v>
      </c>
      <c r="H359" t="str">
        <f>"REIMBURSEMENT"</f>
        <v>REIMBURSEMENT</v>
      </c>
    </row>
    <row r="360" spans="1:8" x14ac:dyDescent="0.25">
      <c r="A360" t="s">
        <v>106</v>
      </c>
      <c r="B360">
        <v>84691</v>
      </c>
      <c r="C360" s="2">
        <v>900</v>
      </c>
      <c r="D360" s="1">
        <v>43781</v>
      </c>
      <c r="E360" t="str">
        <f>"201911052885"</f>
        <v>201911052885</v>
      </c>
      <c r="F360" t="str">
        <f>"REIMBURSE COUPONS"</f>
        <v>REIMBURSE COUPONS</v>
      </c>
      <c r="G360" s="2">
        <v>900</v>
      </c>
      <c r="H360" t="str">
        <f>"REIMBURSE COUPONS"</f>
        <v>REIMBURSE COUPONS</v>
      </c>
    </row>
    <row r="361" spans="1:8" x14ac:dyDescent="0.25">
      <c r="A361" t="s">
        <v>107</v>
      </c>
      <c r="B361">
        <v>84692</v>
      </c>
      <c r="C361" s="2">
        <v>45</v>
      </c>
      <c r="D361" s="1">
        <v>43781</v>
      </c>
      <c r="E361" t="str">
        <f>"19-19936"</f>
        <v>19-19936</v>
      </c>
      <c r="F361" t="str">
        <f>"CENTRAL ADOPTION REGISTRY FUND"</f>
        <v>CENTRAL ADOPTION REGISTRY FUND</v>
      </c>
      <c r="G361" s="2">
        <v>15</v>
      </c>
      <c r="H361" t="str">
        <f>"CENTRAL ADOPTION REGISTRY FUND"</f>
        <v>CENTRAL ADOPTION REGISTRY FUND</v>
      </c>
    </row>
    <row r="362" spans="1:8" x14ac:dyDescent="0.25">
      <c r="E362" t="str">
        <f>"19-19941"</f>
        <v>19-19941</v>
      </c>
      <c r="F362" t="str">
        <f>"CENTRAL ADOPTION REGISTRY FUND"</f>
        <v>CENTRAL ADOPTION REGISTRY FUND</v>
      </c>
      <c r="G362" s="2">
        <v>15</v>
      </c>
      <c r="H362" t="str">
        <f>"CENTRAL ADOPTION REGISTRY FUND"</f>
        <v>CENTRAL ADOPTION REGISTRY FUND</v>
      </c>
    </row>
    <row r="363" spans="1:8" x14ac:dyDescent="0.25">
      <c r="E363" t="str">
        <f>"19-19945"</f>
        <v>19-19945</v>
      </c>
      <c r="F363" t="str">
        <f>"CENTRAL ADOPTION REGISTRY FUND"</f>
        <v>CENTRAL ADOPTION REGISTRY FUND</v>
      </c>
      <c r="G363" s="2">
        <v>15</v>
      </c>
      <c r="H363" t="str">
        <f>"CENTRAL ADOPTION REGISTRY FUND"</f>
        <v>CENTRAL ADOPTION REGISTRY FUND</v>
      </c>
    </row>
    <row r="364" spans="1:8" x14ac:dyDescent="0.25">
      <c r="A364" t="s">
        <v>107</v>
      </c>
      <c r="B364">
        <v>129708</v>
      </c>
      <c r="C364" s="2">
        <v>30</v>
      </c>
      <c r="D364" s="1">
        <v>43794</v>
      </c>
      <c r="E364" t="str">
        <f>"19-19960"</f>
        <v>19-19960</v>
      </c>
      <c r="F364" t="str">
        <f>"CENTRAL ADOPTION REGISTRY FUND"</f>
        <v>CENTRAL ADOPTION REGISTRY FUND</v>
      </c>
      <c r="G364" s="2">
        <v>15</v>
      </c>
      <c r="H364" t="str">
        <f>"CENTRAL ADOPTION REGISTRY FUND"</f>
        <v>CENTRAL ADOPTION REGISTRY FUND</v>
      </c>
    </row>
    <row r="365" spans="1:8" x14ac:dyDescent="0.25">
      <c r="E365" t="str">
        <f>"423-6916"</f>
        <v>423-6916</v>
      </c>
      <c r="F365" t="str">
        <f>"CAR FUND"</f>
        <v>CAR FUND</v>
      </c>
      <c r="G365" s="2">
        <v>15</v>
      </c>
      <c r="H365" t="str">
        <f>"CAR FUND"</f>
        <v>CAR FUND</v>
      </c>
    </row>
    <row r="366" spans="1:8" x14ac:dyDescent="0.25">
      <c r="A366" t="s">
        <v>108</v>
      </c>
      <c r="B366">
        <v>129709</v>
      </c>
      <c r="C366" s="2">
        <v>113474.75</v>
      </c>
      <c r="D366" s="1">
        <v>43794</v>
      </c>
      <c r="E366" t="str">
        <f>"BCTX-103119"</f>
        <v>BCTX-103119</v>
      </c>
      <c r="F366" t="str">
        <f>"inv# BCTX-103119"</f>
        <v>inv# BCTX-103119</v>
      </c>
      <c r="G366" s="2">
        <v>113474.75</v>
      </c>
      <c r="H366" t="str">
        <f>"inv# BCTX"</f>
        <v>inv# BCTX</v>
      </c>
    </row>
    <row r="367" spans="1:8" x14ac:dyDescent="0.25">
      <c r="A367" t="s">
        <v>109</v>
      </c>
      <c r="B367">
        <v>84693</v>
      </c>
      <c r="C367" s="2">
        <v>160</v>
      </c>
      <c r="D367" s="1">
        <v>43781</v>
      </c>
      <c r="E367" t="str">
        <f>"13033"</f>
        <v>13033</v>
      </c>
      <c r="F367" t="str">
        <f>"SERVICE"</f>
        <v>SERVICE</v>
      </c>
      <c r="G367" s="2">
        <v>160</v>
      </c>
      <c r="H367" t="str">
        <f>"SERVICE"</f>
        <v>SERVICE</v>
      </c>
    </row>
    <row r="368" spans="1:8" x14ac:dyDescent="0.25">
      <c r="A368" t="s">
        <v>110</v>
      </c>
      <c r="B368">
        <v>84694</v>
      </c>
      <c r="C368" s="2">
        <v>35</v>
      </c>
      <c r="D368" s="1">
        <v>43781</v>
      </c>
      <c r="E368" t="str">
        <f>"201911052980"</f>
        <v>201911052980</v>
      </c>
      <c r="F368" t="str">
        <f>"TRAINING"</f>
        <v>TRAINING</v>
      </c>
      <c r="G368" s="2">
        <v>35</v>
      </c>
      <c r="H368" t="str">
        <f>"TRAINING"</f>
        <v>TRAINING</v>
      </c>
    </row>
    <row r="369" spans="1:8" x14ac:dyDescent="0.25">
      <c r="A369" t="s">
        <v>111</v>
      </c>
      <c r="B369">
        <v>129710</v>
      </c>
      <c r="C369" s="2">
        <v>23.76</v>
      </c>
      <c r="D369" s="1">
        <v>43794</v>
      </c>
      <c r="E369" t="str">
        <f>"2019PS284"</f>
        <v>2019PS284</v>
      </c>
      <c r="F369" t="str">
        <f>"DATA/ALI SYS MONITORING"</f>
        <v>DATA/ALI SYS MONITORING</v>
      </c>
      <c r="G369" s="2">
        <v>23.76</v>
      </c>
      <c r="H369" t="str">
        <f>"DATA/ALI SYS MONITORING"</f>
        <v>DATA/ALI SYS MONITORING</v>
      </c>
    </row>
    <row r="370" spans="1:8" x14ac:dyDescent="0.25">
      <c r="A370" t="s">
        <v>112</v>
      </c>
      <c r="B370">
        <v>84695</v>
      </c>
      <c r="C370" s="2">
        <v>235</v>
      </c>
      <c r="D370" s="1">
        <v>43781</v>
      </c>
      <c r="E370" t="str">
        <f>"Beck A"</f>
        <v>Beck A</v>
      </c>
      <c r="F370" t="str">
        <f>"TRANSPORT BECK  A - 10/31/2019"</f>
        <v>TRANSPORT BECK  A - 10/31/2019</v>
      </c>
      <c r="G370" s="2">
        <v>235</v>
      </c>
      <c r="H370" t="str">
        <f>"TRANSPORT BECK  A - 10/31/2019"</f>
        <v>TRANSPORT BECK  A - 10/31/2019</v>
      </c>
    </row>
    <row r="371" spans="1:8" x14ac:dyDescent="0.25">
      <c r="A371" t="s">
        <v>112</v>
      </c>
      <c r="B371">
        <v>129711</v>
      </c>
      <c r="C371" s="2">
        <v>235</v>
      </c>
      <c r="D371" s="1">
        <v>43794</v>
      </c>
      <c r="E371" t="str">
        <f>"TAYLOR E"</f>
        <v>TAYLOR E</v>
      </c>
      <c r="F371" t="str">
        <f>"TRANSPORT-E. TAYLOR"</f>
        <v>TRANSPORT-E. TAYLOR</v>
      </c>
      <c r="G371" s="2">
        <v>235</v>
      </c>
      <c r="H371" t="str">
        <f>"TRANSPORT-E. TAYLOR"</f>
        <v>TRANSPORT-E. TAYLOR</v>
      </c>
    </row>
    <row r="372" spans="1:8" x14ac:dyDescent="0.25">
      <c r="A372" t="s">
        <v>113</v>
      </c>
      <c r="B372">
        <v>1724</v>
      </c>
      <c r="C372" s="2">
        <v>401.08</v>
      </c>
      <c r="D372" s="1">
        <v>43782</v>
      </c>
      <c r="E372" t="str">
        <f>"00500019"</f>
        <v>00500019</v>
      </c>
      <c r="F372" t="str">
        <f>"ACCT#000690/ORD#00422251PCT#4"</f>
        <v>ACCT#000690/ORD#00422251PCT#4</v>
      </c>
      <c r="G372" s="2">
        <v>290.7</v>
      </c>
      <c r="H372" t="str">
        <f>"ACCT#000690/ORD#00422251PCT#4"</f>
        <v>ACCT#000690/ORD#00422251PCT#4</v>
      </c>
    </row>
    <row r="373" spans="1:8" x14ac:dyDescent="0.25">
      <c r="E373" t="str">
        <f>"1705843"</f>
        <v>1705843</v>
      </c>
      <c r="F373" t="str">
        <f>"ACCT#000690/ORD#01396554/PCT#4"</f>
        <v>ACCT#000690/ORD#01396554/PCT#4</v>
      </c>
      <c r="G373" s="2">
        <v>110.38</v>
      </c>
      <c r="H373" t="str">
        <f>"ACCT#000690/ORD#01396554/PCT#4"</f>
        <v>ACCT#000690/ORD#01396554/PCT#4</v>
      </c>
    </row>
    <row r="374" spans="1:8" x14ac:dyDescent="0.25">
      <c r="A374" t="s">
        <v>113</v>
      </c>
      <c r="B374">
        <v>1794</v>
      </c>
      <c r="C374" s="2">
        <v>370.62</v>
      </c>
      <c r="D374" s="1">
        <v>43795</v>
      </c>
      <c r="E374" t="str">
        <f>"04000102"</f>
        <v>04000102</v>
      </c>
      <c r="F374" t="str">
        <f>"ACCT#000690/PCT#4"</f>
        <v>ACCT#000690/PCT#4</v>
      </c>
      <c r="G374" s="2">
        <v>150</v>
      </c>
      <c r="H374" t="str">
        <f>"ACCT#000690/PCT#4"</f>
        <v>ACCT#000690/PCT#4</v>
      </c>
    </row>
    <row r="375" spans="1:8" x14ac:dyDescent="0.25">
      <c r="E375" t="str">
        <f>"04000126"</f>
        <v>04000126</v>
      </c>
      <c r="F375" t="str">
        <f>"ACCT#005902/SMALL YELLOW CY/P2"</f>
        <v>ACCT#005902/SMALL YELLOW CY/P2</v>
      </c>
      <c r="G375" s="2">
        <v>220.62</v>
      </c>
      <c r="H375" t="str">
        <f>"ACCT#005902/SMALL YELLOW CY/P2"</f>
        <v>ACCT#005902/SMALL YELLOW CY/P2</v>
      </c>
    </row>
    <row r="376" spans="1:8" x14ac:dyDescent="0.25">
      <c r="A376" t="s">
        <v>114</v>
      </c>
      <c r="B376">
        <v>265</v>
      </c>
      <c r="C376" s="2">
        <v>7885.88</v>
      </c>
      <c r="D376" s="1">
        <v>43781</v>
      </c>
      <c r="E376" t="str">
        <f>"201911053010"</f>
        <v>201911053010</v>
      </c>
      <c r="F376" t="str">
        <f>"acct# 0058"</f>
        <v>acct# 0058</v>
      </c>
      <c r="G376" s="2">
        <v>7885.88</v>
      </c>
      <c r="H376" t="str">
        <f>"Discount Mugs"</f>
        <v>Discount Mugs</v>
      </c>
    </row>
    <row r="377" spans="1:8" x14ac:dyDescent="0.25">
      <c r="E377" t="str">
        <f>""</f>
        <v/>
      </c>
      <c r="F377" t="str">
        <f>""</f>
        <v/>
      </c>
      <c r="H377" t="str">
        <f>"Dsicount Mugs"</f>
        <v>Dsicount Mugs</v>
      </c>
    </row>
    <row r="378" spans="1:8" x14ac:dyDescent="0.25">
      <c r="E378" t="str">
        <f>""</f>
        <v/>
      </c>
      <c r="F378" t="str">
        <f>""</f>
        <v/>
      </c>
      <c r="H378" t="str">
        <f>"FredPryor"</f>
        <v>FredPryor</v>
      </c>
    </row>
    <row r="379" spans="1:8" x14ac:dyDescent="0.25">
      <c r="E379" t="str">
        <f>""</f>
        <v/>
      </c>
      <c r="F379" t="str">
        <f>""</f>
        <v/>
      </c>
      <c r="H379" t="str">
        <f>"Paypal"</f>
        <v>Paypal</v>
      </c>
    </row>
    <row r="380" spans="1:8" x14ac:dyDescent="0.25">
      <c r="E380" t="str">
        <f>""</f>
        <v/>
      </c>
      <c r="F380" t="str">
        <f>""</f>
        <v/>
      </c>
      <c r="H380" t="str">
        <f>"NENA"</f>
        <v>NENA</v>
      </c>
    </row>
    <row r="381" spans="1:8" x14ac:dyDescent="0.25">
      <c r="E381" t="str">
        <f>""</f>
        <v/>
      </c>
      <c r="F381" t="str">
        <f>""</f>
        <v/>
      </c>
      <c r="H381" t="str">
        <f>"Todays Classroom"</f>
        <v>Todays Classroom</v>
      </c>
    </row>
    <row r="382" spans="1:8" x14ac:dyDescent="0.25">
      <c r="E382" t="str">
        <f>""</f>
        <v/>
      </c>
      <c r="F382" t="str">
        <f>""</f>
        <v/>
      </c>
      <c r="H382" t="str">
        <f>"Harbor Freight"</f>
        <v>Harbor Freight</v>
      </c>
    </row>
    <row r="383" spans="1:8" x14ac:dyDescent="0.25">
      <c r="E383" t="str">
        <f>""</f>
        <v/>
      </c>
      <c r="F383" t="str">
        <f>""</f>
        <v/>
      </c>
      <c r="H383" t="str">
        <f>"Google"</f>
        <v>Google</v>
      </c>
    </row>
    <row r="384" spans="1:8" x14ac:dyDescent="0.25">
      <c r="E384" t="str">
        <f>""</f>
        <v/>
      </c>
      <c r="F384" t="str">
        <f>""</f>
        <v/>
      </c>
      <c r="H384" t="str">
        <f>"WebEx"</f>
        <v>WebEx</v>
      </c>
    </row>
    <row r="385" spans="5:8" x14ac:dyDescent="0.25">
      <c r="E385" t="str">
        <f>""</f>
        <v/>
      </c>
      <c r="F385" t="str">
        <f>""</f>
        <v/>
      </c>
      <c r="H385" t="str">
        <f>"Blinds.com"</f>
        <v>Blinds.com</v>
      </c>
    </row>
    <row r="386" spans="5:8" x14ac:dyDescent="0.25">
      <c r="E386" t="str">
        <f>""</f>
        <v/>
      </c>
      <c r="F386" t="str">
        <f>""</f>
        <v/>
      </c>
      <c r="H386" t="str">
        <f>"Hobby Lobby"</f>
        <v>Hobby Lobby</v>
      </c>
    </row>
    <row r="387" spans="5:8" x14ac:dyDescent="0.25">
      <c r="E387" t="str">
        <f>""</f>
        <v/>
      </c>
      <c r="F387" t="str">
        <f>""</f>
        <v/>
      </c>
      <c r="H387" t="str">
        <f>"Heat Transfer"</f>
        <v>Heat Transfer</v>
      </c>
    </row>
    <row r="388" spans="5:8" x14ac:dyDescent="0.25">
      <c r="E388" t="str">
        <f>""</f>
        <v/>
      </c>
      <c r="F388" t="str">
        <f>""</f>
        <v/>
      </c>
      <c r="H388" t="str">
        <f>"Wrecker"</f>
        <v>Wrecker</v>
      </c>
    </row>
    <row r="389" spans="5:8" x14ac:dyDescent="0.25">
      <c r="E389" t="str">
        <f>""</f>
        <v/>
      </c>
      <c r="F389" t="str">
        <f>""</f>
        <v/>
      </c>
      <c r="H389" t="str">
        <f>"Wyndham"</f>
        <v>Wyndham</v>
      </c>
    </row>
    <row r="390" spans="5:8" x14ac:dyDescent="0.25">
      <c r="E390" t="str">
        <f>""</f>
        <v/>
      </c>
      <c r="F390" t="str">
        <f>""</f>
        <v/>
      </c>
      <c r="H390" t="str">
        <f>"State of Texas"</f>
        <v>State of Texas</v>
      </c>
    </row>
    <row r="391" spans="5:8" x14ac:dyDescent="0.25">
      <c r="E391" t="str">
        <f>""</f>
        <v/>
      </c>
      <c r="F391" t="str">
        <f>""</f>
        <v/>
      </c>
      <c r="H391" t="str">
        <f>"Teex"</f>
        <v>Teex</v>
      </c>
    </row>
    <row r="392" spans="5:8" x14ac:dyDescent="0.25">
      <c r="E392" t="str">
        <f>""</f>
        <v/>
      </c>
      <c r="F392" t="str">
        <f>""</f>
        <v/>
      </c>
      <c r="H392" t="str">
        <f>"erika dejesus"</f>
        <v>erika dejesus</v>
      </c>
    </row>
    <row r="393" spans="5:8" x14ac:dyDescent="0.25">
      <c r="E393" t="str">
        <f>""</f>
        <v/>
      </c>
      <c r="F393" t="str">
        <f>""</f>
        <v/>
      </c>
      <c r="H393" t="str">
        <f>"Transport"</f>
        <v>Transport</v>
      </c>
    </row>
    <row r="394" spans="5:8" x14ac:dyDescent="0.25">
      <c r="E394" t="str">
        <f>""</f>
        <v/>
      </c>
      <c r="F394" t="str">
        <f>""</f>
        <v/>
      </c>
      <c r="H394" t="str">
        <f>"Robert Bennet"</f>
        <v>Robert Bennet</v>
      </c>
    </row>
    <row r="395" spans="5:8" x14ac:dyDescent="0.25">
      <c r="E395" t="str">
        <f>""</f>
        <v/>
      </c>
      <c r="F395" t="str">
        <f>""</f>
        <v/>
      </c>
      <c r="H395" t="str">
        <f>"annette Murley"</f>
        <v>annette Murley</v>
      </c>
    </row>
    <row r="396" spans="5:8" x14ac:dyDescent="0.25">
      <c r="E396" t="str">
        <f>""</f>
        <v/>
      </c>
      <c r="F396" t="str">
        <f>""</f>
        <v/>
      </c>
      <c r="H396" t="str">
        <f>"Going Postal"</f>
        <v>Going Postal</v>
      </c>
    </row>
    <row r="397" spans="5:8" x14ac:dyDescent="0.25">
      <c r="E397" t="str">
        <f>""</f>
        <v/>
      </c>
      <c r="F397" t="str">
        <f>""</f>
        <v/>
      </c>
      <c r="H397" t="str">
        <f>"TxTag"</f>
        <v>TxTag</v>
      </c>
    </row>
    <row r="398" spans="5:8" x14ac:dyDescent="0.25">
      <c r="E398" t="str">
        <f>""</f>
        <v/>
      </c>
      <c r="F398" t="str">
        <f>""</f>
        <v/>
      </c>
      <c r="H398" t="str">
        <f>"RMA"</f>
        <v>RMA</v>
      </c>
    </row>
    <row r="399" spans="5:8" x14ac:dyDescent="0.25">
      <c r="E399" t="str">
        <f>""</f>
        <v/>
      </c>
      <c r="F399" t="str">
        <f>""</f>
        <v/>
      </c>
      <c r="H399" t="str">
        <f>"RMA"</f>
        <v>RMA</v>
      </c>
    </row>
    <row r="400" spans="5:8" x14ac:dyDescent="0.25">
      <c r="E400" t="str">
        <f>""</f>
        <v/>
      </c>
      <c r="F400" t="str">
        <f>""</f>
        <v/>
      </c>
      <c r="H400" t="str">
        <f>"TxTag"</f>
        <v>TxTag</v>
      </c>
    </row>
    <row r="401" spans="1:8" x14ac:dyDescent="0.25">
      <c r="E401" t="str">
        <f>""</f>
        <v/>
      </c>
      <c r="F401" t="str">
        <f>""</f>
        <v/>
      </c>
      <c r="H401" t="str">
        <f>"Menger credit"</f>
        <v>Menger credit</v>
      </c>
    </row>
    <row r="402" spans="1:8" x14ac:dyDescent="0.25">
      <c r="E402" t="str">
        <f>""</f>
        <v/>
      </c>
      <c r="F402" t="str">
        <f>""</f>
        <v/>
      </c>
      <c r="H402" t="str">
        <f>"Menger Credit"</f>
        <v>Menger Credit</v>
      </c>
    </row>
    <row r="403" spans="1:8" x14ac:dyDescent="0.25">
      <c r="E403" t="str">
        <f>""</f>
        <v/>
      </c>
      <c r="F403" t="str">
        <f>""</f>
        <v/>
      </c>
      <c r="H403" t="str">
        <f>"Menger"</f>
        <v>Menger</v>
      </c>
    </row>
    <row r="404" spans="1:8" x14ac:dyDescent="0.25">
      <c r="E404" t="str">
        <f>""</f>
        <v/>
      </c>
      <c r="F404" t="str">
        <f>""</f>
        <v/>
      </c>
      <c r="H404" t="str">
        <f>"Menger"</f>
        <v>Menger</v>
      </c>
    </row>
    <row r="405" spans="1:8" x14ac:dyDescent="0.25">
      <c r="E405" t="str">
        <f>""</f>
        <v/>
      </c>
      <c r="F405" t="str">
        <f>""</f>
        <v/>
      </c>
      <c r="H405" t="str">
        <f>"Menger"</f>
        <v>Menger</v>
      </c>
    </row>
    <row r="406" spans="1:8" x14ac:dyDescent="0.25">
      <c r="E406" t="str">
        <f>""</f>
        <v/>
      </c>
      <c r="F406" t="str">
        <f>""</f>
        <v/>
      </c>
      <c r="H406" t="str">
        <f>"Menger"</f>
        <v>Menger</v>
      </c>
    </row>
    <row r="407" spans="1:8" x14ac:dyDescent="0.25">
      <c r="E407" t="str">
        <f>""</f>
        <v/>
      </c>
      <c r="F407" t="str">
        <f>""</f>
        <v/>
      </c>
      <c r="H407" t="str">
        <f>"Courtyard"</f>
        <v>Courtyard</v>
      </c>
    </row>
    <row r="408" spans="1:8" x14ac:dyDescent="0.25">
      <c r="E408" t="str">
        <f>""</f>
        <v/>
      </c>
      <c r="F408" t="str">
        <f>""</f>
        <v/>
      </c>
      <c r="H408" t="str">
        <f>"Courtyard"</f>
        <v>Courtyard</v>
      </c>
    </row>
    <row r="409" spans="1:8" x14ac:dyDescent="0.25">
      <c r="A409" t="s">
        <v>114</v>
      </c>
      <c r="B409">
        <v>267</v>
      </c>
      <c r="C409" s="2">
        <v>1520.47</v>
      </c>
      <c r="D409" s="1">
        <v>43781</v>
      </c>
      <c r="E409" t="str">
        <f>"201911063024"</f>
        <v>201911063024</v>
      </c>
      <c r="F409" t="str">
        <f>"STATEMENT CARD 0574"</f>
        <v>STATEMENT CARD 0574</v>
      </c>
      <c r="G409" s="2">
        <v>1520.47</v>
      </c>
      <c r="H409" t="str">
        <f>"COMFORT SUITES"</f>
        <v>COMFORT SUITES</v>
      </c>
    </row>
    <row r="410" spans="1:8" x14ac:dyDescent="0.25">
      <c r="E410" t="str">
        <f>""</f>
        <v/>
      </c>
      <c r="F410" t="str">
        <f>""</f>
        <v/>
      </c>
      <c r="H410" t="str">
        <f>"COURTYARD WACO"</f>
        <v>COURTYARD WACO</v>
      </c>
    </row>
    <row r="411" spans="1:8" x14ac:dyDescent="0.25">
      <c r="E411" t="str">
        <f>""</f>
        <v/>
      </c>
      <c r="F411" t="str">
        <f>""</f>
        <v/>
      </c>
      <c r="H411" t="str">
        <f>"RESIDENCE INN - CC"</f>
        <v>RESIDENCE INN - CC</v>
      </c>
    </row>
    <row r="412" spans="1:8" x14ac:dyDescent="0.25">
      <c r="E412" t="str">
        <f>""</f>
        <v/>
      </c>
      <c r="F412" t="str">
        <f>""</f>
        <v/>
      </c>
      <c r="H412" t="str">
        <f>"O'REILLY AUTO PART"</f>
        <v>O'REILLY AUTO PART</v>
      </c>
    </row>
    <row r="413" spans="1:8" x14ac:dyDescent="0.25">
      <c r="E413" t="str">
        <f>""</f>
        <v/>
      </c>
      <c r="F413" t="str">
        <f>""</f>
        <v/>
      </c>
      <c r="H413" t="str">
        <f>"INTEREST"</f>
        <v>INTEREST</v>
      </c>
    </row>
    <row r="414" spans="1:8" x14ac:dyDescent="0.25">
      <c r="E414" t="str">
        <f>""</f>
        <v/>
      </c>
      <c r="F414" t="str">
        <f>""</f>
        <v/>
      </c>
      <c r="H414" t="str">
        <f>"TEEX"</f>
        <v>TEEX</v>
      </c>
    </row>
    <row r="415" spans="1:8" x14ac:dyDescent="0.25">
      <c r="E415" t="str">
        <f>""</f>
        <v/>
      </c>
      <c r="F415" t="str">
        <f>""</f>
        <v/>
      </c>
      <c r="H415" t="str">
        <f>"US POSTAL SERVICE"</f>
        <v>US POSTAL SERVICE</v>
      </c>
    </row>
    <row r="416" spans="1:8" x14ac:dyDescent="0.25">
      <c r="A416" t="s">
        <v>115</v>
      </c>
      <c r="B416">
        <v>129712</v>
      </c>
      <c r="C416" s="2">
        <v>854.55</v>
      </c>
      <c r="D416" s="1">
        <v>43794</v>
      </c>
      <c r="E416" t="str">
        <f>"201911153297"</f>
        <v>201911153297</v>
      </c>
      <c r="F416" t="str">
        <f>"REIMBURSE HOTEL/PER DIEM/MILEA"</f>
        <v>REIMBURSE HOTEL/PER DIEM/MILEA</v>
      </c>
      <c r="G416" s="2">
        <v>854.55</v>
      </c>
      <c r="H416" t="str">
        <f>"REIMBURSE HOTEL/PER DIEM/MILEA"</f>
        <v>REIMBURSE HOTEL/PER DIEM/MILEA</v>
      </c>
    </row>
    <row r="417" spans="1:8" x14ac:dyDescent="0.25">
      <c r="A417" t="s">
        <v>116</v>
      </c>
      <c r="B417">
        <v>1819</v>
      </c>
      <c r="C417" s="2">
        <v>27.15</v>
      </c>
      <c r="D417" s="1">
        <v>43795</v>
      </c>
      <c r="E417" t="str">
        <f>"VSS3591"</f>
        <v>VSS3591</v>
      </c>
      <c r="F417" t="str">
        <f>"USB Extension Cable"</f>
        <v>USB Extension Cable</v>
      </c>
      <c r="G417" s="2">
        <v>27.15</v>
      </c>
      <c r="H417" t="str">
        <f>"4885853"</f>
        <v>4885853</v>
      </c>
    </row>
    <row r="418" spans="1:8" x14ac:dyDescent="0.25">
      <c r="A418" t="s">
        <v>117</v>
      </c>
      <c r="B418">
        <v>84642</v>
      </c>
      <c r="C418" s="2">
        <v>1374.36</v>
      </c>
      <c r="D418" s="1">
        <v>43770</v>
      </c>
      <c r="E418" t="str">
        <f>"201911012830"</f>
        <v>201911012830</v>
      </c>
      <c r="F418" t="str">
        <f>"ACCT#8000081165-5 / 102102019"</f>
        <v>ACCT#8000081165-5 / 102102019</v>
      </c>
      <c r="G418" s="2">
        <v>1374.36</v>
      </c>
      <c r="H418" t="str">
        <f>"ACCT#8000081165-5 / 102102019"</f>
        <v>ACCT#8000081165-5 / 102102019</v>
      </c>
    </row>
    <row r="419" spans="1:8" x14ac:dyDescent="0.25">
      <c r="E419" t="str">
        <f>""</f>
        <v/>
      </c>
      <c r="F419" t="str">
        <f>""</f>
        <v/>
      </c>
      <c r="H419" t="str">
        <f>"ACCT#8000081165-5 / 102102019"</f>
        <v>ACCT#8000081165-5 / 102102019</v>
      </c>
    </row>
    <row r="420" spans="1:8" x14ac:dyDescent="0.25">
      <c r="A420" t="s">
        <v>117</v>
      </c>
      <c r="B420">
        <v>129839</v>
      </c>
      <c r="C420" s="2">
        <v>1468.4</v>
      </c>
      <c r="D420" s="1">
        <v>43795</v>
      </c>
      <c r="E420" t="str">
        <f>"201911263525"</f>
        <v>201911263525</v>
      </c>
      <c r="F420" t="str">
        <f>"ACCT#8000081165-5 / 11192019"</f>
        <v>ACCT#8000081165-5 / 11192019</v>
      </c>
      <c r="G420" s="2">
        <v>1468.4</v>
      </c>
      <c r="H420" t="str">
        <f>"ACCT#8000081165-5 / 11192019"</f>
        <v>ACCT#8000081165-5 / 11192019</v>
      </c>
    </row>
    <row r="421" spans="1:8" x14ac:dyDescent="0.25">
      <c r="E421" t="str">
        <f>""</f>
        <v/>
      </c>
      <c r="F421" t="str">
        <f>""</f>
        <v/>
      </c>
      <c r="H421" t="str">
        <f>"ACCT#8000081165-5 / 11192019"</f>
        <v>ACCT#8000081165-5 / 11192019</v>
      </c>
    </row>
    <row r="422" spans="1:8" x14ac:dyDescent="0.25">
      <c r="A422" t="s">
        <v>118</v>
      </c>
      <c r="B422">
        <v>129713</v>
      </c>
      <c r="C422" s="2">
        <v>1050</v>
      </c>
      <c r="D422" s="1">
        <v>43794</v>
      </c>
      <c r="E422" t="str">
        <f>"BC2#021"</f>
        <v>BC2#021</v>
      </c>
      <c r="F422" t="str">
        <f>"RENTAL DATES 09/29-10/20"</f>
        <v>RENTAL DATES 09/29-10/20</v>
      </c>
      <c r="G422" s="2">
        <v>150</v>
      </c>
      <c r="H422" t="str">
        <f>"RENTAL DATES 09/29-10/20"</f>
        <v>RENTAL DATES 09/29-10/20</v>
      </c>
    </row>
    <row r="423" spans="1:8" x14ac:dyDescent="0.25">
      <c r="E423" t="str">
        <f>"BC2#022"</f>
        <v>BC2#022</v>
      </c>
      <c r="F423" t="str">
        <f>"WATER BARRIERS / PCT 2"</f>
        <v>WATER BARRIERS / PCT 2</v>
      </c>
      <c r="G423" s="2">
        <v>900</v>
      </c>
      <c r="H423" t="str">
        <f>"WATER BARRIERS / PCT 2"</f>
        <v>WATER BARRIERS / PCT 2</v>
      </c>
    </row>
    <row r="424" spans="1:8" x14ac:dyDescent="0.25">
      <c r="A424" t="s">
        <v>119</v>
      </c>
      <c r="B424">
        <v>84696</v>
      </c>
      <c r="C424" s="2">
        <v>1500</v>
      </c>
      <c r="D424" s="1">
        <v>43781</v>
      </c>
      <c r="E424" t="str">
        <f>"201911052943"</f>
        <v>201911052943</v>
      </c>
      <c r="F424" t="str">
        <f>"02-0811-3"</f>
        <v>02-0811-3</v>
      </c>
      <c r="G424" s="2">
        <v>250</v>
      </c>
      <c r="H424" t="str">
        <f>"02-0811-3"</f>
        <v>02-0811-3</v>
      </c>
    </row>
    <row r="425" spans="1:8" x14ac:dyDescent="0.25">
      <c r="E425" t="str">
        <f>"201911052944"</f>
        <v>201911052944</v>
      </c>
      <c r="F425" t="str">
        <f>"56 605"</f>
        <v>56 605</v>
      </c>
      <c r="G425" s="2">
        <v>250</v>
      </c>
      <c r="H425" t="str">
        <f>"56 605"</f>
        <v>56 605</v>
      </c>
    </row>
    <row r="426" spans="1:8" x14ac:dyDescent="0.25">
      <c r="E426" t="str">
        <f>"201911052945"</f>
        <v>201911052945</v>
      </c>
      <c r="F426" t="str">
        <f>"56 991"</f>
        <v>56 991</v>
      </c>
      <c r="G426" s="2">
        <v>250</v>
      </c>
      <c r="H426" t="str">
        <f>"56 991"</f>
        <v>56 991</v>
      </c>
    </row>
    <row r="427" spans="1:8" x14ac:dyDescent="0.25">
      <c r="E427" t="str">
        <f>"201911052946"</f>
        <v>201911052946</v>
      </c>
      <c r="F427" t="str">
        <f>"17-18229"</f>
        <v>17-18229</v>
      </c>
      <c r="G427" s="2">
        <v>100</v>
      </c>
      <c r="H427" t="str">
        <f>"17-18229"</f>
        <v>17-18229</v>
      </c>
    </row>
    <row r="428" spans="1:8" x14ac:dyDescent="0.25">
      <c r="E428" t="str">
        <f>"201911052947"</f>
        <v>201911052947</v>
      </c>
      <c r="F428" t="str">
        <f>"J-3191"</f>
        <v>J-3191</v>
      </c>
      <c r="G428" s="2">
        <v>250</v>
      </c>
      <c r="H428" t="str">
        <f>"J-3191"</f>
        <v>J-3191</v>
      </c>
    </row>
    <row r="429" spans="1:8" x14ac:dyDescent="0.25">
      <c r="E429" t="str">
        <f>"201911052948"</f>
        <v>201911052948</v>
      </c>
      <c r="F429" t="str">
        <f>"19-19857"</f>
        <v>19-19857</v>
      </c>
      <c r="G429" s="2">
        <v>100</v>
      </c>
      <c r="H429" t="str">
        <f>"19-19857"</f>
        <v>19-19857</v>
      </c>
    </row>
    <row r="430" spans="1:8" x14ac:dyDescent="0.25">
      <c r="E430" t="str">
        <f>"201911052949"</f>
        <v>201911052949</v>
      </c>
      <c r="F430" t="str">
        <f>"19-19849"</f>
        <v>19-19849</v>
      </c>
      <c r="G430" s="2">
        <v>100</v>
      </c>
      <c r="H430" t="str">
        <f>"19-19849"</f>
        <v>19-19849</v>
      </c>
    </row>
    <row r="431" spans="1:8" x14ac:dyDescent="0.25">
      <c r="E431" t="str">
        <f>"201911052950"</f>
        <v>201911052950</v>
      </c>
      <c r="F431" t="str">
        <f>"19-19632"</f>
        <v>19-19632</v>
      </c>
      <c r="G431" s="2">
        <v>100</v>
      </c>
      <c r="H431" t="str">
        <f>"19-19632"</f>
        <v>19-19632</v>
      </c>
    </row>
    <row r="432" spans="1:8" x14ac:dyDescent="0.25">
      <c r="E432" t="str">
        <f>"201911052951"</f>
        <v>201911052951</v>
      </c>
      <c r="F432" t="str">
        <f>"19-19864"</f>
        <v>19-19864</v>
      </c>
      <c r="G432" s="2">
        <v>100</v>
      </c>
      <c r="H432" t="str">
        <f>"19-19864"</f>
        <v>19-19864</v>
      </c>
    </row>
    <row r="433" spans="1:8" x14ac:dyDescent="0.25">
      <c r="A433" t="s">
        <v>119</v>
      </c>
      <c r="B433">
        <v>129714</v>
      </c>
      <c r="C433" s="2">
        <v>500</v>
      </c>
      <c r="D433" s="1">
        <v>43794</v>
      </c>
      <c r="E433" t="str">
        <f>"201911193418"</f>
        <v>201911193418</v>
      </c>
      <c r="F433" t="str">
        <f>"306172019C"</f>
        <v>306172019C</v>
      </c>
      <c r="G433" s="2">
        <v>250</v>
      </c>
      <c r="H433" t="str">
        <f>"306172019C"</f>
        <v>306172019C</v>
      </c>
    </row>
    <row r="434" spans="1:8" x14ac:dyDescent="0.25">
      <c r="E434" t="str">
        <f>"201911193419"</f>
        <v>201911193419</v>
      </c>
      <c r="F434" t="str">
        <f>"4040395"</f>
        <v>4040395</v>
      </c>
      <c r="G434" s="2">
        <v>250</v>
      </c>
      <c r="H434" t="str">
        <f>"4040395"</f>
        <v>4040395</v>
      </c>
    </row>
    <row r="435" spans="1:8" x14ac:dyDescent="0.25">
      <c r="A435" t="s">
        <v>120</v>
      </c>
      <c r="B435">
        <v>1810</v>
      </c>
      <c r="C435" s="2">
        <v>149.5</v>
      </c>
      <c r="D435" s="1">
        <v>43795</v>
      </c>
      <c r="E435" t="str">
        <f>"0204749-IN"</f>
        <v>0204749-IN</v>
      </c>
      <c r="F435" t="str">
        <f>"INV 0204749-IN"</f>
        <v>INV 0204749-IN</v>
      </c>
      <c r="G435" s="2">
        <v>149.5</v>
      </c>
      <c r="H435" t="str">
        <f>"INV 0204749-IN"</f>
        <v>INV 0204749-IN</v>
      </c>
    </row>
    <row r="436" spans="1:8" x14ac:dyDescent="0.25">
      <c r="A436" t="s">
        <v>121</v>
      </c>
      <c r="B436">
        <v>1742</v>
      </c>
      <c r="C436" s="2">
        <v>2800</v>
      </c>
      <c r="D436" s="1">
        <v>43782</v>
      </c>
      <c r="E436" t="str">
        <f>"201910292786"</f>
        <v>201910292786</v>
      </c>
      <c r="F436" t="str">
        <f>"16 288"</f>
        <v>16 288</v>
      </c>
      <c r="G436" s="2">
        <v>400</v>
      </c>
      <c r="H436" t="str">
        <f>"16 288"</f>
        <v>16 288</v>
      </c>
    </row>
    <row r="437" spans="1:8" x14ac:dyDescent="0.25">
      <c r="E437" t="str">
        <f>"201910292787"</f>
        <v>201910292787</v>
      </c>
      <c r="F437" t="str">
        <f>"02-328-2"</f>
        <v>02-328-2</v>
      </c>
      <c r="G437" s="2">
        <v>400</v>
      </c>
      <c r="H437" t="str">
        <f>"02-328-2"</f>
        <v>02-328-2</v>
      </c>
    </row>
    <row r="438" spans="1:8" x14ac:dyDescent="0.25">
      <c r="E438" t="str">
        <f>"201910292788"</f>
        <v>201910292788</v>
      </c>
      <c r="F438" t="str">
        <f>"AC-2019-0614"</f>
        <v>AC-2019-0614</v>
      </c>
      <c r="G438" s="2">
        <v>400</v>
      </c>
      <c r="H438" t="str">
        <f>"AC-2019-0614"</f>
        <v>AC-2019-0614</v>
      </c>
    </row>
    <row r="439" spans="1:8" x14ac:dyDescent="0.25">
      <c r="E439" t="str">
        <f>"201911052930"</f>
        <v>201911052930</v>
      </c>
      <c r="F439" t="str">
        <f>"57 033"</f>
        <v>57 033</v>
      </c>
      <c r="G439" s="2">
        <v>250</v>
      </c>
      <c r="H439" t="str">
        <f>"57 033"</f>
        <v>57 033</v>
      </c>
    </row>
    <row r="440" spans="1:8" x14ac:dyDescent="0.25">
      <c r="E440" t="str">
        <f>"201911052931"</f>
        <v>201911052931</v>
      </c>
      <c r="F440" t="str">
        <f>"56 924  18-S-01616"</f>
        <v>56 924  18-S-01616</v>
      </c>
      <c r="G440" s="2">
        <v>375</v>
      </c>
      <c r="H440" t="str">
        <f>"56 924  18-S-01616"</f>
        <v>56 924  18-S-01616</v>
      </c>
    </row>
    <row r="441" spans="1:8" x14ac:dyDescent="0.25">
      <c r="E441" t="str">
        <f>"201911052932"</f>
        <v>201911052932</v>
      </c>
      <c r="F441" t="str">
        <f>"CC2019202A  CC2019202B"</f>
        <v>CC2019202A  CC2019202B</v>
      </c>
      <c r="G441" s="2">
        <v>375</v>
      </c>
      <c r="H441" t="str">
        <f>"CC2019202A  CC2019202B"</f>
        <v>CC2019202A  CC2019202B</v>
      </c>
    </row>
    <row r="442" spans="1:8" x14ac:dyDescent="0.25">
      <c r="E442" t="str">
        <f>"201911052933"</f>
        <v>201911052933</v>
      </c>
      <c r="F442" t="str">
        <f>"56 989  57 122  AC20190614A"</f>
        <v>56 989  57 122  AC20190614A</v>
      </c>
      <c r="G442" s="2">
        <v>500</v>
      </c>
      <c r="H442" t="str">
        <f>"56 989  57 122  AC20190614A"</f>
        <v>56 989  57 122  AC20190614A</v>
      </c>
    </row>
    <row r="443" spans="1:8" x14ac:dyDescent="0.25">
      <c r="E443" t="str">
        <f>"201911052934"</f>
        <v>201911052934</v>
      </c>
      <c r="F443" t="str">
        <f>"19-19418"</f>
        <v>19-19418</v>
      </c>
      <c r="G443" s="2">
        <v>100</v>
      </c>
      <c r="H443" t="str">
        <f>"19-19418"</f>
        <v>19-19418</v>
      </c>
    </row>
    <row r="444" spans="1:8" x14ac:dyDescent="0.25">
      <c r="A444" t="s">
        <v>121</v>
      </c>
      <c r="B444">
        <v>1825</v>
      </c>
      <c r="C444" s="2">
        <v>2475</v>
      </c>
      <c r="D444" s="1">
        <v>43795</v>
      </c>
      <c r="E444" t="str">
        <f>"201911133218"</f>
        <v>201911133218</v>
      </c>
      <c r="F444" t="str">
        <f>"423-6904"</f>
        <v>423-6904</v>
      </c>
      <c r="G444" s="2">
        <v>100</v>
      </c>
      <c r="H444" t="str">
        <f>"423-6904"</f>
        <v>423-6904</v>
      </c>
    </row>
    <row r="445" spans="1:8" x14ac:dyDescent="0.25">
      <c r="E445" t="str">
        <f>"201911133220"</f>
        <v>201911133220</v>
      </c>
      <c r="F445" t="str">
        <f>"1JP42218C 1JP42218D 1JP42218F"</f>
        <v>1JP42218C 1JP42218D 1JP42218F</v>
      </c>
      <c r="G445" s="2">
        <v>800</v>
      </c>
      <c r="H445" t="str">
        <f>"1JP42218C 1JP42218D 1JP42218F"</f>
        <v>1JP42218C 1JP42218D 1JP42218F</v>
      </c>
    </row>
    <row r="446" spans="1:8" x14ac:dyDescent="0.25">
      <c r="E446" t="str">
        <f>"201911133221"</f>
        <v>201911133221</v>
      </c>
      <c r="F446" t="str">
        <f>"1334-335"</f>
        <v>1334-335</v>
      </c>
      <c r="G446" s="2">
        <v>100</v>
      </c>
      <c r="H446" t="str">
        <f>"1334-335"</f>
        <v>1334-335</v>
      </c>
    </row>
    <row r="447" spans="1:8" x14ac:dyDescent="0.25">
      <c r="E447" t="str">
        <f>"201911133249"</f>
        <v>201911133249</v>
      </c>
      <c r="F447" t="str">
        <f>"1339-335"</f>
        <v>1339-335</v>
      </c>
      <c r="G447" s="2">
        <v>100</v>
      </c>
      <c r="H447" t="str">
        <f>"1339-335"</f>
        <v>1339-335</v>
      </c>
    </row>
    <row r="448" spans="1:8" x14ac:dyDescent="0.25">
      <c r="E448" t="str">
        <f>"201911133250"</f>
        <v>201911133250</v>
      </c>
      <c r="F448" t="str">
        <f>"17 008  CC2019082586"</f>
        <v>17 008  CC2019082586</v>
      </c>
      <c r="G448" s="2">
        <v>600</v>
      </c>
      <c r="H448" t="str">
        <f>"17 008  CC2019082586"</f>
        <v>17 008  CC2019082586</v>
      </c>
    </row>
    <row r="449" spans="1:8" x14ac:dyDescent="0.25">
      <c r="E449" t="str">
        <f>"201911193435"</f>
        <v>201911193435</v>
      </c>
      <c r="F449" t="str">
        <f>"18-19365"</f>
        <v>18-19365</v>
      </c>
      <c r="G449" s="2">
        <v>325</v>
      </c>
      <c r="H449" t="str">
        <f>"18-19365"</f>
        <v>18-19365</v>
      </c>
    </row>
    <row r="450" spans="1:8" x14ac:dyDescent="0.25">
      <c r="E450" t="str">
        <f>"201911193436"</f>
        <v>201911193436</v>
      </c>
      <c r="F450" t="str">
        <f>"19-19930"</f>
        <v>19-19930</v>
      </c>
      <c r="G450" s="2">
        <v>100</v>
      </c>
      <c r="H450" t="str">
        <f>"19-19930"</f>
        <v>19-19930</v>
      </c>
    </row>
    <row r="451" spans="1:8" x14ac:dyDescent="0.25">
      <c r="E451" t="str">
        <f>"201911193437"</f>
        <v>201911193437</v>
      </c>
      <c r="F451" t="str">
        <f>"19-19948"</f>
        <v>19-19948</v>
      </c>
      <c r="G451" s="2">
        <v>100</v>
      </c>
      <c r="H451" t="str">
        <f>"19-19948"</f>
        <v>19-19948</v>
      </c>
    </row>
    <row r="452" spans="1:8" x14ac:dyDescent="0.25">
      <c r="E452" t="str">
        <f>"201911193438"</f>
        <v>201911193438</v>
      </c>
      <c r="F452" t="str">
        <f>"406289 6"</f>
        <v>406289 6</v>
      </c>
      <c r="G452" s="2">
        <v>250</v>
      </c>
      <c r="H452" t="str">
        <f>"406289 6"</f>
        <v>406289 6</v>
      </c>
    </row>
    <row r="453" spans="1:8" x14ac:dyDescent="0.25">
      <c r="A453" t="s">
        <v>122</v>
      </c>
      <c r="B453">
        <v>84697</v>
      </c>
      <c r="C453" s="2">
        <v>150</v>
      </c>
      <c r="D453" s="1">
        <v>43781</v>
      </c>
      <c r="E453" t="str">
        <f>"9067685655"</f>
        <v>9067685655</v>
      </c>
      <c r="F453" t="str">
        <f>"INV 9067685655"</f>
        <v>INV 9067685655</v>
      </c>
      <c r="G453" s="2">
        <v>100</v>
      </c>
      <c r="H453" t="str">
        <f>"INV 9067685655"</f>
        <v>INV 9067685655</v>
      </c>
    </row>
    <row r="454" spans="1:8" x14ac:dyDescent="0.25">
      <c r="E454" t="str">
        <f>"9067685656"</f>
        <v>9067685656</v>
      </c>
      <c r="F454" t="str">
        <f>"INV 9067685656"</f>
        <v>INV 9067685656</v>
      </c>
      <c r="G454" s="2">
        <v>50</v>
      </c>
      <c r="H454" t="str">
        <f>"INV 9067685656"</f>
        <v>INV 9067685656</v>
      </c>
    </row>
    <row r="455" spans="1:8" x14ac:dyDescent="0.25">
      <c r="A455" t="s">
        <v>123</v>
      </c>
      <c r="B455">
        <v>84698</v>
      </c>
      <c r="C455" s="2">
        <v>429.41</v>
      </c>
      <c r="D455" s="1">
        <v>43781</v>
      </c>
      <c r="E455" t="str">
        <f>"201911052991"</f>
        <v>201911052991</v>
      </c>
      <c r="F455" t="str">
        <f>"PAYER#14108463/ANIMAL SHELTER"</f>
        <v>PAYER#14108463/ANIMAL SHELTER</v>
      </c>
      <c r="G455" s="2">
        <v>429.41</v>
      </c>
      <c r="H455" t="str">
        <f>"PAYER#14108463/ANIMAL SHELTER"</f>
        <v>PAYER#14108463/ANIMAL SHELTER</v>
      </c>
    </row>
    <row r="456" spans="1:8" x14ac:dyDescent="0.25">
      <c r="A456" t="s">
        <v>124</v>
      </c>
      <c r="B456">
        <v>129715</v>
      </c>
      <c r="C456" s="2">
        <v>251.32</v>
      </c>
      <c r="D456" s="1">
        <v>43794</v>
      </c>
      <c r="E456" t="str">
        <f>"8404367335"</f>
        <v>8404367335</v>
      </c>
      <c r="F456" t="str">
        <f>"CUST#10377368/PCT#3"</f>
        <v>CUST#10377368/PCT#3</v>
      </c>
      <c r="G456" s="2">
        <v>251.32</v>
      </c>
      <c r="H456" t="str">
        <f>"CUST#10377368/PCT#3"</f>
        <v>CUST#10377368/PCT#3</v>
      </c>
    </row>
    <row r="457" spans="1:8" x14ac:dyDescent="0.25">
      <c r="A457" t="s">
        <v>123</v>
      </c>
      <c r="B457">
        <v>129716</v>
      </c>
      <c r="C457" s="2">
        <v>4584.3999999999996</v>
      </c>
      <c r="D457" s="1">
        <v>43794</v>
      </c>
      <c r="E457" t="str">
        <f>"201911143269"</f>
        <v>201911143269</v>
      </c>
      <c r="F457" t="str">
        <f>"PAYER#14108431"</f>
        <v>PAYER#14108431</v>
      </c>
      <c r="G457" s="2">
        <v>55.9</v>
      </c>
      <c r="H457" t="str">
        <f>"PAYER#14108431"</f>
        <v>PAYER#14108431</v>
      </c>
    </row>
    <row r="458" spans="1:8" x14ac:dyDescent="0.25">
      <c r="E458" t="str">
        <f>"201911143270"</f>
        <v>201911143270</v>
      </c>
      <c r="F458" t="str">
        <f>"PAYER#14108375"</f>
        <v>PAYER#14108375</v>
      </c>
      <c r="G458" s="2">
        <v>1316.7</v>
      </c>
      <c r="H458" t="str">
        <f>"PAYER#14108375"</f>
        <v>PAYER#14108375</v>
      </c>
    </row>
    <row r="459" spans="1:8" x14ac:dyDescent="0.25">
      <c r="E459" t="str">
        <f>"201911143277"</f>
        <v>201911143277</v>
      </c>
      <c r="F459" t="str">
        <f>"PAYER#14108431"</f>
        <v>PAYER#14108431</v>
      </c>
      <c r="G459" s="2">
        <v>715.19</v>
      </c>
      <c r="H459" t="str">
        <f>"PAYER#14108431"</f>
        <v>PAYER#14108431</v>
      </c>
    </row>
    <row r="460" spans="1:8" x14ac:dyDescent="0.25">
      <c r="E460" t="str">
        <f>"201911143280"</f>
        <v>201911143280</v>
      </c>
      <c r="F460" t="str">
        <f>"PAYER#14108367/PCT#2"</f>
        <v>PAYER#14108367/PCT#2</v>
      </c>
      <c r="G460" s="2">
        <v>839.86</v>
      </c>
      <c r="H460" t="str">
        <f>"PAYER#14108367/PCT#2"</f>
        <v>PAYER#14108367/PCT#2</v>
      </c>
    </row>
    <row r="461" spans="1:8" x14ac:dyDescent="0.25">
      <c r="E461" t="str">
        <f>"201911143288"</f>
        <v>201911143288</v>
      </c>
      <c r="F461" t="str">
        <f>"PAYER#14108430/PCT#4"</f>
        <v>PAYER#14108430/PCT#4</v>
      </c>
      <c r="G461" s="2">
        <v>1656.75</v>
      </c>
      <c r="H461" t="str">
        <f>"PAYER#14108430/PCT#4"</f>
        <v>PAYER#14108430/PCT#4</v>
      </c>
    </row>
    <row r="462" spans="1:8" x14ac:dyDescent="0.25">
      <c r="A462" t="s">
        <v>125</v>
      </c>
      <c r="B462">
        <v>129717</v>
      </c>
      <c r="C462" s="2">
        <v>148.63999999999999</v>
      </c>
      <c r="D462" s="1">
        <v>43794</v>
      </c>
      <c r="E462" t="str">
        <f>" 405108"</f>
        <v xml:space="preserve"> 405108</v>
      </c>
      <c r="F462" t="str">
        <f>"REVIEW BASTROP FIRE TEMPLATE"</f>
        <v>REVIEW BASTROP FIRE TEMPLATE</v>
      </c>
      <c r="G462" s="2">
        <v>15.78</v>
      </c>
      <c r="H462" t="str">
        <f>"REVIEW BASTROP FIRE TEMPLATE"</f>
        <v>REVIEW BASTROP FIRE TEMPLATE</v>
      </c>
    </row>
    <row r="463" spans="1:8" x14ac:dyDescent="0.25">
      <c r="E463" t="str">
        <f>"405108"</f>
        <v>405108</v>
      </c>
      <c r="F463" t="str">
        <f>"REVIEW BASTROP FIRE TEMPLATE"</f>
        <v>REVIEW BASTROP FIRE TEMPLATE</v>
      </c>
      <c r="G463" s="2">
        <v>132.86000000000001</v>
      </c>
      <c r="H463" t="str">
        <f>"REVIEW BASTROP FIRE TEMPLATE"</f>
        <v>REVIEW BASTROP FIRE TEMPLATE</v>
      </c>
    </row>
    <row r="464" spans="1:8" x14ac:dyDescent="0.25">
      <c r="A464" t="s">
        <v>126</v>
      </c>
      <c r="B464">
        <v>84650</v>
      </c>
      <c r="C464" s="2">
        <v>43102.84</v>
      </c>
      <c r="D464" s="1">
        <v>43777</v>
      </c>
      <c r="E464" t="str">
        <f>"201911083065"</f>
        <v>201911083065</v>
      </c>
      <c r="F464" t="str">
        <f>"ACCT#02-2083-04 / 10292019"</f>
        <v>ACCT#02-2083-04 / 10292019</v>
      </c>
      <c r="G464" s="2">
        <v>5972.53</v>
      </c>
      <c r="H464" t="str">
        <f>"ACCT#02-2083-04 / 10292019"</f>
        <v>ACCT#02-2083-04 / 10292019</v>
      </c>
    </row>
    <row r="465" spans="1:8" x14ac:dyDescent="0.25">
      <c r="E465" t="str">
        <f>"201911083066"</f>
        <v>201911083066</v>
      </c>
      <c r="F465" t="str">
        <f>"COUNTY DEV CTR / 10292019"</f>
        <v>COUNTY DEV CTR / 10292019</v>
      </c>
      <c r="G465" s="2">
        <v>1628.85</v>
      </c>
      <c r="H465" t="str">
        <f>"COUNTY DEV CTR / 10292019"</f>
        <v>COUNTY DEV CTR / 10292019</v>
      </c>
    </row>
    <row r="466" spans="1:8" x14ac:dyDescent="0.25">
      <c r="E466" t="str">
        <f>"201911083067"</f>
        <v>201911083067</v>
      </c>
      <c r="F466" t="str">
        <f>"COUNTY LAW ENF CTR / 100292019"</f>
        <v>COUNTY LAW ENF CTR / 100292019</v>
      </c>
      <c r="G466" s="2">
        <v>23560.2</v>
      </c>
      <c r="H466" t="str">
        <f>"COUNTY LAW ENF CTR / 100292019"</f>
        <v>COUNTY LAW ENF CTR / 100292019</v>
      </c>
    </row>
    <row r="467" spans="1:8" x14ac:dyDescent="0.25">
      <c r="E467" t="str">
        <f>"201911083068"</f>
        <v>201911083068</v>
      </c>
      <c r="F467" t="str">
        <f>"BASTROP COURTHOUSE / 10292019"</f>
        <v>BASTROP COURTHOUSE / 10292019</v>
      </c>
      <c r="G467" s="2">
        <v>11941.26</v>
      </c>
      <c r="H467" t="str">
        <f>"BASTROP COURTHOUSE / 10292019"</f>
        <v>BASTROP COURTHOUSE / 10292019</v>
      </c>
    </row>
    <row r="468" spans="1:8" x14ac:dyDescent="0.25">
      <c r="A468" t="s">
        <v>126</v>
      </c>
      <c r="B468">
        <v>129718</v>
      </c>
      <c r="C468" s="2">
        <v>750</v>
      </c>
      <c r="D468" s="1">
        <v>43794</v>
      </c>
      <c r="E468" t="str">
        <f>"201911143266"</f>
        <v>201911143266</v>
      </c>
      <c r="F468" t="str">
        <f>"RENTAL-PARKING LOT"</f>
        <v>RENTAL-PARKING LOT</v>
      </c>
      <c r="G468" s="2">
        <v>750</v>
      </c>
      <c r="H468" t="str">
        <f>"RENTAL-PARKING LOT"</f>
        <v>RENTAL-PARKING LOT</v>
      </c>
    </row>
    <row r="469" spans="1:8" x14ac:dyDescent="0.25">
      <c r="A469" t="s">
        <v>127</v>
      </c>
      <c r="B469">
        <v>84644</v>
      </c>
      <c r="C469" s="2">
        <v>1905.33</v>
      </c>
      <c r="D469" s="1">
        <v>43773</v>
      </c>
      <c r="E469" t="str">
        <f>"201911042861"</f>
        <v>201911042861</v>
      </c>
      <c r="F469" t="str">
        <f>"ACCT#007-0000388-000 /102519"</f>
        <v>ACCT#007-0000388-000 /102519</v>
      </c>
      <c r="G469" s="2">
        <v>610</v>
      </c>
      <c r="H469" t="str">
        <f>"ACCT#007-0000388-000 /10252019"</f>
        <v>ACCT#007-0000388-000 /10252019</v>
      </c>
    </row>
    <row r="470" spans="1:8" x14ac:dyDescent="0.25">
      <c r="E470" t="str">
        <f>"201911042862"</f>
        <v>201911042862</v>
      </c>
      <c r="F470" t="str">
        <f>"ACCT#007-0000389-000 / 102519"</f>
        <v>ACCT#007-0000389-000 / 102519</v>
      </c>
      <c r="G470" s="2">
        <v>156.07</v>
      </c>
      <c r="H470" t="str">
        <f>"ACCT#007-0000389-000 / 102519"</f>
        <v>ACCT#007-0000389-000 / 102519</v>
      </c>
    </row>
    <row r="471" spans="1:8" x14ac:dyDescent="0.25">
      <c r="E471" t="str">
        <f>"201911042863"</f>
        <v>201911042863</v>
      </c>
      <c r="F471" t="str">
        <f>"ACCT#044-0001240-000 / 102519"</f>
        <v>ACCT#044-0001240-000 / 102519</v>
      </c>
      <c r="G471" s="2">
        <v>446.89</v>
      </c>
      <c r="H471" t="str">
        <f>"ACCT#044-0001240-000 / 102519"</f>
        <v>ACCT#044-0001240-000 / 102519</v>
      </c>
    </row>
    <row r="472" spans="1:8" x14ac:dyDescent="0.25">
      <c r="E472" t="str">
        <f>"201911042864"</f>
        <v>201911042864</v>
      </c>
      <c r="F472" t="str">
        <f>"ACCT#044-0001250-000 / 102519"</f>
        <v>ACCT#044-0001250-000 / 102519</v>
      </c>
      <c r="G472" s="2">
        <v>74.13</v>
      </c>
      <c r="H472" t="str">
        <f>"ACCT#044-0001250-000 / 102519"</f>
        <v>ACCT#044-0001250-000 / 102519</v>
      </c>
    </row>
    <row r="473" spans="1:8" x14ac:dyDescent="0.25">
      <c r="E473" t="str">
        <f>"201911042865"</f>
        <v>201911042865</v>
      </c>
      <c r="F473" t="str">
        <f>"ACCT#044-0001252-000 / 102519"</f>
        <v>ACCT#044-0001252-000 / 102519</v>
      </c>
      <c r="G473" s="2">
        <v>481.93</v>
      </c>
      <c r="H473" t="str">
        <f>"ACCT#044-0001252-000 / 102519"</f>
        <v>ACCT#044-0001252-000 / 102519</v>
      </c>
    </row>
    <row r="474" spans="1:8" x14ac:dyDescent="0.25">
      <c r="E474" t="str">
        <f>"201911042866"</f>
        <v>201911042866</v>
      </c>
      <c r="F474" t="str">
        <f>"ACCT#044-0001253-000 / 102519"</f>
        <v>ACCT#044-0001253-000 / 102519</v>
      </c>
      <c r="G474" s="2">
        <v>136.31</v>
      </c>
      <c r="H474" t="str">
        <f>"ACCT#044-0001253-000 / 102519"</f>
        <v>ACCT#044-0001253-000 / 102519</v>
      </c>
    </row>
    <row r="475" spans="1:8" x14ac:dyDescent="0.25">
      <c r="A475" t="s">
        <v>128</v>
      </c>
      <c r="B475">
        <v>84699</v>
      </c>
      <c r="C475" s="2">
        <v>780.49</v>
      </c>
      <c r="D475" s="1">
        <v>43781</v>
      </c>
      <c r="E475" t="str">
        <f>"201911042850"</f>
        <v>201911042850</v>
      </c>
      <c r="F475" t="str">
        <f>"REIMBURSE MEALS/LODGING"</f>
        <v>REIMBURSE MEALS/LODGING</v>
      </c>
      <c r="G475" s="2">
        <v>780.49</v>
      </c>
      <c r="H475" t="str">
        <f>"REIMBURSE MEALS/LODGING"</f>
        <v>REIMBURSE MEALS/LODGING</v>
      </c>
    </row>
    <row r="476" spans="1:8" x14ac:dyDescent="0.25">
      <c r="A476" t="s">
        <v>129</v>
      </c>
      <c r="B476">
        <v>84700</v>
      </c>
      <c r="C476" s="2">
        <v>446.4</v>
      </c>
      <c r="D476" s="1">
        <v>43781</v>
      </c>
      <c r="E476" t="str">
        <f>"139"</f>
        <v>139</v>
      </c>
      <c r="F476" t="str">
        <f>"INTERPRETING"</f>
        <v>INTERPRETING</v>
      </c>
      <c r="G476" s="2">
        <v>446.4</v>
      </c>
      <c r="H476" t="str">
        <f>"INTERPRETING"</f>
        <v>INTERPRETING</v>
      </c>
    </row>
    <row r="477" spans="1:8" x14ac:dyDescent="0.25">
      <c r="A477" t="s">
        <v>130</v>
      </c>
      <c r="B477">
        <v>1759</v>
      </c>
      <c r="C477" s="2">
        <v>610.92999999999995</v>
      </c>
      <c r="D477" s="1">
        <v>43795</v>
      </c>
      <c r="E477" t="str">
        <f>"SVC-0093615"</f>
        <v>SVC-0093615</v>
      </c>
      <c r="F477" t="str">
        <f>"INV SVC-0093615"</f>
        <v>INV SVC-0093615</v>
      </c>
      <c r="G477" s="2">
        <v>610.92999999999995</v>
      </c>
      <c r="H477" t="str">
        <f>"INV SVC-0093615"</f>
        <v>INV SVC-0093615</v>
      </c>
    </row>
    <row r="478" spans="1:8" x14ac:dyDescent="0.25">
      <c r="A478" t="s">
        <v>131</v>
      </c>
      <c r="B478">
        <v>1797</v>
      </c>
      <c r="C478" s="2">
        <v>369.08</v>
      </c>
      <c r="D478" s="1">
        <v>43795</v>
      </c>
      <c r="E478" t="str">
        <f>"201910-0"</f>
        <v>201910-0</v>
      </c>
      <c r="F478" t="str">
        <f>"INV 201910-0"</f>
        <v>INV 201910-0</v>
      </c>
      <c r="G478" s="2">
        <v>226.34</v>
      </c>
      <c r="H478" t="str">
        <f>"INV 201910-0"</f>
        <v>INV 201910-0</v>
      </c>
    </row>
    <row r="479" spans="1:8" x14ac:dyDescent="0.25">
      <c r="E479" t="str">
        <f>"201911203481"</f>
        <v>201911203481</v>
      </c>
      <c r="F479" t="str">
        <f>"INDIGENT HEALTH"</f>
        <v>INDIGENT HEALTH</v>
      </c>
      <c r="G479" s="2">
        <v>142.74</v>
      </c>
      <c r="H479" t="str">
        <f>"INDIGENT HEALTH"</f>
        <v>INDIGENT HEALTH</v>
      </c>
    </row>
    <row r="480" spans="1:8" x14ac:dyDescent="0.25">
      <c r="A480" t="s">
        <v>132</v>
      </c>
      <c r="B480">
        <v>129719</v>
      </c>
      <c r="C480" s="2">
        <v>5759</v>
      </c>
      <c r="D480" s="1">
        <v>43794</v>
      </c>
      <c r="E480" t="str">
        <f>"221345-3-001"</f>
        <v>221345-3-001</v>
      </c>
      <c r="F480" t="str">
        <f>"INV 221345-3-001"</f>
        <v>INV 221345-3-001</v>
      </c>
      <c r="G480" s="2">
        <v>3019</v>
      </c>
      <c r="H480" t="str">
        <f>"INV 221345-3-001"</f>
        <v>INV 221345-3-001</v>
      </c>
    </row>
    <row r="481" spans="1:8" x14ac:dyDescent="0.25">
      <c r="E481" t="str">
        <f>"221345-5-001"</f>
        <v>221345-5-001</v>
      </c>
      <c r="F481" t="str">
        <f>"INV 221345-5-001"</f>
        <v>INV 221345-5-001</v>
      </c>
      <c r="G481" s="2">
        <v>1455</v>
      </c>
      <c r="H481" t="str">
        <f>"INV 221345-5-001"</f>
        <v>INV 221345-5-001</v>
      </c>
    </row>
    <row r="482" spans="1:8" x14ac:dyDescent="0.25">
      <c r="E482" t="str">
        <f>"221345-6-001"</f>
        <v>221345-6-001</v>
      </c>
      <c r="F482" t="str">
        <f>"INV 221345-6-001"</f>
        <v>INV 221345-6-001</v>
      </c>
      <c r="G482" s="2">
        <v>1285</v>
      </c>
      <c r="H482" t="str">
        <f>"INV 221345-6-001"</f>
        <v>INV 221345-6-001</v>
      </c>
    </row>
    <row r="483" spans="1:8" x14ac:dyDescent="0.25">
      <c r="A483" t="s">
        <v>133</v>
      </c>
      <c r="B483">
        <v>129720</v>
      </c>
      <c r="C483" s="2">
        <v>200</v>
      </c>
      <c r="D483" s="1">
        <v>43794</v>
      </c>
      <c r="E483" t="str">
        <f>"005465356"</f>
        <v>005465356</v>
      </c>
      <c r="F483" t="str">
        <f>"BOND#15530558/CLARA BECKETT"</f>
        <v>BOND#15530558/CLARA BECKETT</v>
      </c>
      <c r="G483" s="2">
        <v>50</v>
      </c>
      <c r="H483" t="str">
        <f>"BOND#15530558/CLARA BECKETT"</f>
        <v>BOND#15530558/CLARA BECKETT</v>
      </c>
    </row>
    <row r="484" spans="1:8" x14ac:dyDescent="0.25">
      <c r="E484" t="str">
        <f>"15528644-B. GOERTZ"</f>
        <v>15528644-B. GOERTZ</v>
      </c>
      <c r="F484" t="str">
        <f>"BOND#15528644/BRYAN C GOERTZ"</f>
        <v>BOND#15528644/BRYAN C GOERTZ</v>
      </c>
      <c r="G484" s="2">
        <v>50</v>
      </c>
      <c r="H484" t="str">
        <f>"BOND#15528644/BRYAN C GOERTZ"</f>
        <v>BOND#15528644/BRYAN C GOERTZ</v>
      </c>
    </row>
    <row r="485" spans="1:8" x14ac:dyDescent="0.25">
      <c r="E485" t="str">
        <f>"201911143267"</f>
        <v>201911143267</v>
      </c>
      <c r="F485" t="str">
        <f>"BOND#69447529/COUNTY SURVEYOR"</f>
        <v>BOND#69447529/COUNTY SURVEYOR</v>
      </c>
      <c r="G485" s="2">
        <v>50</v>
      </c>
      <c r="H485" t="str">
        <f>"BOND#69447529/COUNTY SURVEYOR"</f>
        <v>BOND#69447529/COUNTY SURVEYOR</v>
      </c>
    </row>
    <row r="486" spans="1:8" x14ac:dyDescent="0.25">
      <c r="E486" t="str">
        <f>"201911153298"</f>
        <v>201911153298</v>
      </c>
      <c r="F486" t="str">
        <f>"BOND#15528646-RAYMAH DAVIS"</f>
        <v>BOND#15528646-RAYMAH DAVIS</v>
      </c>
      <c r="G486" s="2">
        <v>50</v>
      </c>
      <c r="H486" t="str">
        <f>"BOND#15528646"</f>
        <v>BOND#15528646</v>
      </c>
    </row>
    <row r="487" spans="1:8" x14ac:dyDescent="0.25">
      <c r="A487" t="s">
        <v>134</v>
      </c>
      <c r="B487">
        <v>1763</v>
      </c>
      <c r="C487" s="2">
        <v>312</v>
      </c>
      <c r="D487" s="1">
        <v>43795</v>
      </c>
      <c r="E487" t="str">
        <f>"12463931065"</f>
        <v>12463931065</v>
      </c>
      <c r="F487" t="str">
        <f>"INV 12463931065"</f>
        <v>INV 12463931065</v>
      </c>
      <c r="G487" s="2">
        <v>312</v>
      </c>
      <c r="H487" t="str">
        <f>"INV 12463931065"</f>
        <v>INV 12463931065</v>
      </c>
    </row>
    <row r="488" spans="1:8" x14ac:dyDescent="0.25">
      <c r="A488" t="s">
        <v>135</v>
      </c>
      <c r="B488">
        <v>1772</v>
      </c>
      <c r="C488" s="2">
        <v>864.56</v>
      </c>
      <c r="D488" s="1">
        <v>43795</v>
      </c>
      <c r="E488" t="str">
        <f>"201911203482"</f>
        <v>201911203482</v>
      </c>
      <c r="F488" t="str">
        <f>"INDIGENT HEALTH"</f>
        <v>INDIGENT HEALTH</v>
      </c>
      <c r="G488" s="2">
        <v>864.56</v>
      </c>
      <c r="H488" t="str">
        <f>"INDIGENT HEALTH"</f>
        <v>INDIGENT HEALTH</v>
      </c>
    </row>
    <row r="489" spans="1:8" x14ac:dyDescent="0.25">
      <c r="E489" t="str">
        <f>""</f>
        <v/>
      </c>
      <c r="F489" t="str">
        <f>""</f>
        <v/>
      </c>
      <c r="H489" t="str">
        <f>"INDIGENT HEALTH"</f>
        <v>INDIGENT HEALTH</v>
      </c>
    </row>
    <row r="490" spans="1:8" x14ac:dyDescent="0.25">
      <c r="A490" t="s">
        <v>136</v>
      </c>
      <c r="B490">
        <v>129721</v>
      </c>
      <c r="C490" s="2">
        <v>500</v>
      </c>
      <c r="D490" s="1">
        <v>43794</v>
      </c>
      <c r="E490" t="str">
        <f>"BSD20190925"</f>
        <v>BSD20190925</v>
      </c>
      <c r="F490" t="str">
        <f>"INV BSD20190925"</f>
        <v>INV BSD20190925</v>
      </c>
      <c r="G490" s="2">
        <v>500</v>
      </c>
      <c r="H490" t="str">
        <f>"INV BSD20190925"</f>
        <v>INV BSD20190925</v>
      </c>
    </row>
    <row r="491" spans="1:8" x14ac:dyDescent="0.25">
      <c r="A491" t="s">
        <v>137</v>
      </c>
      <c r="B491">
        <v>84701</v>
      </c>
      <c r="C491" s="2">
        <v>9081.64</v>
      </c>
      <c r="D491" s="1">
        <v>43781</v>
      </c>
      <c r="E491" t="str">
        <f>"19291715"</f>
        <v>19291715</v>
      </c>
      <c r="F491" t="str">
        <f>"ACCT#434304/PCT#4"</f>
        <v>ACCT#434304/PCT#4</v>
      </c>
      <c r="G491" s="2">
        <v>5094.04</v>
      </c>
      <c r="H491" t="str">
        <f>"ACCT#434304/PCT#4"</f>
        <v>ACCT#434304/PCT#4</v>
      </c>
    </row>
    <row r="492" spans="1:8" x14ac:dyDescent="0.25">
      <c r="E492" t="str">
        <f>"19291716"</f>
        <v>19291716</v>
      </c>
      <c r="F492" t="str">
        <f>"ACCT#434304/PCT#4"</f>
        <v>ACCT#434304/PCT#4</v>
      </c>
      <c r="G492" s="2">
        <v>3177.6</v>
      </c>
      <c r="H492" t="str">
        <f>"ACCT#434304/PCT#4"</f>
        <v>ACCT#434304/PCT#4</v>
      </c>
    </row>
    <row r="493" spans="1:8" x14ac:dyDescent="0.25">
      <c r="E493" t="str">
        <f>"19299345"</f>
        <v>19299345</v>
      </c>
      <c r="F493" t="str">
        <f>"Pipe Ordered"</f>
        <v>Pipe Ordered</v>
      </c>
      <c r="G493" s="2">
        <v>810</v>
      </c>
      <c r="H493" t="str">
        <f>"16GA 18  X 30'"</f>
        <v>16GA 18  X 30'</v>
      </c>
    </row>
    <row r="494" spans="1:8" x14ac:dyDescent="0.25">
      <c r="A494" t="s">
        <v>138</v>
      </c>
      <c r="B494">
        <v>84702</v>
      </c>
      <c r="C494" s="2">
        <v>250</v>
      </c>
      <c r="D494" s="1">
        <v>43781</v>
      </c>
      <c r="E494" t="str">
        <f>"20375"</f>
        <v>20375</v>
      </c>
      <c r="F494" t="str">
        <f>"INSTALLED CABLES/HR OFFICE"</f>
        <v>INSTALLED CABLES/HR OFFICE</v>
      </c>
      <c r="G494" s="2">
        <v>250</v>
      </c>
      <c r="H494" t="str">
        <f>"INSTALLED CABLES/HR OFFICE"</f>
        <v>INSTALLED CABLES/HR OFFICE</v>
      </c>
    </row>
    <row r="495" spans="1:8" x14ac:dyDescent="0.25">
      <c r="A495" t="s">
        <v>139</v>
      </c>
      <c r="B495">
        <v>1796</v>
      </c>
      <c r="C495" s="2">
        <v>11042.31</v>
      </c>
      <c r="D495" s="1">
        <v>43795</v>
      </c>
      <c r="E495" t="str">
        <f>"IG00174"</f>
        <v>IG00174</v>
      </c>
      <c r="F495" t="str">
        <f>"ACCT#063/PCT#4"</f>
        <v>ACCT#063/PCT#4</v>
      </c>
      <c r="G495" s="2">
        <v>1988.62</v>
      </c>
      <c r="H495" t="str">
        <f>"ACCT#063/PCT#4"</f>
        <v>ACCT#063/PCT#4</v>
      </c>
    </row>
    <row r="496" spans="1:8" x14ac:dyDescent="0.25">
      <c r="E496" t="str">
        <f>"IG00176"</f>
        <v>IG00176</v>
      </c>
      <c r="F496" t="str">
        <f>"ACCT#063/PCT#4"</f>
        <v>ACCT#063/PCT#4</v>
      </c>
      <c r="G496" s="2">
        <v>28.69</v>
      </c>
      <c r="H496" t="str">
        <f>"ACCT#063/PCT#4"</f>
        <v>ACCT#063/PCT#4</v>
      </c>
    </row>
    <row r="497" spans="1:8" x14ac:dyDescent="0.25">
      <c r="E497" t="str">
        <f>"IN50609"</f>
        <v>IN50609</v>
      </c>
      <c r="F497" t="str">
        <f>"PART CHARGE/PCT#1"</f>
        <v>PART CHARGE/PCT#1</v>
      </c>
      <c r="G497" s="2">
        <v>9025</v>
      </c>
      <c r="H497" t="str">
        <f>"PART CHARGE/PCT#1"</f>
        <v>PART CHARGE/PCT#1</v>
      </c>
    </row>
    <row r="498" spans="1:8" x14ac:dyDescent="0.25">
      <c r="A498" t="s">
        <v>140</v>
      </c>
      <c r="B498">
        <v>84703</v>
      </c>
      <c r="C498" s="2">
        <v>150</v>
      </c>
      <c r="D498" s="1">
        <v>43781</v>
      </c>
      <c r="E498" t="str">
        <f>"12786"</f>
        <v>12786</v>
      </c>
      <c r="F498" t="str">
        <f>"SERVICE  08/26/19"</f>
        <v>SERVICE  08/26/19</v>
      </c>
      <c r="G498" s="2">
        <v>150</v>
      </c>
      <c r="H498" t="str">
        <f>"SERVICE  08/26/19"</f>
        <v>SERVICE  08/26/19</v>
      </c>
    </row>
    <row r="499" spans="1:8" x14ac:dyDescent="0.25">
      <c r="A499" t="s">
        <v>141</v>
      </c>
      <c r="B499">
        <v>1795</v>
      </c>
      <c r="C499" s="2">
        <v>87.5</v>
      </c>
      <c r="D499" s="1">
        <v>43795</v>
      </c>
      <c r="E499" t="str">
        <f>"244090CVW"</f>
        <v>244090CVW</v>
      </c>
      <c r="F499" t="str">
        <f>"CUST#4011/PCT#4"</f>
        <v>CUST#4011/PCT#4</v>
      </c>
      <c r="G499" s="2">
        <v>87.5</v>
      </c>
      <c r="H499" t="str">
        <f>"CUST#4011/PCT#4"</f>
        <v>CUST#4011/PCT#4</v>
      </c>
    </row>
    <row r="500" spans="1:8" x14ac:dyDescent="0.25">
      <c r="A500" t="s">
        <v>142</v>
      </c>
      <c r="B500">
        <v>84704</v>
      </c>
      <c r="C500" s="2">
        <v>1352.4</v>
      </c>
      <c r="D500" s="1">
        <v>43781</v>
      </c>
      <c r="E500" t="str">
        <f>"RW68725"</f>
        <v>RW68725</v>
      </c>
      <c r="F500" t="str">
        <f>"ACCT#68930-000/ANIMAL SVCS"</f>
        <v>ACCT#68930-000/ANIMAL SVCS</v>
      </c>
      <c r="G500" s="2">
        <v>720</v>
      </c>
      <c r="H500" t="str">
        <f t="shared" ref="H500:H514" si="13">"ACCT#68930-000/ANIMAL SVCS"</f>
        <v>ACCT#68930-000/ANIMAL SVCS</v>
      </c>
    </row>
    <row r="501" spans="1:8" x14ac:dyDescent="0.25">
      <c r="E501" t="str">
        <f>"RW96131"</f>
        <v>RW96131</v>
      </c>
      <c r="F501" t="str">
        <f>"ACCT#68930-000/ANIMAL SVCS"</f>
        <v>ACCT#68930-000/ANIMAL SVCS</v>
      </c>
      <c r="G501" s="2">
        <v>261.20999999999998</v>
      </c>
      <c r="H501" t="str">
        <f t="shared" si="13"/>
        <v>ACCT#68930-000/ANIMAL SVCS</v>
      </c>
    </row>
    <row r="502" spans="1:8" x14ac:dyDescent="0.25">
      <c r="E502" t="str">
        <f>""</f>
        <v/>
      </c>
      <c r="F502" t="str">
        <f>""</f>
        <v/>
      </c>
      <c r="H502" t="str">
        <f t="shared" si="13"/>
        <v>ACCT#68930-000/ANIMAL SVCS</v>
      </c>
    </row>
    <row r="503" spans="1:8" x14ac:dyDescent="0.25">
      <c r="E503" t="str">
        <f>"RY35334"</f>
        <v>RY35334</v>
      </c>
      <c r="F503" t="str">
        <f>"ACCT#68930-000/ANIMAL SVCS"</f>
        <v>ACCT#68930-000/ANIMAL SVCS</v>
      </c>
      <c r="G503" s="2">
        <v>371.19</v>
      </c>
      <c r="H503" t="str">
        <f t="shared" si="13"/>
        <v>ACCT#68930-000/ANIMAL SVCS</v>
      </c>
    </row>
    <row r="504" spans="1:8" x14ac:dyDescent="0.25">
      <c r="E504" t="str">
        <f>""</f>
        <v/>
      </c>
      <c r="F504" t="str">
        <f>""</f>
        <v/>
      </c>
      <c r="H504" t="str">
        <f t="shared" si="13"/>
        <v>ACCT#68930-000/ANIMAL SVCS</v>
      </c>
    </row>
    <row r="505" spans="1:8" x14ac:dyDescent="0.25">
      <c r="A505" t="s">
        <v>142</v>
      </c>
      <c r="B505">
        <v>129722</v>
      </c>
      <c r="C505" s="2">
        <v>1693.73</v>
      </c>
      <c r="D505" s="1">
        <v>43794</v>
      </c>
      <c r="E505" t="str">
        <f>"SA17897"</f>
        <v>SA17897</v>
      </c>
      <c r="F505" t="str">
        <f>"ACCT#68930-000/ANIMAL SVCS"</f>
        <v>ACCT#68930-000/ANIMAL SVCS</v>
      </c>
      <c r="G505" s="2">
        <v>261</v>
      </c>
      <c r="H505" t="str">
        <f t="shared" si="13"/>
        <v>ACCT#68930-000/ANIMAL SVCS</v>
      </c>
    </row>
    <row r="506" spans="1:8" x14ac:dyDescent="0.25">
      <c r="E506" t="str">
        <f>"SA18567"</f>
        <v>SA18567</v>
      </c>
      <c r="F506" t="str">
        <f>"ACCT#68930-000/ANIMAL SVCS"</f>
        <v>ACCT#68930-000/ANIMAL SVCS</v>
      </c>
      <c r="G506" s="2">
        <v>80.56</v>
      </c>
      <c r="H506" t="str">
        <f t="shared" si="13"/>
        <v>ACCT#68930-000/ANIMAL SVCS</v>
      </c>
    </row>
    <row r="507" spans="1:8" x14ac:dyDescent="0.25">
      <c r="E507" t="str">
        <f>"SA18925"</f>
        <v>SA18925</v>
      </c>
      <c r="F507" t="str">
        <f>"ACCT#68930-000/ANIMAL SVCS"</f>
        <v>ACCT#68930-000/ANIMAL SVCS</v>
      </c>
      <c r="G507" s="2">
        <v>707.57</v>
      </c>
      <c r="H507" t="str">
        <f t="shared" si="13"/>
        <v>ACCT#68930-000/ANIMAL SVCS</v>
      </c>
    </row>
    <row r="508" spans="1:8" x14ac:dyDescent="0.25">
      <c r="E508" t="str">
        <f>""</f>
        <v/>
      </c>
      <c r="F508" t="str">
        <f>""</f>
        <v/>
      </c>
      <c r="H508" t="str">
        <f t="shared" si="13"/>
        <v>ACCT#68930-000/ANIMAL SVCS</v>
      </c>
    </row>
    <row r="509" spans="1:8" x14ac:dyDescent="0.25">
      <c r="E509" t="str">
        <f>"SA45414"</f>
        <v>SA45414</v>
      </c>
      <c r="F509" t="str">
        <f>"ACCT#68930-000/ANIMAL SVCS"</f>
        <v>ACCT#68930-000/ANIMAL SVCS</v>
      </c>
      <c r="G509" s="2">
        <v>228.5</v>
      </c>
      <c r="H509" t="str">
        <f t="shared" si="13"/>
        <v>ACCT#68930-000/ANIMAL SVCS</v>
      </c>
    </row>
    <row r="510" spans="1:8" x14ac:dyDescent="0.25">
      <c r="E510" t="str">
        <f>""</f>
        <v/>
      </c>
      <c r="F510" t="str">
        <f>""</f>
        <v/>
      </c>
      <c r="H510" t="str">
        <f t="shared" si="13"/>
        <v>ACCT#68930-000/ANIMAL SVCS</v>
      </c>
    </row>
    <row r="511" spans="1:8" x14ac:dyDescent="0.25">
      <c r="E511" t="str">
        <f>""</f>
        <v/>
      </c>
      <c r="F511" t="str">
        <f>""</f>
        <v/>
      </c>
      <c r="H511" t="str">
        <f t="shared" si="13"/>
        <v>ACCT#68930-000/ANIMAL SVCS</v>
      </c>
    </row>
    <row r="512" spans="1:8" x14ac:dyDescent="0.25">
      <c r="E512" t="str">
        <f>"SA62388"</f>
        <v>SA62388</v>
      </c>
      <c r="F512" t="str">
        <f>"ACCT#68930-000/ANIMAL SVCS"</f>
        <v>ACCT#68930-000/ANIMAL SVCS</v>
      </c>
      <c r="G512" s="2">
        <v>253.47</v>
      </c>
      <c r="H512" t="str">
        <f t="shared" si="13"/>
        <v>ACCT#68930-000/ANIMAL SVCS</v>
      </c>
    </row>
    <row r="513" spans="1:8" x14ac:dyDescent="0.25">
      <c r="E513" t="str">
        <f>""</f>
        <v/>
      </c>
      <c r="F513" t="str">
        <f>""</f>
        <v/>
      </c>
      <c r="H513" t="str">
        <f t="shared" si="13"/>
        <v>ACCT#68930-000/ANIMAL SVCS</v>
      </c>
    </row>
    <row r="514" spans="1:8" x14ac:dyDescent="0.25">
      <c r="E514" t="str">
        <f>"SA79928"</f>
        <v>SA79928</v>
      </c>
      <c r="F514" t="str">
        <f>"ACCT#68930-000/ANIMAL SVCS"</f>
        <v>ACCT#68930-000/ANIMAL SVCS</v>
      </c>
      <c r="G514" s="2">
        <v>162.63</v>
      </c>
      <c r="H514" t="str">
        <f t="shared" si="13"/>
        <v>ACCT#68930-000/ANIMAL SVCS</v>
      </c>
    </row>
    <row r="515" spans="1:8" x14ac:dyDescent="0.25">
      <c r="A515" t="s">
        <v>143</v>
      </c>
      <c r="B515">
        <v>84705</v>
      </c>
      <c r="C515" s="2">
        <v>55.11</v>
      </c>
      <c r="D515" s="1">
        <v>43781</v>
      </c>
      <c r="E515" t="str">
        <f>"34901"</f>
        <v>34901</v>
      </c>
      <c r="F515" t="str">
        <f>"AMMUNITION/CONSTABLE"</f>
        <v>AMMUNITION/CONSTABLE</v>
      </c>
      <c r="G515" s="2">
        <v>55.11</v>
      </c>
      <c r="H515" t="str">
        <f>"AMMUNITION/CONSTABLE"</f>
        <v>AMMUNITION/CONSTABLE</v>
      </c>
    </row>
    <row r="516" spans="1:8" x14ac:dyDescent="0.25">
      <c r="A516" t="s">
        <v>144</v>
      </c>
      <c r="B516">
        <v>84706</v>
      </c>
      <c r="C516" s="2">
        <v>50.46</v>
      </c>
      <c r="D516" s="1">
        <v>43781</v>
      </c>
      <c r="E516" t="str">
        <f>"201911052890"</f>
        <v>201911052890</v>
      </c>
      <c r="F516" t="str">
        <f>"MILEAGE REIMBURSEMENT"</f>
        <v>MILEAGE REIMBURSEMENT</v>
      </c>
      <c r="G516" s="2">
        <v>50.46</v>
      </c>
      <c r="H516" t="str">
        <f>"MILEAGE REIMBURSEMENT"</f>
        <v>MILEAGE REIMBURSEMENT</v>
      </c>
    </row>
    <row r="517" spans="1:8" x14ac:dyDescent="0.25">
      <c r="A517" t="s">
        <v>145</v>
      </c>
      <c r="B517">
        <v>84707</v>
      </c>
      <c r="C517" s="2">
        <v>100</v>
      </c>
      <c r="D517" s="1">
        <v>43781</v>
      </c>
      <c r="E517" t="str">
        <f>"201911042877"</f>
        <v>201911042877</v>
      </c>
      <c r="F517" t="str">
        <f>"LEGAL CONSULTATION SVCS/OCT"</f>
        <v>LEGAL CONSULTATION SVCS/OCT</v>
      </c>
      <c r="G517" s="2">
        <v>100</v>
      </c>
      <c r="H517" t="str">
        <f>"LEGAL CONSULTATION SVCS/OCT"</f>
        <v>LEGAL CONSULTATION SVCS/OCT</v>
      </c>
    </row>
    <row r="518" spans="1:8" x14ac:dyDescent="0.25">
      <c r="A518" t="s">
        <v>146</v>
      </c>
      <c r="B518">
        <v>1783</v>
      </c>
      <c r="C518" s="2">
        <v>1200</v>
      </c>
      <c r="D518" s="1">
        <v>43795</v>
      </c>
      <c r="E518" t="str">
        <f>"394570"</f>
        <v>394570</v>
      </c>
      <c r="F518" t="str">
        <f>"Demo of Covered Structure"</f>
        <v>Demo of Covered Structure</v>
      </c>
      <c r="G518" s="2">
        <v>1200</v>
      </c>
      <c r="H518" t="str">
        <f>"Demo of Covered Structure"</f>
        <v>Demo of Covered Structure</v>
      </c>
    </row>
    <row r="519" spans="1:8" x14ac:dyDescent="0.25">
      <c r="A519" t="s">
        <v>147</v>
      </c>
      <c r="B519">
        <v>84708</v>
      </c>
      <c r="C519" s="2">
        <v>640</v>
      </c>
      <c r="D519" s="1">
        <v>43781</v>
      </c>
      <c r="E519" t="str">
        <f>"201911012841"</f>
        <v>201911012841</v>
      </c>
      <c r="F519" t="str">
        <f>"FERAL HOG"</f>
        <v>FERAL HOG</v>
      </c>
      <c r="G519" s="2">
        <v>20</v>
      </c>
      <c r="H519" t="str">
        <f>"FERAL HOG"</f>
        <v>FERAL HOG</v>
      </c>
    </row>
    <row r="520" spans="1:8" x14ac:dyDescent="0.25">
      <c r="E520" t="str">
        <f>"201911012843"</f>
        <v>201911012843</v>
      </c>
      <c r="F520" t="str">
        <f>"FERAL HOGS"</f>
        <v>FERAL HOGS</v>
      </c>
      <c r="G520" s="2">
        <v>620</v>
      </c>
      <c r="H520" t="str">
        <f>"FERAL HOGS"</f>
        <v>FERAL HOGS</v>
      </c>
    </row>
    <row r="521" spans="1:8" x14ac:dyDescent="0.25">
      <c r="A521" t="s">
        <v>148</v>
      </c>
      <c r="B521">
        <v>1767</v>
      </c>
      <c r="C521" s="2">
        <v>1982.5</v>
      </c>
      <c r="D521" s="1">
        <v>43795</v>
      </c>
      <c r="E521" t="str">
        <f>"201911193391"</f>
        <v>201911193391</v>
      </c>
      <c r="F521" t="str">
        <f>"19-19967"</f>
        <v>19-19967</v>
      </c>
      <c r="G521" s="2">
        <v>175</v>
      </c>
      <c r="H521" t="str">
        <f>"19-19967"</f>
        <v>19-19967</v>
      </c>
    </row>
    <row r="522" spans="1:8" x14ac:dyDescent="0.25">
      <c r="E522" t="str">
        <f>"201911193392"</f>
        <v>201911193392</v>
      </c>
      <c r="F522" t="str">
        <f>"18-19190"</f>
        <v>18-19190</v>
      </c>
      <c r="G522" s="2">
        <v>137.5</v>
      </c>
      <c r="H522" t="str">
        <f>"18-19190"</f>
        <v>18-19190</v>
      </c>
    </row>
    <row r="523" spans="1:8" x14ac:dyDescent="0.25">
      <c r="E523" t="str">
        <f>"201911193393"</f>
        <v>201911193393</v>
      </c>
      <c r="F523" t="str">
        <f>"19-19641"</f>
        <v>19-19641</v>
      </c>
      <c r="G523" s="2">
        <v>182.5</v>
      </c>
      <c r="H523" t="str">
        <f>"19-19641"</f>
        <v>19-19641</v>
      </c>
    </row>
    <row r="524" spans="1:8" x14ac:dyDescent="0.25">
      <c r="E524" t="str">
        <f>"201911193395"</f>
        <v>201911193395</v>
      </c>
      <c r="F524" t="str">
        <f>"19-19414"</f>
        <v>19-19414</v>
      </c>
      <c r="G524" s="2">
        <v>182.5</v>
      </c>
      <c r="H524" t="str">
        <f>"19-19414"</f>
        <v>19-19414</v>
      </c>
    </row>
    <row r="525" spans="1:8" x14ac:dyDescent="0.25">
      <c r="E525" t="str">
        <f>"201911193396"</f>
        <v>201911193396</v>
      </c>
      <c r="F525" t="str">
        <f>"19-19866"</f>
        <v>19-19866</v>
      </c>
      <c r="G525" s="2">
        <v>137.5</v>
      </c>
      <c r="H525" t="str">
        <f>"19-19866"</f>
        <v>19-19866</v>
      </c>
    </row>
    <row r="526" spans="1:8" x14ac:dyDescent="0.25">
      <c r="E526" t="str">
        <f>"201911193397"</f>
        <v>201911193397</v>
      </c>
      <c r="F526" t="str">
        <f>"19-19763"</f>
        <v>19-19763</v>
      </c>
      <c r="G526" s="2">
        <v>45</v>
      </c>
      <c r="H526" t="str">
        <f>"19-19763"</f>
        <v>19-19763</v>
      </c>
    </row>
    <row r="527" spans="1:8" x14ac:dyDescent="0.25">
      <c r="E527" t="str">
        <f>"201911193398"</f>
        <v>201911193398</v>
      </c>
      <c r="F527" t="str">
        <f>"19-19414"</f>
        <v>19-19414</v>
      </c>
      <c r="G527" s="2">
        <v>30</v>
      </c>
      <c r="H527" t="str">
        <f>"19-19414"</f>
        <v>19-19414</v>
      </c>
    </row>
    <row r="528" spans="1:8" x14ac:dyDescent="0.25">
      <c r="E528" t="str">
        <f>"201911193399"</f>
        <v>201911193399</v>
      </c>
      <c r="F528" t="str">
        <f>"18-19190"</f>
        <v>18-19190</v>
      </c>
      <c r="G528" s="2">
        <v>37.5</v>
      </c>
      <c r="H528" t="str">
        <f>"18-19190"</f>
        <v>18-19190</v>
      </c>
    </row>
    <row r="529" spans="1:8" x14ac:dyDescent="0.25">
      <c r="E529" t="str">
        <f>"201911193400"</f>
        <v>201911193400</v>
      </c>
      <c r="F529" t="str">
        <f>"19-19463"</f>
        <v>19-19463</v>
      </c>
      <c r="G529" s="2">
        <v>75</v>
      </c>
      <c r="H529" t="str">
        <f>"19-19463"</f>
        <v>19-19463</v>
      </c>
    </row>
    <row r="530" spans="1:8" x14ac:dyDescent="0.25">
      <c r="E530" t="str">
        <f>"201911193401"</f>
        <v>201911193401</v>
      </c>
      <c r="F530" t="str">
        <f>"19-19931"</f>
        <v>19-19931</v>
      </c>
      <c r="G530" s="2">
        <v>175</v>
      </c>
      <c r="H530" t="str">
        <f>"19-19931"</f>
        <v>19-19931</v>
      </c>
    </row>
    <row r="531" spans="1:8" x14ac:dyDescent="0.25">
      <c r="E531" t="str">
        <f>"201911193402"</f>
        <v>201911193402</v>
      </c>
      <c r="F531" t="str">
        <f>"17-18754"</f>
        <v>17-18754</v>
      </c>
      <c r="G531" s="2">
        <v>127.5</v>
      </c>
      <c r="H531" t="str">
        <f>"17-18754"</f>
        <v>17-18754</v>
      </c>
    </row>
    <row r="532" spans="1:8" x14ac:dyDescent="0.25">
      <c r="E532" t="str">
        <f>"201911193403"</f>
        <v>201911193403</v>
      </c>
      <c r="F532" t="str">
        <f>"18-18864"</f>
        <v>18-18864</v>
      </c>
      <c r="G532" s="2">
        <v>112.5</v>
      </c>
      <c r="H532" t="str">
        <f>"18-18864"</f>
        <v>18-18864</v>
      </c>
    </row>
    <row r="533" spans="1:8" x14ac:dyDescent="0.25">
      <c r="E533" t="str">
        <f>"201911193404"</f>
        <v>201911193404</v>
      </c>
      <c r="F533" t="str">
        <f>"19-19445"</f>
        <v>19-19445</v>
      </c>
      <c r="G533" s="2">
        <v>180</v>
      </c>
      <c r="H533" t="str">
        <f>"19-19445"</f>
        <v>19-19445</v>
      </c>
    </row>
    <row r="534" spans="1:8" x14ac:dyDescent="0.25">
      <c r="E534" t="str">
        <f>"201911193405"</f>
        <v>201911193405</v>
      </c>
      <c r="F534" t="str">
        <f>"15-17513"</f>
        <v>15-17513</v>
      </c>
      <c r="G534" s="2">
        <v>385</v>
      </c>
      <c r="H534" t="str">
        <f>"15-17513"</f>
        <v>15-17513</v>
      </c>
    </row>
    <row r="535" spans="1:8" x14ac:dyDescent="0.25">
      <c r="A535" t="s">
        <v>149</v>
      </c>
      <c r="B535">
        <v>84709</v>
      </c>
      <c r="C535" s="2">
        <v>735</v>
      </c>
      <c r="D535" s="1">
        <v>43781</v>
      </c>
      <c r="E535" t="str">
        <f>"201911052886"</f>
        <v>201911052886</v>
      </c>
      <c r="F535" t="str">
        <f>"REIMBURSE COUPONS"</f>
        <v>REIMBURSE COUPONS</v>
      </c>
      <c r="G535" s="2">
        <v>735</v>
      </c>
      <c r="H535" t="str">
        <f>"REIMBURSE COUPONS"</f>
        <v>REIMBURSE COUPONS</v>
      </c>
    </row>
    <row r="536" spans="1:8" x14ac:dyDescent="0.25">
      <c r="A536" t="s">
        <v>150</v>
      </c>
      <c r="B536">
        <v>84710</v>
      </c>
      <c r="C536" s="2">
        <v>62.64</v>
      </c>
      <c r="D536" s="1">
        <v>43781</v>
      </c>
      <c r="E536" t="str">
        <f>"201911063040"</f>
        <v>201911063040</v>
      </c>
      <c r="F536" t="str">
        <f>"MILEAGE REIMBURSEMENT"</f>
        <v>MILEAGE REIMBURSEMENT</v>
      </c>
      <c r="G536" s="2">
        <v>62.64</v>
      </c>
      <c r="H536" t="str">
        <f>"MILEAGE REIMBURSEMENT"</f>
        <v>MILEAGE REIMBURSEMENT</v>
      </c>
    </row>
    <row r="537" spans="1:8" x14ac:dyDescent="0.25">
      <c r="A537" t="s">
        <v>151</v>
      </c>
      <c r="B537">
        <v>84711</v>
      </c>
      <c r="C537" s="2">
        <v>6836.16</v>
      </c>
      <c r="D537" s="1">
        <v>43781</v>
      </c>
      <c r="E537" t="str">
        <f>"10347099366"</f>
        <v>10347099366</v>
      </c>
      <c r="F537" t="str">
        <f>"Wireless keyboard/mouse c"</f>
        <v>Wireless keyboard/mouse c</v>
      </c>
      <c r="G537" s="2">
        <v>70.39</v>
      </c>
      <c r="H537" t="str">
        <f>"Part# : A3567554"</f>
        <v>Part# : A3567554</v>
      </c>
    </row>
    <row r="538" spans="1:8" x14ac:dyDescent="0.25">
      <c r="E538" t="str">
        <f>""</f>
        <v/>
      </c>
      <c r="F538" t="str">
        <f>""</f>
        <v/>
      </c>
      <c r="H538" t="str">
        <f>"Discount"</f>
        <v>Discount</v>
      </c>
    </row>
    <row r="539" spans="1:8" x14ac:dyDescent="0.25">
      <c r="E539" t="str">
        <f>"10348573023"</f>
        <v>10348573023</v>
      </c>
      <c r="F539" t="str">
        <f>"Laptops for IT"</f>
        <v>Laptops for IT</v>
      </c>
      <c r="G539" s="2">
        <v>6765.77</v>
      </c>
      <c r="H539" t="str">
        <f>"Laptops"</f>
        <v>Laptops</v>
      </c>
    </row>
    <row r="540" spans="1:8" x14ac:dyDescent="0.25">
      <c r="E540" t="str">
        <f>""</f>
        <v/>
      </c>
      <c r="F540" t="str">
        <f>""</f>
        <v/>
      </c>
      <c r="H540" t="str">
        <f>"Premier Discount"</f>
        <v>Premier Discount</v>
      </c>
    </row>
    <row r="541" spans="1:8" x14ac:dyDescent="0.25">
      <c r="E541" t="str">
        <f>""</f>
        <v/>
      </c>
      <c r="F541" t="str">
        <f>""</f>
        <v/>
      </c>
      <c r="H541" t="str">
        <f>"Discount"</f>
        <v>Discount</v>
      </c>
    </row>
    <row r="542" spans="1:8" x14ac:dyDescent="0.25">
      <c r="A542" t="s">
        <v>151</v>
      </c>
      <c r="B542">
        <v>129723</v>
      </c>
      <c r="C542" s="2">
        <v>1592</v>
      </c>
      <c r="D542" s="1">
        <v>43794</v>
      </c>
      <c r="E542" t="str">
        <f>"10346655664"</f>
        <v>10346655664</v>
      </c>
      <c r="F542" t="str">
        <f>"DELL"</f>
        <v>DELL</v>
      </c>
      <c r="G542" s="2">
        <v>1592</v>
      </c>
      <c r="H542" t="str">
        <f>"Dell Monitor"</f>
        <v>Dell Monitor</v>
      </c>
    </row>
    <row r="543" spans="1:8" x14ac:dyDescent="0.25">
      <c r="E543" t="str">
        <f>""</f>
        <v/>
      </c>
      <c r="F543" t="str">
        <f>""</f>
        <v/>
      </c>
      <c r="H543" t="str">
        <f>"Dell USB"</f>
        <v>Dell USB</v>
      </c>
    </row>
    <row r="544" spans="1:8" x14ac:dyDescent="0.25">
      <c r="E544" t="str">
        <f>""</f>
        <v/>
      </c>
      <c r="F544" t="str">
        <f>""</f>
        <v/>
      </c>
      <c r="H544" t="str">
        <f>"Dell Dock"</f>
        <v>Dell Dock</v>
      </c>
    </row>
    <row r="545" spans="1:8" x14ac:dyDescent="0.25">
      <c r="A545" t="s">
        <v>152</v>
      </c>
      <c r="B545">
        <v>84712</v>
      </c>
      <c r="C545" s="2">
        <v>42.92</v>
      </c>
      <c r="D545" s="1">
        <v>43781</v>
      </c>
      <c r="E545" t="str">
        <f>"201911052889"</f>
        <v>201911052889</v>
      </c>
      <c r="F545" t="str">
        <f>"MILEAGE REIMBURSEMENT"</f>
        <v>MILEAGE REIMBURSEMENT</v>
      </c>
      <c r="G545" s="2">
        <v>42.92</v>
      </c>
      <c r="H545" t="str">
        <f>"MILEAGE REIMBURSEMENT"</f>
        <v>MILEAGE REIMBURSEMENT</v>
      </c>
    </row>
    <row r="546" spans="1:8" x14ac:dyDescent="0.25">
      <c r="A546" t="s">
        <v>153</v>
      </c>
      <c r="B546">
        <v>1798</v>
      </c>
      <c r="C546" s="2">
        <v>1540</v>
      </c>
      <c r="D546" s="1">
        <v>43795</v>
      </c>
      <c r="E546" t="str">
        <f>"BATX016435"</f>
        <v>BATX016435</v>
      </c>
      <c r="F546" t="str">
        <f>"INV BATX016435"</f>
        <v>INV BATX016435</v>
      </c>
      <c r="G546" s="2">
        <v>1540</v>
      </c>
      <c r="H546" t="str">
        <f>"INV BATX016435"</f>
        <v>INV BATX016435</v>
      </c>
    </row>
    <row r="547" spans="1:8" x14ac:dyDescent="0.25">
      <c r="A547" t="s">
        <v>154</v>
      </c>
      <c r="B547">
        <v>1829</v>
      </c>
      <c r="C547" s="2">
        <v>503.99</v>
      </c>
      <c r="D547" s="1">
        <v>43798</v>
      </c>
      <c r="E547" t="str">
        <f>"201911273541"</f>
        <v>201911273541</v>
      </c>
      <c r="F547" t="str">
        <f>"INDIGENT HEALTH - REISSUE"</f>
        <v>INDIGENT HEALTH - REISSUE</v>
      </c>
      <c r="G547" s="2">
        <v>503.99</v>
      </c>
      <c r="H547" t="str">
        <f>"INDIGENT HEALTH - REISSUE"</f>
        <v>INDIGENT HEALTH - REISSUE</v>
      </c>
    </row>
    <row r="548" spans="1:8" x14ac:dyDescent="0.25">
      <c r="A548" t="s">
        <v>155</v>
      </c>
      <c r="B548">
        <v>84713</v>
      </c>
      <c r="C548" s="2">
        <v>21.5</v>
      </c>
      <c r="D548" s="1">
        <v>43781</v>
      </c>
      <c r="E548" t="str">
        <f>"26069"</f>
        <v>26069</v>
      </c>
      <c r="F548" t="str">
        <f>"BOLT/GEN SVCS"</f>
        <v>BOLT/GEN SVCS</v>
      </c>
      <c r="G548" s="2">
        <v>21.5</v>
      </c>
      <c r="H548" t="str">
        <f>"BOLT/GEN SVCS"</f>
        <v>BOLT/GEN SVCS</v>
      </c>
    </row>
    <row r="549" spans="1:8" x14ac:dyDescent="0.25">
      <c r="A549" t="s">
        <v>155</v>
      </c>
      <c r="B549">
        <v>129724</v>
      </c>
      <c r="C549" s="2">
        <v>58.5</v>
      </c>
      <c r="D549" s="1">
        <v>43794</v>
      </c>
      <c r="E549" t="str">
        <f>"26105"</f>
        <v>26105</v>
      </c>
      <c r="F549" t="str">
        <f>"INV 26105"</f>
        <v>INV 26105</v>
      </c>
      <c r="G549" s="2">
        <v>58.5</v>
      </c>
      <c r="H549" t="str">
        <f>"INV 26105"</f>
        <v>INV 26105</v>
      </c>
    </row>
    <row r="550" spans="1:8" x14ac:dyDescent="0.25">
      <c r="A550" t="s">
        <v>156</v>
      </c>
      <c r="B550">
        <v>84714</v>
      </c>
      <c r="C550" s="2">
        <v>418.5</v>
      </c>
      <c r="D550" s="1">
        <v>43781</v>
      </c>
      <c r="E550" t="str">
        <f>"26319"</f>
        <v>26319</v>
      </c>
      <c r="F550" t="str">
        <f>"Sign Shop Materials"</f>
        <v>Sign Shop Materials</v>
      </c>
      <c r="G550" s="2">
        <v>418.5</v>
      </c>
      <c r="H550" t="str">
        <f>"2 7/8"</f>
        <v>2 7/8</v>
      </c>
    </row>
    <row r="551" spans="1:8" x14ac:dyDescent="0.25">
      <c r="A551" t="s">
        <v>157</v>
      </c>
      <c r="B551">
        <v>129725</v>
      </c>
      <c r="C551" s="2">
        <v>18000</v>
      </c>
      <c r="D551" s="1">
        <v>43794</v>
      </c>
      <c r="E551" t="str">
        <f>"201911143272"</f>
        <v>201911143272</v>
      </c>
      <c r="F551" t="str">
        <f>"CAUSE# 15 914"</f>
        <v>CAUSE# 15 914</v>
      </c>
      <c r="G551" s="2">
        <v>12000</v>
      </c>
      <c r="H551" t="str">
        <f>"CAUSE# 15 914"</f>
        <v>CAUSE# 15 914</v>
      </c>
    </row>
    <row r="552" spans="1:8" x14ac:dyDescent="0.25">
      <c r="E552" t="str">
        <f>"201911143273"</f>
        <v>201911143273</v>
      </c>
      <c r="F552" t="str">
        <f>"CAUSE# 15 914/07/27 - 08/04"</f>
        <v>CAUSE# 15 914/07/27 - 08/04</v>
      </c>
      <c r="G552" s="2">
        <v>6000</v>
      </c>
      <c r="H552" t="str">
        <f>"CAUSE# 15 914/07/27 - 08/04"</f>
        <v>CAUSE# 15 914/07/27 - 08/04</v>
      </c>
    </row>
    <row r="553" spans="1:8" x14ac:dyDescent="0.25">
      <c r="A553" t="s">
        <v>158</v>
      </c>
      <c r="B553">
        <v>129840</v>
      </c>
      <c r="C553" s="2">
        <v>749.4</v>
      </c>
      <c r="D553" s="1">
        <v>43795</v>
      </c>
      <c r="E553" t="str">
        <f>"201911263526"</f>
        <v>201911263526</v>
      </c>
      <c r="F553" t="str">
        <f>"ACCT#405900029213 / 12012019"</f>
        <v>ACCT#405900029213 / 12012019</v>
      </c>
      <c r="G553" s="2">
        <v>374.7</v>
      </c>
      <c r="H553" t="str">
        <f>"ACCT#405900029213 / 12012019"</f>
        <v>ACCT#405900029213 / 12012019</v>
      </c>
    </row>
    <row r="554" spans="1:8" x14ac:dyDescent="0.25">
      <c r="E554" t="str">
        <f>"201911263527"</f>
        <v>201911263527</v>
      </c>
      <c r="F554" t="str">
        <f>"ACCT#405900029225 / 12012019"</f>
        <v>ACCT#405900029225 / 12012019</v>
      </c>
      <c r="G554" s="2">
        <v>187.35</v>
      </c>
      <c r="H554" t="str">
        <f>"ACCT#405900029225 / 12012019"</f>
        <v>ACCT#405900029225 / 12012019</v>
      </c>
    </row>
    <row r="555" spans="1:8" x14ac:dyDescent="0.25">
      <c r="E555" t="str">
        <f>"201911263528"</f>
        <v>201911263528</v>
      </c>
      <c r="F555" t="str">
        <f>"ACCT#405900028789 / 12012019"</f>
        <v>ACCT#405900028789 / 12012019</v>
      </c>
      <c r="G555" s="2">
        <v>187.35</v>
      </c>
      <c r="H555" t="str">
        <f>"ACCT#405900028789 / 12012019"</f>
        <v>ACCT#405900028789 / 12012019</v>
      </c>
    </row>
    <row r="556" spans="1:8" x14ac:dyDescent="0.25">
      <c r="A556" t="s">
        <v>159</v>
      </c>
      <c r="B556">
        <v>1780</v>
      </c>
      <c r="C556" s="2">
        <v>2790</v>
      </c>
      <c r="D556" s="1">
        <v>43795</v>
      </c>
      <c r="E556" t="str">
        <f>"29292A"</f>
        <v>29292A</v>
      </c>
      <c r="F556" t="str">
        <f>"INV 29292A"</f>
        <v>INV 29292A</v>
      </c>
      <c r="G556" s="2">
        <v>2790</v>
      </c>
      <c r="H556" t="str">
        <f>"INV 29292A"</f>
        <v>INV 29292A</v>
      </c>
    </row>
    <row r="557" spans="1:8" x14ac:dyDescent="0.25">
      <c r="A557" t="s">
        <v>160</v>
      </c>
      <c r="B557">
        <v>129726</v>
      </c>
      <c r="C557" s="2">
        <v>25.28</v>
      </c>
      <c r="D557" s="1">
        <v>43794</v>
      </c>
      <c r="E557" t="str">
        <f>"36497"</f>
        <v>36497</v>
      </c>
      <c r="F557" t="str">
        <f>"WASHER/SNAP RING/PCT#2"</f>
        <v>WASHER/SNAP RING/PCT#2</v>
      </c>
      <c r="G557" s="2">
        <v>25.28</v>
      </c>
      <c r="H557" t="str">
        <f>"WASHER/SNAP RING/PCT#2"</f>
        <v>WASHER/SNAP RING/PCT#2</v>
      </c>
    </row>
    <row r="558" spans="1:8" x14ac:dyDescent="0.25">
      <c r="A558" t="s">
        <v>161</v>
      </c>
      <c r="B558">
        <v>84715</v>
      </c>
      <c r="C558" s="2">
        <v>53.36</v>
      </c>
      <c r="D558" s="1">
        <v>43781</v>
      </c>
      <c r="E558" t="str">
        <f>"201911052892"</f>
        <v>201911052892</v>
      </c>
      <c r="F558" t="str">
        <f>"MILEAGE REIMBURSEMENT"</f>
        <v>MILEAGE REIMBURSEMENT</v>
      </c>
      <c r="G558" s="2">
        <v>53.36</v>
      </c>
      <c r="H558" t="str">
        <f>"MILEAGE REIMBURSEMENT"</f>
        <v>MILEAGE REIMBURSEMENT</v>
      </c>
    </row>
    <row r="559" spans="1:8" x14ac:dyDescent="0.25">
      <c r="A559" t="s">
        <v>162</v>
      </c>
      <c r="B559">
        <v>84716</v>
      </c>
      <c r="C559" s="2">
        <v>10393.98</v>
      </c>
      <c r="D559" s="1">
        <v>43781</v>
      </c>
      <c r="E559" t="str">
        <f>"1200017376"</f>
        <v>1200017376</v>
      </c>
      <c r="F559" t="str">
        <f>"Mavic 2 Enterprise Dual D"</f>
        <v>Mavic 2 Enterprise Dual D</v>
      </c>
      <c r="G559" s="2">
        <v>10393.98</v>
      </c>
      <c r="H559" t="str">
        <f>"DJI Mavic 2 Enterpri"</f>
        <v>DJI Mavic 2 Enterpri</v>
      </c>
    </row>
    <row r="560" spans="1:8" x14ac:dyDescent="0.25">
      <c r="E560" t="str">
        <f>""</f>
        <v/>
      </c>
      <c r="F560" t="str">
        <f>""</f>
        <v/>
      </c>
      <c r="H560" t="str">
        <f>"Fly More Kit"</f>
        <v>Fly More Kit</v>
      </c>
    </row>
    <row r="561" spans="1:8" x14ac:dyDescent="0.25">
      <c r="E561" t="str">
        <f>""</f>
        <v/>
      </c>
      <c r="F561" t="str">
        <f>""</f>
        <v/>
      </c>
      <c r="H561" t="str">
        <f>"DJI Smart Controller"</f>
        <v>DJI Smart Controller</v>
      </c>
    </row>
    <row r="562" spans="1:8" x14ac:dyDescent="0.25">
      <c r="E562" t="str">
        <f>""</f>
        <v/>
      </c>
      <c r="F562" t="str">
        <f>""</f>
        <v/>
      </c>
      <c r="H562" t="str">
        <f>" Monitor"</f>
        <v xml:space="preserve"> Monitor</v>
      </c>
    </row>
    <row r="563" spans="1:8" x14ac:dyDescent="0.25">
      <c r="E563" t="str">
        <f>""</f>
        <v/>
      </c>
      <c r="F563" t="str">
        <f>""</f>
        <v/>
      </c>
      <c r="H563" t="str">
        <f>"Goggles Racing Editi"</f>
        <v>Goggles Racing Editi</v>
      </c>
    </row>
    <row r="564" spans="1:8" x14ac:dyDescent="0.25">
      <c r="A564" t="s">
        <v>163</v>
      </c>
      <c r="B564">
        <v>1744</v>
      </c>
      <c r="C564" s="2">
        <v>4325</v>
      </c>
      <c r="D564" s="1">
        <v>43782</v>
      </c>
      <c r="E564" t="str">
        <f>"201910292789"</f>
        <v>201910292789</v>
      </c>
      <c r="F564" t="str">
        <f>"16591  16872  DCPC19027"</f>
        <v>16591  16872  DCPC19027</v>
      </c>
      <c r="G564" s="2">
        <v>800</v>
      </c>
      <c r="H564" t="str">
        <f>"16591  16872  DCPC19027"</f>
        <v>16591  16872  DCPC19027</v>
      </c>
    </row>
    <row r="565" spans="1:8" x14ac:dyDescent="0.25">
      <c r="E565" t="str">
        <f>"201910292790"</f>
        <v>201910292790</v>
      </c>
      <c r="F565" t="str">
        <f>"13671  13672"</f>
        <v>13671  13672</v>
      </c>
      <c r="G565" s="2">
        <v>600</v>
      </c>
      <c r="H565" t="str">
        <f>"13671  13672"</f>
        <v>13671  13672</v>
      </c>
    </row>
    <row r="566" spans="1:8" x14ac:dyDescent="0.25">
      <c r="E566" t="str">
        <f>"201910292799"</f>
        <v>201910292799</v>
      </c>
      <c r="F566" t="str">
        <f>"AC-2019-0604"</f>
        <v>AC-2019-0604</v>
      </c>
      <c r="G566" s="2">
        <v>400</v>
      </c>
      <c r="H566" t="str">
        <f>"AC-2019-0604"</f>
        <v>AC-2019-0604</v>
      </c>
    </row>
    <row r="567" spans="1:8" x14ac:dyDescent="0.25">
      <c r="E567" t="str">
        <f>"201911012821"</f>
        <v>201911012821</v>
      </c>
      <c r="F567" t="str">
        <f>"08249-21 08249-22 08249-23"</f>
        <v>08249-21 08249-22 08249-23</v>
      </c>
      <c r="G567" s="2">
        <v>800</v>
      </c>
      <c r="H567" t="str">
        <f>"08249-21 08249-22 08249-23"</f>
        <v>08249-21 08249-22 08249-23</v>
      </c>
    </row>
    <row r="568" spans="1:8" x14ac:dyDescent="0.25">
      <c r="E568" t="str">
        <f>"201911012822"</f>
        <v>201911012822</v>
      </c>
      <c r="F568" t="str">
        <f>"16964"</f>
        <v>16964</v>
      </c>
      <c r="G568" s="2">
        <v>400</v>
      </c>
      <c r="H568" t="str">
        <f>"16964"</f>
        <v>16964</v>
      </c>
    </row>
    <row r="569" spans="1:8" x14ac:dyDescent="0.25">
      <c r="E569" t="str">
        <f>"201911052935"</f>
        <v>201911052935</v>
      </c>
      <c r="F569" t="str">
        <f>"56868"</f>
        <v>56868</v>
      </c>
      <c r="G569" s="2">
        <v>250</v>
      </c>
      <c r="H569" t="str">
        <f>"56868"</f>
        <v>56868</v>
      </c>
    </row>
    <row r="570" spans="1:8" x14ac:dyDescent="0.25">
      <c r="E570" t="str">
        <f>"201911052936"</f>
        <v>201911052936</v>
      </c>
      <c r="F570" t="str">
        <f>"1JP00618B"</f>
        <v>1JP00618B</v>
      </c>
      <c r="G570" s="2">
        <v>250</v>
      </c>
      <c r="H570" t="str">
        <f>"1JP00618B"</f>
        <v>1JP00618B</v>
      </c>
    </row>
    <row r="571" spans="1:8" x14ac:dyDescent="0.25">
      <c r="E571" t="str">
        <f>"201911052938"</f>
        <v>201911052938</v>
      </c>
      <c r="F571" t="str">
        <f>"4071291"</f>
        <v>4071291</v>
      </c>
      <c r="G571" s="2">
        <v>250</v>
      </c>
      <c r="H571" t="str">
        <f>"4071291"</f>
        <v>4071291</v>
      </c>
    </row>
    <row r="572" spans="1:8" x14ac:dyDescent="0.25">
      <c r="E572" t="str">
        <f>"201911052939"</f>
        <v>201911052939</v>
      </c>
      <c r="F572" t="str">
        <f>"DCPC-19-059"</f>
        <v>DCPC-19-059</v>
      </c>
      <c r="G572" s="2">
        <v>250</v>
      </c>
      <c r="H572" t="str">
        <f>"DCPC-19-059"</f>
        <v>DCPC-19-059</v>
      </c>
    </row>
    <row r="573" spans="1:8" x14ac:dyDescent="0.25">
      <c r="E573" t="str">
        <f>"201911052940"</f>
        <v>201911052940</v>
      </c>
      <c r="F573" t="str">
        <f>"19-19587"</f>
        <v>19-19587</v>
      </c>
      <c r="G573" s="2">
        <v>75</v>
      </c>
      <c r="H573" t="str">
        <f>"19-19587"</f>
        <v>19-19587</v>
      </c>
    </row>
    <row r="574" spans="1:8" x14ac:dyDescent="0.25">
      <c r="E574" t="str">
        <f>"201911052941"</f>
        <v>201911052941</v>
      </c>
      <c r="F574" t="str">
        <f>"19-19597"</f>
        <v>19-19597</v>
      </c>
      <c r="G574" s="2">
        <v>175</v>
      </c>
      <c r="H574" t="str">
        <f>"19-19597"</f>
        <v>19-19597</v>
      </c>
    </row>
    <row r="575" spans="1:8" x14ac:dyDescent="0.25">
      <c r="E575" t="str">
        <f>"201911052942"</f>
        <v>201911052942</v>
      </c>
      <c r="F575" t="str">
        <f>"19-19628"</f>
        <v>19-19628</v>
      </c>
      <c r="G575" s="2">
        <v>75</v>
      </c>
      <c r="H575" t="str">
        <f>"19-19628"</f>
        <v>19-19628</v>
      </c>
    </row>
    <row r="576" spans="1:8" x14ac:dyDescent="0.25">
      <c r="A576" t="s">
        <v>163</v>
      </c>
      <c r="B576">
        <v>1826</v>
      </c>
      <c r="C576" s="2">
        <v>6925.96</v>
      </c>
      <c r="D576" s="1">
        <v>43795</v>
      </c>
      <c r="E576" t="str">
        <f>"201911133223"</f>
        <v>201911133223</v>
      </c>
      <c r="F576" t="str">
        <f>"DCPC-18-025  18-S-00951"</f>
        <v>DCPC-18-025  18-S-00951</v>
      </c>
      <c r="G576" s="2">
        <v>400</v>
      </c>
      <c r="H576" t="str">
        <f>"DCPC-18-025  18-S-00951"</f>
        <v>DCPC-18-025  18-S-00951</v>
      </c>
    </row>
    <row r="577" spans="5:8" x14ac:dyDescent="0.25">
      <c r="E577" t="str">
        <f>"201911133224"</f>
        <v>201911133224</v>
      </c>
      <c r="F577" t="str">
        <f>"16984"</f>
        <v>16984</v>
      </c>
      <c r="G577" s="2">
        <v>400</v>
      </c>
      <c r="H577" t="str">
        <f>"16984"</f>
        <v>16984</v>
      </c>
    </row>
    <row r="578" spans="5:8" x14ac:dyDescent="0.25">
      <c r="E578" t="str">
        <f>"201911133225"</f>
        <v>201911133225</v>
      </c>
      <c r="F578" t="str">
        <f>"1332-21  1337-335"</f>
        <v>1332-21  1337-335</v>
      </c>
      <c r="G578" s="2">
        <v>200</v>
      </c>
      <c r="H578" t="str">
        <f>"1332-21  1337-335"</f>
        <v>1332-21  1337-335</v>
      </c>
    </row>
    <row r="579" spans="5:8" x14ac:dyDescent="0.25">
      <c r="E579" t="str">
        <f>"201911133237"</f>
        <v>201911133237</v>
      </c>
      <c r="F579" t="str">
        <f>"1335-21"</f>
        <v>1335-21</v>
      </c>
      <c r="G579" s="2">
        <v>100</v>
      </c>
      <c r="H579" t="str">
        <f>"1335-21"</f>
        <v>1335-21</v>
      </c>
    </row>
    <row r="580" spans="5:8" x14ac:dyDescent="0.25">
      <c r="E580" t="str">
        <f>"201911133238"</f>
        <v>201911133238</v>
      </c>
      <c r="F580" t="str">
        <f>"1340-335"</f>
        <v>1340-335</v>
      </c>
      <c r="G580" s="2">
        <v>100</v>
      </c>
      <c r="H580" t="str">
        <f>"1340-335"</f>
        <v>1340-335</v>
      </c>
    </row>
    <row r="581" spans="5:8" x14ac:dyDescent="0.25">
      <c r="E581" t="str">
        <f>"201911133239"</f>
        <v>201911133239</v>
      </c>
      <c r="F581" t="str">
        <f>"423-6911"</f>
        <v>423-6911</v>
      </c>
      <c r="G581" s="2">
        <v>100</v>
      </c>
      <c r="H581" t="str">
        <f>"423-6911"</f>
        <v>423-6911</v>
      </c>
    </row>
    <row r="582" spans="5:8" x14ac:dyDescent="0.25">
      <c r="E582" t="str">
        <f>"201911133251"</f>
        <v>201911133251</v>
      </c>
      <c r="F582" t="str">
        <f>"17002"</f>
        <v>17002</v>
      </c>
      <c r="G582" s="2">
        <v>400</v>
      </c>
      <c r="H582" t="str">
        <f>"17002"</f>
        <v>17002</v>
      </c>
    </row>
    <row r="583" spans="5:8" x14ac:dyDescent="0.25">
      <c r="E583" t="str">
        <f>"201911133252"</f>
        <v>201911133252</v>
      </c>
      <c r="F583" t="str">
        <f>"16937"</f>
        <v>16937</v>
      </c>
      <c r="G583" s="2">
        <v>400</v>
      </c>
      <c r="H583" t="str">
        <f>"16937"</f>
        <v>16937</v>
      </c>
    </row>
    <row r="584" spans="5:8" x14ac:dyDescent="0.25">
      <c r="E584" t="str">
        <f>"201911133253"</f>
        <v>201911133253</v>
      </c>
      <c r="F584" t="str">
        <f>"17015"</f>
        <v>17015</v>
      </c>
      <c r="G584" s="2">
        <v>400</v>
      </c>
      <c r="H584" t="str">
        <f>"17015"</f>
        <v>17015</v>
      </c>
    </row>
    <row r="585" spans="5:8" x14ac:dyDescent="0.25">
      <c r="E585" t="str">
        <f>"201911133254"</f>
        <v>201911133254</v>
      </c>
      <c r="F585" t="str">
        <f>"16996"</f>
        <v>16996</v>
      </c>
      <c r="G585" s="2">
        <v>400</v>
      </c>
      <c r="H585" t="str">
        <f>"16996"</f>
        <v>16996</v>
      </c>
    </row>
    <row r="586" spans="5:8" x14ac:dyDescent="0.25">
      <c r="E586" t="str">
        <f>"201911133256"</f>
        <v>201911133256</v>
      </c>
      <c r="F586" t="str">
        <f>"16987"</f>
        <v>16987</v>
      </c>
      <c r="G586" s="2">
        <v>200</v>
      </c>
      <c r="H586" t="str">
        <f>"16987"</f>
        <v>16987</v>
      </c>
    </row>
    <row r="587" spans="5:8" x14ac:dyDescent="0.25">
      <c r="E587" t="str">
        <f>"201911153293"</f>
        <v>201911153293</v>
      </c>
      <c r="F587" t="str">
        <f>"AC-2019-0928A  AC-2019-0928C"</f>
        <v>AC-2019-0928A  AC-2019-0928C</v>
      </c>
      <c r="G587" s="2">
        <v>600</v>
      </c>
      <c r="H587" t="str">
        <f>"AC-2019-0928A  AC-2019-0928C"</f>
        <v>AC-2019-0928A  AC-2019-0928C</v>
      </c>
    </row>
    <row r="588" spans="5:8" x14ac:dyDescent="0.25">
      <c r="E588" t="str">
        <f>"201911153294"</f>
        <v>201911153294</v>
      </c>
      <c r="F588" t="str">
        <f>"02-1104-1  02-1104-3"</f>
        <v>02-1104-1  02-1104-3</v>
      </c>
      <c r="G588" s="2">
        <v>600</v>
      </c>
      <c r="H588" t="str">
        <f>"02-1104-1  02-1104-3"</f>
        <v>02-1104-1  02-1104-3</v>
      </c>
    </row>
    <row r="589" spans="5:8" x14ac:dyDescent="0.25">
      <c r="E589" t="str">
        <f>"201911193426"</f>
        <v>201911193426</v>
      </c>
      <c r="F589" t="str">
        <f>"18-19166"</f>
        <v>18-19166</v>
      </c>
      <c r="G589" s="2">
        <v>437.5</v>
      </c>
      <c r="H589" t="str">
        <f>"18-19166"</f>
        <v>18-19166</v>
      </c>
    </row>
    <row r="590" spans="5:8" x14ac:dyDescent="0.25">
      <c r="E590" t="str">
        <f>"201911193427"</f>
        <v>201911193427</v>
      </c>
      <c r="F590" t="str">
        <f>"18-19166"</f>
        <v>18-19166</v>
      </c>
      <c r="G590" s="2">
        <v>538.46</v>
      </c>
      <c r="H590" t="str">
        <f>"18-19166"</f>
        <v>18-19166</v>
      </c>
    </row>
    <row r="591" spans="5:8" x14ac:dyDescent="0.25">
      <c r="E591" t="str">
        <f>"201911193428"</f>
        <v>201911193428</v>
      </c>
      <c r="F591" t="str">
        <f>"19-19949"</f>
        <v>19-19949</v>
      </c>
      <c r="G591" s="2">
        <v>100</v>
      </c>
      <c r="H591" t="str">
        <f>"19-19949"</f>
        <v>19-19949</v>
      </c>
    </row>
    <row r="592" spans="5:8" x14ac:dyDescent="0.25">
      <c r="E592" t="str">
        <f>"201911193429"</f>
        <v>201911193429</v>
      </c>
      <c r="F592" t="str">
        <f>"19-19940"</f>
        <v>19-19940</v>
      </c>
      <c r="G592" s="2">
        <v>325</v>
      </c>
      <c r="H592" t="str">
        <f>"19-19940"</f>
        <v>19-19940</v>
      </c>
    </row>
    <row r="593" spans="1:9" x14ac:dyDescent="0.25">
      <c r="E593" t="str">
        <f>"201911193430"</f>
        <v>201911193430</v>
      </c>
      <c r="F593" t="str">
        <f>"17-18617"</f>
        <v>17-18617</v>
      </c>
      <c r="G593" s="2">
        <v>100</v>
      </c>
      <c r="H593" t="str">
        <f>"17-18617"</f>
        <v>17-18617</v>
      </c>
    </row>
    <row r="594" spans="1:9" x14ac:dyDescent="0.25">
      <c r="E594" t="str">
        <f>"201911193431"</f>
        <v>201911193431</v>
      </c>
      <c r="F594" t="str">
        <f>"AC-2019-0928B"</f>
        <v>AC-2019-0928B</v>
      </c>
      <c r="G594" s="2">
        <v>250</v>
      </c>
      <c r="H594" t="str">
        <f>"AC-2019-0928B"</f>
        <v>AC-2019-0928B</v>
      </c>
    </row>
    <row r="595" spans="1:9" x14ac:dyDescent="0.25">
      <c r="E595" t="str">
        <f>"201911193432"</f>
        <v>201911193432</v>
      </c>
      <c r="F595" t="str">
        <f>"18500993  18500994"</f>
        <v>18500993  18500994</v>
      </c>
      <c r="G595" s="2">
        <v>375</v>
      </c>
      <c r="H595" t="str">
        <f>"18500993  18500994"</f>
        <v>18500993  18500994</v>
      </c>
    </row>
    <row r="596" spans="1:9" x14ac:dyDescent="0.25">
      <c r="E596" t="str">
        <f>"201911193433"</f>
        <v>201911193433</v>
      </c>
      <c r="F596" t="str">
        <f>"57075"</f>
        <v>57075</v>
      </c>
      <c r="G596" s="2">
        <v>250</v>
      </c>
      <c r="H596" t="str">
        <f>"57075"</f>
        <v>57075</v>
      </c>
    </row>
    <row r="597" spans="1:9" x14ac:dyDescent="0.25">
      <c r="E597" t="str">
        <f>"201911193434"</f>
        <v>201911193434</v>
      </c>
      <c r="F597" t="str">
        <f>"57211"</f>
        <v>57211</v>
      </c>
      <c r="G597" s="2">
        <v>250</v>
      </c>
      <c r="H597" t="str">
        <f>"57211"</f>
        <v>57211</v>
      </c>
    </row>
    <row r="598" spans="1:9" x14ac:dyDescent="0.25">
      <c r="A598" t="s">
        <v>164</v>
      </c>
      <c r="B598">
        <v>129727</v>
      </c>
      <c r="C598" s="2">
        <v>1320</v>
      </c>
      <c r="D598" s="1">
        <v>43794</v>
      </c>
      <c r="E598" t="str">
        <f>"001"</f>
        <v>001</v>
      </c>
      <c r="F598" t="str">
        <f>"6 LDS ROAD BASE/PCT#3"</f>
        <v>6 LDS ROAD BASE/PCT#3</v>
      </c>
      <c r="G598" s="2">
        <v>1320</v>
      </c>
      <c r="H598" t="str">
        <f>"6 LDS ROAD BASE/PCT#3"</f>
        <v>6 LDS ROAD BASE/PCT#3</v>
      </c>
    </row>
    <row r="599" spans="1:9" x14ac:dyDescent="0.25">
      <c r="A599" t="s">
        <v>165</v>
      </c>
      <c r="B599">
        <v>84717</v>
      </c>
      <c r="C599" s="2">
        <v>33500</v>
      </c>
      <c r="D599" s="1">
        <v>43781</v>
      </c>
      <c r="E599" t="str">
        <f>"201911053002"</f>
        <v>201911053002</v>
      </c>
      <c r="F599" t="str">
        <f>"2002 Water Truck"</f>
        <v>2002 Water Truck</v>
      </c>
      <c r="G599" s="2">
        <v>33500</v>
      </c>
      <c r="H599" t="str">
        <f>"2002 Water Truck"</f>
        <v>2002 Water Truck</v>
      </c>
    </row>
    <row r="600" spans="1:9" x14ac:dyDescent="0.25">
      <c r="A600" t="s">
        <v>166</v>
      </c>
      <c r="B600">
        <v>1693</v>
      </c>
      <c r="C600" s="2">
        <v>2500</v>
      </c>
      <c r="D600" s="1">
        <v>43777</v>
      </c>
      <c r="E600" t="str">
        <f>"INV-19219 Reissue"</f>
        <v>INV-19219 Reissue</v>
      </c>
      <c r="F600" t="str">
        <f>"EASY CAMPAIGN FINANCE/ELECTION"</f>
        <v>EASY CAMPAIGN FINANCE/ELECTION</v>
      </c>
      <c r="G600" s="2">
        <v>2500</v>
      </c>
      <c r="H600" t="str">
        <f>"EASYVOTE SOLUTIONS LLC"</f>
        <v>EASYVOTE SOLUTIONS LLC</v>
      </c>
    </row>
    <row r="601" spans="1:9" x14ac:dyDescent="0.25">
      <c r="A601" t="s">
        <v>167</v>
      </c>
      <c r="B601">
        <v>1726</v>
      </c>
      <c r="C601" s="2">
        <v>994.63</v>
      </c>
      <c r="D601" s="1">
        <v>43782</v>
      </c>
      <c r="E601" t="str">
        <f>"6252346210"</f>
        <v>6252346210</v>
      </c>
      <c r="F601" t="str">
        <f>"INV 6252346210"</f>
        <v>INV 6252346210</v>
      </c>
      <c r="G601" s="2">
        <v>994.63</v>
      </c>
      <c r="H601" t="str">
        <f>"INV 6252346210"</f>
        <v>INV 6252346210</v>
      </c>
    </row>
    <row r="602" spans="1:9" x14ac:dyDescent="0.25">
      <c r="A602" t="s">
        <v>167</v>
      </c>
      <c r="B602">
        <v>1799</v>
      </c>
      <c r="C602" s="2">
        <v>1861.04</v>
      </c>
      <c r="D602" s="1">
        <v>43795</v>
      </c>
      <c r="E602" t="str">
        <f>"6252568546"</f>
        <v>6252568546</v>
      </c>
      <c r="F602" t="str">
        <f>"INV 6252568546"</f>
        <v>INV 6252568546</v>
      </c>
      <c r="G602" s="2">
        <v>592.79</v>
      </c>
      <c r="H602" t="str">
        <f>"INV 6252568546"</f>
        <v>INV 6252568546</v>
      </c>
    </row>
    <row r="603" spans="1:9" x14ac:dyDescent="0.25">
      <c r="E603" t="str">
        <f>"6252568547"</f>
        <v>6252568547</v>
      </c>
      <c r="F603" t="str">
        <f>"INV 6252568547"</f>
        <v>INV 6252568547</v>
      </c>
      <c r="G603" s="2">
        <v>1268.25</v>
      </c>
      <c r="H603" t="str">
        <f>"INV 6252568547"</f>
        <v>INV 6252568547</v>
      </c>
    </row>
    <row r="604" spans="1:9" x14ac:dyDescent="0.25">
      <c r="A604" t="s">
        <v>168</v>
      </c>
      <c r="B604">
        <v>84718</v>
      </c>
      <c r="C604" s="2">
        <v>1532.58</v>
      </c>
      <c r="D604" s="1">
        <v>43781</v>
      </c>
      <c r="E604" t="str">
        <f>"1105922"</f>
        <v>1105922</v>
      </c>
      <c r="F604" t="str">
        <f>"ACCT#B06875/ELECTIONS"</f>
        <v>ACCT#B06875/ELECTIONS</v>
      </c>
      <c r="G604" s="2">
        <v>1532.58</v>
      </c>
      <c r="H604" t="str">
        <f>"ACCT#B06875/ELECTIONS"</f>
        <v>ACCT#B06875/ELECTIONS</v>
      </c>
    </row>
    <row r="605" spans="1:9" x14ac:dyDescent="0.25">
      <c r="A605" t="s">
        <v>169</v>
      </c>
      <c r="B605">
        <v>1725</v>
      </c>
      <c r="C605" s="2">
        <v>508</v>
      </c>
      <c r="D605" s="1">
        <v>43782</v>
      </c>
      <c r="E605" t="str">
        <f>"52421-20079"</f>
        <v>52421-20079</v>
      </c>
      <c r="F605" t="str">
        <f>"Public Hearing 10/28/2019"</f>
        <v>Public Hearing 10/28/2019</v>
      </c>
      <c r="G605" s="2">
        <v>39</v>
      </c>
      <c r="H605" t="str">
        <f>"payment"</f>
        <v>payment</v>
      </c>
    </row>
    <row r="606" spans="1:9" x14ac:dyDescent="0.25">
      <c r="E606" t="str">
        <f>"52421-20206"</f>
        <v>52421-20206</v>
      </c>
      <c r="F606" t="str">
        <f>"Public Hearing Ad 10/30"</f>
        <v>Public Hearing Ad 10/30</v>
      </c>
      <c r="G606" s="2">
        <v>29</v>
      </c>
      <c r="H606" t="str">
        <f>"PAYMENT"</f>
        <v>PAYMENT</v>
      </c>
    </row>
    <row r="607" spans="1:9" x14ac:dyDescent="0.25">
      <c r="E607" t="s">
        <v>170</v>
      </c>
      <c r="F607" t="s">
        <v>171</v>
      </c>
      <c r="G607" s="2" t="str">
        <f>"RFB 19BCP10A"</f>
        <v>RFB 19BCP10A</v>
      </c>
      <c r="H607" t="str">
        <f>"995-4310"</f>
        <v>995-4310</v>
      </c>
      <c r="I607" t="str">
        <f>"19-23718"</f>
        <v>19-23718</v>
      </c>
    </row>
    <row r="608" spans="1:9" x14ac:dyDescent="0.25">
      <c r="E608" t="str">
        <f>""</f>
        <v/>
      </c>
      <c r="F608" t="str">
        <f>""</f>
        <v/>
      </c>
      <c r="H608" t="str">
        <f>"Run Date: 10/30"</f>
        <v>Run Date: 10/30</v>
      </c>
    </row>
    <row r="609" spans="1:8" x14ac:dyDescent="0.25">
      <c r="E609" t="str">
        <f>"52421-20359"</f>
        <v>52421-20359</v>
      </c>
      <c r="F609" t="str">
        <f>"Public Notice RFB19BCP11A"</f>
        <v>Public Notice RFB19BCP11A</v>
      </c>
      <c r="G609" s="2">
        <v>190</v>
      </c>
      <c r="H609" t="str">
        <f>"Public Notice RFB19BCP11A"</f>
        <v>Public Notice RFB19BCP11A</v>
      </c>
    </row>
    <row r="610" spans="1:8" x14ac:dyDescent="0.25">
      <c r="A610" t="s">
        <v>172</v>
      </c>
      <c r="B610">
        <v>129728</v>
      </c>
      <c r="C610" s="2">
        <v>206.85</v>
      </c>
      <c r="D610" s="1">
        <v>43794</v>
      </c>
      <c r="E610" t="str">
        <f>"201911143287"</f>
        <v>201911143287</v>
      </c>
      <c r="F610" t="str">
        <f>"ELECTRONICS/PCT#4"</f>
        <v>ELECTRONICS/PCT#4</v>
      </c>
      <c r="G610" s="2">
        <v>206.85</v>
      </c>
      <c r="H610" t="str">
        <f>"ELECTRONICS/PCT#4"</f>
        <v>ELECTRONICS/PCT#4</v>
      </c>
    </row>
    <row r="611" spans="1:8" x14ac:dyDescent="0.25">
      <c r="A611" t="s">
        <v>173</v>
      </c>
      <c r="B611">
        <v>84651</v>
      </c>
      <c r="C611" s="2">
        <v>1589.59</v>
      </c>
      <c r="D611" s="1">
        <v>43777</v>
      </c>
      <c r="E611" t="str">
        <f>"201911083069"</f>
        <v>201911083069</v>
      </c>
      <c r="F611" t="str">
        <f>"ACCT#007-0008410-002/10312019"</f>
        <v>ACCT#007-0008410-002/10312019</v>
      </c>
      <c r="G611" s="2">
        <v>208.45</v>
      </c>
      <c r="H611" t="str">
        <f>"ACCT#007-0008410-002/10312019"</f>
        <v>ACCT#007-0008410-002/10312019</v>
      </c>
    </row>
    <row r="612" spans="1:8" x14ac:dyDescent="0.25">
      <c r="E612" t="str">
        <f>"201911083070"</f>
        <v>201911083070</v>
      </c>
      <c r="F612" t="str">
        <f>"ACCT#007-0011501-000/10312019"</f>
        <v>ACCT#007-0011501-000/10312019</v>
      </c>
      <c r="G612" s="2">
        <v>271.36</v>
      </c>
      <c r="H612" t="str">
        <f>"ACCT#007-0011501-000/10312019"</f>
        <v>ACCT#007-0011501-000/10312019</v>
      </c>
    </row>
    <row r="613" spans="1:8" x14ac:dyDescent="0.25">
      <c r="E613" t="str">
        <f>"201911083071"</f>
        <v>201911083071</v>
      </c>
      <c r="F613" t="str">
        <f>"ACCT#007-0011510-000/10312019"</f>
        <v>ACCT#007-0011510-000/10312019</v>
      </c>
      <c r="G613" s="2">
        <v>239.91</v>
      </c>
      <c r="H613" t="str">
        <f>"ACCT#007-0011510-000/10312019"</f>
        <v>ACCT#007-0011510-000/10312019</v>
      </c>
    </row>
    <row r="614" spans="1:8" x14ac:dyDescent="0.25">
      <c r="E614" t="str">
        <f>"201911083072"</f>
        <v>201911083072</v>
      </c>
      <c r="F614" t="str">
        <f>"ACCT#007-0011530-000/10312019"</f>
        <v>ACCT#007-0011530-000/10312019</v>
      </c>
      <c r="G614" s="2">
        <v>98.01</v>
      </c>
      <c r="H614" t="str">
        <f>"ACCT#007-0011530-000/10312019"</f>
        <v>ACCT#007-0011530-000/10312019</v>
      </c>
    </row>
    <row r="615" spans="1:8" x14ac:dyDescent="0.25">
      <c r="E615" t="str">
        <f>"201911083073"</f>
        <v>201911083073</v>
      </c>
      <c r="F615" t="str">
        <f>"ACCT#007-0011534-001/10312019"</f>
        <v>ACCT#007-0011534-001/10312019</v>
      </c>
      <c r="G615" s="2">
        <v>168.95</v>
      </c>
      <c r="H615" t="str">
        <f>"ACCT#007-0011534-001/10312019"</f>
        <v>ACCT#007-0011534-001/10312019</v>
      </c>
    </row>
    <row r="616" spans="1:8" x14ac:dyDescent="0.25">
      <c r="E616" t="str">
        <f>"201911083074"</f>
        <v>201911083074</v>
      </c>
      <c r="F616" t="str">
        <f>"ACCT#007-0011535-000/10312019"</f>
        <v>ACCT#007-0011535-000/10312019</v>
      </c>
      <c r="G616" s="2">
        <v>413.59</v>
      </c>
      <c r="H616" t="str">
        <f>"ACCT#007-0011535-000/10312019"</f>
        <v>ACCT#007-0011535-000/10312019</v>
      </c>
    </row>
    <row r="617" spans="1:8" x14ac:dyDescent="0.25">
      <c r="E617" t="str">
        <f>"201911083075"</f>
        <v>201911083075</v>
      </c>
      <c r="F617" t="str">
        <f>"ACCT#007-0011544-001/10312019"</f>
        <v>ACCT#007-0011544-001/10312019</v>
      </c>
      <c r="G617" s="2">
        <v>131.08000000000001</v>
      </c>
      <c r="H617" t="str">
        <f>"ACCT#007-0011544-001/10312019"</f>
        <v>ACCT#007-0011544-001/10312019</v>
      </c>
    </row>
    <row r="618" spans="1:8" x14ac:dyDescent="0.25">
      <c r="E618" t="str">
        <f>"201911083076"</f>
        <v>201911083076</v>
      </c>
      <c r="F618" t="str">
        <f>"ACCT#007-0071128-001/10312019"</f>
        <v>ACCT#007-0071128-001/10312019</v>
      </c>
      <c r="G618" s="2">
        <v>58.24</v>
      </c>
      <c r="H618" t="str">
        <f>"ACCT#007-0071128-001/10312019"</f>
        <v>ACCT#007-0071128-001/10312019</v>
      </c>
    </row>
    <row r="619" spans="1:8" x14ac:dyDescent="0.25">
      <c r="A619" t="s">
        <v>174</v>
      </c>
      <c r="B619">
        <v>84719</v>
      </c>
      <c r="C619" s="2">
        <v>15.63</v>
      </c>
      <c r="D619" s="1">
        <v>43781</v>
      </c>
      <c r="E619" t="str">
        <f>"145-32401-04"</f>
        <v>145-32401-04</v>
      </c>
      <c r="F619" t="str">
        <f>"CUST ID:0888336-1/ELGIN HLTH D"</f>
        <v>CUST ID:0888336-1/ELGIN HLTH D</v>
      </c>
      <c r="G619" s="2">
        <v>10.58</v>
      </c>
      <c r="H619" t="str">
        <f>"CUST ID:0888336-1/ELGIN HLTH D"</f>
        <v>CUST ID:0888336-1/ELGIN HLTH D</v>
      </c>
    </row>
    <row r="620" spans="1:8" x14ac:dyDescent="0.25">
      <c r="E620" t="str">
        <f>"145-32475-01"</f>
        <v>145-32475-01</v>
      </c>
      <c r="F620" t="str">
        <f>"CUST#0888336/WALLPLATE"</f>
        <v>CUST#0888336/WALLPLATE</v>
      </c>
      <c r="G620" s="2">
        <v>5.05</v>
      </c>
      <c r="H620" t="str">
        <f>"CUST#0888336/WALLPLATE"</f>
        <v>CUST#0888336/WALLPLATE</v>
      </c>
    </row>
    <row r="621" spans="1:8" x14ac:dyDescent="0.25">
      <c r="A621" t="s">
        <v>174</v>
      </c>
      <c r="B621">
        <v>129729</v>
      </c>
      <c r="C621" s="2">
        <v>274.61</v>
      </c>
      <c r="D621" s="1">
        <v>43794</v>
      </c>
      <c r="E621" t="str">
        <f>"145-32807-01"</f>
        <v>145-32807-01</v>
      </c>
      <c r="F621" t="str">
        <f>"Elliott Supply"</f>
        <v>Elliott Supply</v>
      </c>
      <c r="G621" s="2">
        <v>49.62</v>
      </c>
      <c r="H621" t="str">
        <f>"BUS"</f>
        <v>BUS</v>
      </c>
    </row>
    <row r="622" spans="1:8" x14ac:dyDescent="0.25">
      <c r="E622" t="str">
        <f>""</f>
        <v/>
      </c>
      <c r="F622" t="str">
        <f>""</f>
        <v/>
      </c>
      <c r="H622" t="str">
        <f>"Freight"</f>
        <v>Freight</v>
      </c>
    </row>
    <row r="623" spans="1:8" x14ac:dyDescent="0.25">
      <c r="E623" t="str">
        <f>"145-32998-01"</f>
        <v>145-32998-01</v>
      </c>
      <c r="F623" t="str">
        <f>"CLAMP METER"</f>
        <v>CLAMP METER</v>
      </c>
      <c r="G623" s="2">
        <v>224.99</v>
      </c>
      <c r="H623" t="str">
        <f>"CLAMP METER"</f>
        <v>CLAMP METER</v>
      </c>
    </row>
    <row r="624" spans="1:8" x14ac:dyDescent="0.25">
      <c r="A624" t="s">
        <v>175</v>
      </c>
      <c r="B624">
        <v>84720</v>
      </c>
      <c r="C624" s="2">
        <v>4568.01</v>
      </c>
      <c r="D624" s="1">
        <v>43781</v>
      </c>
      <c r="E624" t="str">
        <f>"102583"</f>
        <v>102583</v>
      </c>
      <c r="F624" t="str">
        <f>"ArcGIS Upgrade"</f>
        <v>ArcGIS Upgrade</v>
      </c>
      <c r="G624" s="2">
        <v>4568.01</v>
      </c>
      <c r="H624" t="str">
        <f>"102583"</f>
        <v>102583</v>
      </c>
    </row>
    <row r="625" spans="1:8" x14ac:dyDescent="0.25">
      <c r="A625" t="s">
        <v>176</v>
      </c>
      <c r="B625">
        <v>84721</v>
      </c>
      <c r="C625" s="2">
        <v>10796.77</v>
      </c>
      <c r="D625" s="1">
        <v>43781</v>
      </c>
      <c r="E625" t="str">
        <f>"9402154540"</f>
        <v>9402154540</v>
      </c>
      <c r="F625" t="str">
        <f>"ACCT#912904/BOL#25794/PCT#2"</f>
        <v>ACCT#912904/BOL#25794/PCT#2</v>
      </c>
      <c r="G625" s="2">
        <v>10796.77</v>
      </c>
      <c r="H625" t="str">
        <f>"ACCT#912904/BOL#25794/PCT#2"</f>
        <v>ACCT#912904/BOL#25794/PCT#2</v>
      </c>
    </row>
    <row r="626" spans="1:8" x14ac:dyDescent="0.25">
      <c r="A626" t="s">
        <v>176</v>
      </c>
      <c r="B626">
        <v>129730</v>
      </c>
      <c r="C626" s="2">
        <v>49405.34</v>
      </c>
      <c r="D626" s="1">
        <v>43794</v>
      </c>
      <c r="E626" t="str">
        <f>"9402159295"</f>
        <v>9402159295</v>
      </c>
      <c r="F626" t="str">
        <f>"ACCT#912897/BOL#25827/PCT#3"</f>
        <v>ACCT#912897/BOL#25827/PCT#3</v>
      </c>
      <c r="G626" s="2">
        <v>16495.509999999998</v>
      </c>
      <c r="H626" t="str">
        <f>"ACCT#912897/BOL#25827/PCT#3"</f>
        <v>ACCT#912897/BOL#25827/PCT#3</v>
      </c>
    </row>
    <row r="627" spans="1:8" x14ac:dyDescent="0.25">
      <c r="E627" t="str">
        <f>"9402159795"</f>
        <v>9402159795</v>
      </c>
      <c r="F627" t="str">
        <f>"ACCT#912897/BOL#25830/PCT#3"</f>
        <v>ACCT#912897/BOL#25830/PCT#3</v>
      </c>
      <c r="G627" s="2">
        <v>16630.830000000002</v>
      </c>
      <c r="H627" t="str">
        <f>"ACCT#912897/BOL#25830/PCT#3"</f>
        <v>ACCT#912897/BOL#25830/PCT#3</v>
      </c>
    </row>
    <row r="628" spans="1:8" x14ac:dyDescent="0.25">
      <c r="E628" t="str">
        <f>"9402159796"</f>
        <v>9402159796</v>
      </c>
      <c r="F628" t="str">
        <f>"ACCT#912897/BOL#25834/PCT#3"</f>
        <v>ACCT#912897/BOL#25834/PCT#3</v>
      </c>
      <c r="G628" s="2">
        <v>16279</v>
      </c>
      <c r="H628" t="str">
        <f>"ACCT#912897/BOL#25834/PCT#3"</f>
        <v>ACCT#912897/BOL#25834/PCT#3</v>
      </c>
    </row>
    <row r="629" spans="1:8" x14ac:dyDescent="0.25">
      <c r="A629" t="s">
        <v>177</v>
      </c>
      <c r="B629">
        <v>1816</v>
      </c>
      <c r="C629" s="2">
        <v>804</v>
      </c>
      <c r="D629" s="1">
        <v>43795</v>
      </c>
      <c r="E629" t="str">
        <f>"3424937"</f>
        <v>3424937</v>
      </c>
      <c r="F629" t="str">
        <f>"ACCT#00405/PCT#3"</f>
        <v>ACCT#00405/PCT#3</v>
      </c>
      <c r="G629" s="2">
        <v>804</v>
      </c>
      <c r="H629" t="str">
        <f>"ACCT#00405/PCT#3"</f>
        <v>ACCT#00405/PCT#3</v>
      </c>
    </row>
    <row r="630" spans="1:8" x14ac:dyDescent="0.25">
      <c r="A630" t="s">
        <v>178</v>
      </c>
      <c r="B630">
        <v>1727</v>
      </c>
      <c r="C630" s="2">
        <v>8623.11</v>
      </c>
      <c r="D630" s="1">
        <v>43782</v>
      </c>
      <c r="E630" t="str">
        <f>"201910312815"</f>
        <v>201910312815</v>
      </c>
      <c r="F630" t="str">
        <f>"GRANT REIMBURSEMENT"</f>
        <v>GRANT REIMBURSEMENT</v>
      </c>
      <c r="G630" s="2">
        <v>8623.11</v>
      </c>
      <c r="H630" t="str">
        <f>"GRANT REIMBURSEMENT"</f>
        <v>GRANT REIMBURSEMENT</v>
      </c>
    </row>
    <row r="631" spans="1:8" x14ac:dyDescent="0.25">
      <c r="A631" t="s">
        <v>179</v>
      </c>
      <c r="B631">
        <v>84722</v>
      </c>
      <c r="C631" s="2">
        <v>54.41</v>
      </c>
      <c r="D631" s="1">
        <v>43781</v>
      </c>
      <c r="E631" t="str">
        <f>"2483*73*1"</f>
        <v>2483*73*1</v>
      </c>
      <c r="F631" t="str">
        <f>"JAIL MEDICAL"</f>
        <v>JAIL MEDICAL</v>
      </c>
      <c r="G631" s="2">
        <v>54.41</v>
      </c>
      <c r="H631" t="str">
        <f>"JAIL MEDICAL"</f>
        <v>JAIL MEDICAL</v>
      </c>
    </row>
    <row r="632" spans="1:8" x14ac:dyDescent="0.25">
      <c r="A632" t="s">
        <v>179</v>
      </c>
      <c r="B632">
        <v>129731</v>
      </c>
      <c r="C632" s="2">
        <v>66.540000000000006</v>
      </c>
      <c r="D632" s="1">
        <v>43794</v>
      </c>
      <c r="E632" t="str">
        <f>"201911203483"</f>
        <v>201911203483</v>
      </c>
      <c r="F632" t="str">
        <f>"INDIGENT HEALTH"</f>
        <v>INDIGENT HEALTH</v>
      </c>
      <c r="G632" s="2">
        <v>66.540000000000006</v>
      </c>
      <c r="H632" t="str">
        <f>"INDIGENT HEALTH"</f>
        <v>INDIGENT HEALTH</v>
      </c>
    </row>
    <row r="633" spans="1:8" x14ac:dyDescent="0.25">
      <c r="A633" t="s">
        <v>180</v>
      </c>
      <c r="B633">
        <v>129732</v>
      </c>
      <c r="C633" s="2">
        <v>59</v>
      </c>
      <c r="D633" s="1">
        <v>43794</v>
      </c>
      <c r="E633" t="str">
        <f>"4032821"</f>
        <v>4032821</v>
      </c>
      <c r="F633" t="str">
        <f>"ACCT#1090/DRUG SCREEN FULL"</f>
        <v>ACCT#1090/DRUG SCREEN FULL</v>
      </c>
      <c r="G633" s="2">
        <v>59</v>
      </c>
      <c r="H633" t="str">
        <f>"ACCT#1090/DRUG SCREEN FULL"</f>
        <v>ACCT#1090/DRUG SCREEN FULL</v>
      </c>
    </row>
    <row r="634" spans="1:8" x14ac:dyDescent="0.25">
      <c r="A634" t="s">
        <v>181</v>
      </c>
      <c r="B634">
        <v>1753</v>
      </c>
      <c r="C634" s="2">
        <v>150</v>
      </c>
      <c r="D634" s="1">
        <v>43795</v>
      </c>
      <c r="E634" t="str">
        <f>"201911203484"</f>
        <v>201911203484</v>
      </c>
      <c r="F634" t="str">
        <f>"INDIGENT HEALTH"</f>
        <v>INDIGENT HEALTH</v>
      </c>
      <c r="G634" s="2">
        <v>150</v>
      </c>
      <c r="H634" t="str">
        <f>"INDIGENT HEALTH"</f>
        <v>INDIGENT HEALTH</v>
      </c>
    </row>
    <row r="635" spans="1:8" x14ac:dyDescent="0.25">
      <c r="A635" t="s">
        <v>182</v>
      </c>
      <c r="B635">
        <v>84723</v>
      </c>
      <c r="C635" s="2">
        <v>29.73</v>
      </c>
      <c r="D635" s="1">
        <v>43781</v>
      </c>
      <c r="E635" t="str">
        <f>"7514538"</f>
        <v>7514538</v>
      </c>
      <c r="F635" t="str">
        <f>"CUST#306066/CEDAR CREEK PARK"</f>
        <v>CUST#306066/CEDAR CREEK PARK</v>
      </c>
      <c r="G635" s="2">
        <v>29.73</v>
      </c>
      <c r="H635" t="str">
        <f>"CUST#306066/CEDAR CREEK PARK"</f>
        <v>CUST#306066/CEDAR CREEK PARK</v>
      </c>
    </row>
    <row r="636" spans="1:8" x14ac:dyDescent="0.25">
      <c r="A636" t="s">
        <v>183</v>
      </c>
      <c r="B636">
        <v>129733</v>
      </c>
      <c r="C636" s="2">
        <v>4225</v>
      </c>
      <c r="D636" s="1">
        <v>43794</v>
      </c>
      <c r="E636" t="str">
        <f>"19971 -7"</f>
        <v>19971 -7</v>
      </c>
      <c r="F636" t="str">
        <f>"CLIENT ID:19971/DATA STORAGE"</f>
        <v>CLIENT ID:19971/DATA STORAGE</v>
      </c>
      <c r="G636" s="2">
        <v>1375</v>
      </c>
      <c r="H636" t="str">
        <f>"CLIENT ID:19971/DATA STORAGE"</f>
        <v>CLIENT ID:19971/DATA STORAGE</v>
      </c>
    </row>
    <row r="637" spans="1:8" x14ac:dyDescent="0.25">
      <c r="E637" t="str">
        <f>"19971-7"</f>
        <v>19971-7</v>
      </c>
      <c r="F637" t="str">
        <f>"CLIENT ID:19971/DATA STORAGE"</f>
        <v>CLIENT ID:19971/DATA STORAGE</v>
      </c>
      <c r="G637" s="2">
        <v>2850</v>
      </c>
      <c r="H637" t="str">
        <f>"CLIENT ID:19971/DATA STORAGE"</f>
        <v>CLIENT ID:19971/DATA STORAGE</v>
      </c>
    </row>
    <row r="638" spans="1:8" x14ac:dyDescent="0.25">
      <c r="A638" t="s">
        <v>184</v>
      </c>
      <c r="B638">
        <v>129734</v>
      </c>
      <c r="C638" s="2">
        <v>200.44</v>
      </c>
      <c r="D638" s="1">
        <v>43794</v>
      </c>
      <c r="E638" t="str">
        <f>"39435209"</f>
        <v>39435209</v>
      </c>
      <c r="F638" t="str">
        <f>"ACCT#80975/CONVEX MIRROR/P2"</f>
        <v>ACCT#80975/CONVEX MIRROR/P2</v>
      </c>
      <c r="G638" s="2">
        <v>35.28</v>
      </c>
      <c r="H638" t="str">
        <f>"ACCT#80975/CONVEX MIRROR/P2"</f>
        <v>ACCT#80975/CONVEX MIRROR/P2</v>
      </c>
    </row>
    <row r="639" spans="1:8" x14ac:dyDescent="0.25">
      <c r="E639" t="str">
        <f>"40042515"</f>
        <v>40042515</v>
      </c>
      <c r="F639" t="str">
        <f>"ACCT#80975-001/PCT#3"</f>
        <v>ACCT#80975-001/PCT#3</v>
      </c>
      <c r="G639" s="2">
        <v>64.67</v>
      </c>
      <c r="H639" t="str">
        <f>"ACCT#80975-001/PCT#3"</f>
        <v>ACCT#80975-001/PCT#3</v>
      </c>
    </row>
    <row r="640" spans="1:8" x14ac:dyDescent="0.25">
      <c r="E640" t="str">
        <f>"40047640"</f>
        <v>40047640</v>
      </c>
      <c r="F640" t="str">
        <f>"ACCT#80975-001/PCT#3"</f>
        <v>ACCT#80975-001/PCT#3</v>
      </c>
      <c r="G640" s="2">
        <v>100.49</v>
      </c>
      <c r="H640" t="str">
        <f>"ACCT#80975-001/PCT#3"</f>
        <v>ACCT#80975-001/PCT#3</v>
      </c>
    </row>
    <row r="641" spans="1:8" x14ac:dyDescent="0.25">
      <c r="A641" t="s">
        <v>185</v>
      </c>
      <c r="B641">
        <v>84724</v>
      </c>
      <c r="C641" s="2">
        <v>50</v>
      </c>
      <c r="D641" s="1">
        <v>43781</v>
      </c>
      <c r="E641" t="str">
        <f>"201911063043"</f>
        <v>201911063043</v>
      </c>
      <c r="F641" t="str">
        <f>"RESTITUTION"</f>
        <v>RESTITUTION</v>
      </c>
      <c r="G641" s="2">
        <v>50</v>
      </c>
      <c r="H641" t="str">
        <f>"RESTITUTION"</f>
        <v>RESTITUTION</v>
      </c>
    </row>
    <row r="642" spans="1:8" x14ac:dyDescent="0.25">
      <c r="A642" t="s">
        <v>186</v>
      </c>
      <c r="B642">
        <v>129735</v>
      </c>
      <c r="C642" s="2">
        <v>1032.5</v>
      </c>
      <c r="D642" s="1">
        <v>43794</v>
      </c>
      <c r="E642" t="str">
        <f>"71297"</f>
        <v>71297</v>
      </c>
      <c r="F642" t="str">
        <f>"CASE ID:15 914"</f>
        <v>CASE ID:15 914</v>
      </c>
      <c r="G642" s="2">
        <v>73.75</v>
      </c>
      <c r="H642" t="str">
        <f>"CASE ID:15 914"</f>
        <v>CASE ID:15 914</v>
      </c>
    </row>
    <row r="643" spans="1:8" x14ac:dyDescent="0.25">
      <c r="E643" t="str">
        <f>"71404"</f>
        <v>71404</v>
      </c>
      <c r="F643" t="str">
        <f>"CASE ID:15 914"</f>
        <v>CASE ID:15 914</v>
      </c>
      <c r="G643" s="2">
        <v>958.75</v>
      </c>
      <c r="H643" t="str">
        <f>"CASE ID:15 914"</f>
        <v>CASE ID:15 914</v>
      </c>
    </row>
    <row r="644" spans="1:8" x14ac:dyDescent="0.25">
      <c r="A644" t="s">
        <v>187</v>
      </c>
      <c r="B644">
        <v>84725</v>
      </c>
      <c r="C644" s="2">
        <v>80</v>
      </c>
      <c r="D644" s="1">
        <v>43781</v>
      </c>
      <c r="E644" t="str">
        <f>"9545"</f>
        <v>9545</v>
      </c>
      <c r="F644" t="str">
        <f>"SERVICE"</f>
        <v>SERVICE</v>
      </c>
      <c r="G644" s="2">
        <v>80</v>
      </c>
      <c r="H644" t="str">
        <f>"SERVICE"</f>
        <v>SERVICE</v>
      </c>
    </row>
    <row r="645" spans="1:8" x14ac:dyDescent="0.25">
      <c r="A645" t="s">
        <v>188</v>
      </c>
      <c r="B645">
        <v>129736</v>
      </c>
      <c r="C645" s="2">
        <v>240</v>
      </c>
      <c r="D645" s="1">
        <v>43794</v>
      </c>
      <c r="E645" t="str">
        <f>"12890"</f>
        <v>12890</v>
      </c>
      <c r="F645" t="str">
        <f>"SERVICE  08/26/19"</f>
        <v>SERVICE  08/26/19</v>
      </c>
      <c r="G645" s="2">
        <v>240</v>
      </c>
      <c r="H645" t="str">
        <f>"SERVICE  08/26/19"</f>
        <v>SERVICE  08/26/19</v>
      </c>
    </row>
    <row r="646" spans="1:8" x14ac:dyDescent="0.25">
      <c r="A646" t="s">
        <v>187</v>
      </c>
      <c r="B646">
        <v>129737</v>
      </c>
      <c r="C646" s="2">
        <v>320</v>
      </c>
      <c r="D646" s="1">
        <v>43794</v>
      </c>
      <c r="E646" t="str">
        <f>"12847"</f>
        <v>12847</v>
      </c>
      <c r="F646" t="str">
        <f>"SERVICE  08/26/19"</f>
        <v>SERVICE  08/26/19</v>
      </c>
      <c r="G646" s="2">
        <v>160</v>
      </c>
      <c r="H646" t="str">
        <f>"SERVICE  08/26/19"</f>
        <v>SERVICE  08/26/19</v>
      </c>
    </row>
    <row r="647" spans="1:8" x14ac:dyDescent="0.25">
      <c r="E647" t="str">
        <f>"12890"</f>
        <v>12890</v>
      </c>
      <c r="F647" t="str">
        <f>"SERVICE  08/26/19"</f>
        <v>SERVICE  08/26/19</v>
      </c>
      <c r="G647" s="2">
        <v>160</v>
      </c>
      <c r="H647" t="str">
        <f>"SERVICE  08/26/19"</f>
        <v>SERVICE  08/26/19</v>
      </c>
    </row>
    <row r="648" spans="1:8" x14ac:dyDescent="0.25">
      <c r="A648" t="s">
        <v>189</v>
      </c>
      <c r="B648">
        <v>1718</v>
      </c>
      <c r="C648" s="2">
        <v>271.94</v>
      </c>
      <c r="D648" s="1">
        <v>43782</v>
      </c>
      <c r="E648" t="str">
        <f>"201911042870"</f>
        <v>201911042870</v>
      </c>
      <c r="F648" t="str">
        <f>"SMITHVILLE CHAMBER LUNCHEON"</f>
        <v>SMITHVILLE CHAMBER LUNCHEON</v>
      </c>
      <c r="G648" s="2">
        <v>15</v>
      </c>
      <c r="H648" t="str">
        <f>"SMITHVILLE CHAMBER LUNCHEON"</f>
        <v>SMITHVILLE CHAMBER LUNCHEON</v>
      </c>
    </row>
    <row r="649" spans="1:8" x14ac:dyDescent="0.25">
      <c r="E649" t="str">
        <f>"201911042871"</f>
        <v>201911042871</v>
      </c>
      <c r="F649" t="str">
        <f>"REIMBURSE MILEAGE"</f>
        <v>REIMBURSE MILEAGE</v>
      </c>
      <c r="G649" s="2">
        <v>256.94</v>
      </c>
      <c r="H649" t="str">
        <f>"REIMBURSE MILEAGE"</f>
        <v>REIMBURSE MILEAGE</v>
      </c>
    </row>
    <row r="650" spans="1:8" x14ac:dyDescent="0.25">
      <c r="A650" t="s">
        <v>189</v>
      </c>
      <c r="B650">
        <v>1787</v>
      </c>
      <c r="C650" s="2">
        <v>33.299999999999997</v>
      </c>
      <c r="D650" s="1">
        <v>43795</v>
      </c>
      <c r="E650" t="str">
        <f>"201911193319"</f>
        <v>201911193319</v>
      </c>
      <c r="F650" t="str">
        <f>"REIMBURSE POSTAGE/LUNCHEON"</f>
        <v>REIMBURSE POSTAGE/LUNCHEON</v>
      </c>
      <c r="G650" s="2">
        <v>33.299999999999997</v>
      </c>
      <c r="H650" t="str">
        <f>"REIMBURSE POSTAGE/LUNCHEON"</f>
        <v>REIMBURSE POSTAGE/LUNCHEON</v>
      </c>
    </row>
    <row r="651" spans="1:8" x14ac:dyDescent="0.25">
      <c r="A651" t="s">
        <v>190</v>
      </c>
      <c r="B651">
        <v>1722</v>
      </c>
      <c r="C651" s="2">
        <v>731.24</v>
      </c>
      <c r="D651" s="1">
        <v>43782</v>
      </c>
      <c r="E651" t="str">
        <f>"AP414436"</f>
        <v>AP414436</v>
      </c>
      <c r="F651" t="str">
        <f>"ACCT#3324/PCT#3"</f>
        <v>ACCT#3324/PCT#3</v>
      </c>
      <c r="G651" s="2">
        <v>531.45000000000005</v>
      </c>
      <c r="H651" t="str">
        <f>"ACCT#3324/PCT#3"</f>
        <v>ACCT#3324/PCT#3</v>
      </c>
    </row>
    <row r="652" spans="1:8" x14ac:dyDescent="0.25">
      <c r="E652" t="str">
        <f>"AP414530"</f>
        <v>AP414530</v>
      </c>
      <c r="F652" t="str">
        <f>"ACCT#3324/CONTROL MODUL/PCT#3"</f>
        <v>ACCT#3324/CONTROL MODUL/PCT#3</v>
      </c>
      <c r="G652" s="2">
        <v>199.79</v>
      </c>
      <c r="H652" t="str">
        <f>"ACCT#3324/CONTROL MODUL/PCT#3"</f>
        <v>ACCT#3324/CONTROL MODUL/PCT#3</v>
      </c>
    </row>
    <row r="653" spans="1:8" x14ac:dyDescent="0.25">
      <c r="A653" t="s">
        <v>190</v>
      </c>
      <c r="B653">
        <v>1792</v>
      </c>
      <c r="C653" s="2">
        <v>977.19</v>
      </c>
      <c r="D653" s="1">
        <v>43795</v>
      </c>
      <c r="E653" t="str">
        <f>"AP415709"</f>
        <v>AP415709</v>
      </c>
      <c r="F653" t="str">
        <f>"ACCT#3324/FILTER/PCT#3"</f>
        <v>ACCT#3324/FILTER/PCT#3</v>
      </c>
      <c r="G653" s="2">
        <v>-379.74</v>
      </c>
      <c r="H653" t="str">
        <f>"ACCT#3324/FILTER/PCT#3"</f>
        <v>ACCT#3324/FILTER/PCT#3</v>
      </c>
    </row>
    <row r="654" spans="1:8" x14ac:dyDescent="0.25">
      <c r="E654" t="str">
        <f>"AP412146"</f>
        <v>AP412146</v>
      </c>
      <c r="F654" t="str">
        <f>"ACCT#3325/PCT#2"</f>
        <v>ACCT#3325/PCT#2</v>
      </c>
      <c r="G654" s="2">
        <v>77.56</v>
      </c>
      <c r="H654" t="str">
        <f>"ACCT#3325/PCT#2"</f>
        <v>ACCT#3325/PCT#2</v>
      </c>
    </row>
    <row r="655" spans="1:8" x14ac:dyDescent="0.25">
      <c r="E655" t="str">
        <f>"AP414738"</f>
        <v>AP414738</v>
      </c>
      <c r="F655" t="str">
        <f>"ACCT#3324/PCT#3"</f>
        <v>ACCT#3324/PCT#3</v>
      </c>
      <c r="G655" s="2">
        <v>931.19</v>
      </c>
      <c r="H655" t="str">
        <f>"ACCT#3324/PCT#3"</f>
        <v>ACCT#3324/PCT#3</v>
      </c>
    </row>
    <row r="656" spans="1:8" x14ac:dyDescent="0.25">
      <c r="E656" t="str">
        <f>"AP415711"</f>
        <v>AP415711</v>
      </c>
      <c r="F656" t="str">
        <f>"ACCT#117F/PCT#3"</f>
        <v>ACCT#117F/PCT#3</v>
      </c>
      <c r="G656" s="2">
        <v>97.2</v>
      </c>
      <c r="H656" t="str">
        <f>"ACCT#117F/PCT#3"</f>
        <v>ACCT#117F/PCT#3</v>
      </c>
    </row>
    <row r="657" spans="1:8" x14ac:dyDescent="0.25">
      <c r="E657" t="str">
        <f>"AP415747"</f>
        <v>AP415747</v>
      </c>
      <c r="F657" t="str">
        <f>"ACCT#3325/PCT#2"</f>
        <v>ACCT#3325/PCT#2</v>
      </c>
      <c r="G657" s="2">
        <v>122.9</v>
      </c>
      <c r="H657" t="str">
        <f>"ACCT#3325/PCT#2"</f>
        <v>ACCT#3325/PCT#2</v>
      </c>
    </row>
    <row r="658" spans="1:8" x14ac:dyDescent="0.25">
      <c r="E658" t="str">
        <f>"AP416268"</f>
        <v>AP416268</v>
      </c>
      <c r="F658" t="str">
        <f>"ACCT#3324/LAMP STOP/PCT#3"</f>
        <v>ACCT#3324/LAMP STOP/PCT#3</v>
      </c>
      <c r="G658" s="2">
        <v>128.08000000000001</v>
      </c>
      <c r="H658" t="str">
        <f>"ACCT#3324/LAMP STOP/PCT#3"</f>
        <v>ACCT#3324/LAMP STOP/PCT#3</v>
      </c>
    </row>
    <row r="659" spans="1:8" x14ac:dyDescent="0.25">
      <c r="A659" t="s">
        <v>191</v>
      </c>
      <c r="B659">
        <v>1728</v>
      </c>
      <c r="C659" s="2">
        <v>281.29000000000002</v>
      </c>
      <c r="D659" s="1">
        <v>43782</v>
      </c>
      <c r="E659" t="str">
        <f>"110118"</f>
        <v>110118</v>
      </c>
      <c r="F659" t="str">
        <f>"BUSINESS CARDS-R. SCHNEIDER"</f>
        <v>BUSINESS CARDS-R. SCHNEIDER</v>
      </c>
      <c r="G659" s="2">
        <v>53.53</v>
      </c>
      <c r="H659" t="str">
        <f>"BUSINESS CARDS-R. SCHNEIDER"</f>
        <v>BUSINESS CARDS-R. SCHNEIDER</v>
      </c>
    </row>
    <row r="660" spans="1:8" x14ac:dyDescent="0.25">
      <c r="E660" t="str">
        <f>"110149"</f>
        <v>110149</v>
      </c>
      <c r="F660" t="str">
        <f>"REGULAR ENVELOPES/ENGINEERING"</f>
        <v>REGULAR ENVELOPES/ENGINEERING</v>
      </c>
      <c r="G660" s="2">
        <v>68.86</v>
      </c>
      <c r="H660" t="str">
        <f>"REGULAR ENVELOPES/ENGINEERING"</f>
        <v>REGULAR ENVELOPES/ENGINEERING</v>
      </c>
    </row>
    <row r="661" spans="1:8" x14ac:dyDescent="0.25">
      <c r="E661" t="str">
        <f>"110180"</f>
        <v>110180</v>
      </c>
      <c r="F661" t="str">
        <f>"DEPUTY VOTER ID CARD/ELECTIONS"</f>
        <v>DEPUTY VOTER ID CARD/ELECTIONS</v>
      </c>
      <c r="G661" s="2">
        <v>60.96</v>
      </c>
      <c r="H661" t="str">
        <f>"DEPUTY VOTER ID CARD/ELECTIONS"</f>
        <v>DEPUTY VOTER ID CARD/ELECTIONS</v>
      </c>
    </row>
    <row r="662" spans="1:8" x14ac:dyDescent="0.25">
      <c r="E662" t="str">
        <f>"GC110214"</f>
        <v>GC110214</v>
      </c>
      <c r="F662" t="str">
        <f>"INV GC110214"</f>
        <v>INV GC110214</v>
      </c>
      <c r="G662" s="2">
        <v>97.94</v>
      </c>
      <c r="H662" t="str">
        <f>"INV GC110214"</f>
        <v>INV GC110214</v>
      </c>
    </row>
    <row r="663" spans="1:8" x14ac:dyDescent="0.25">
      <c r="A663" t="s">
        <v>191</v>
      </c>
      <c r="B663">
        <v>1800</v>
      </c>
      <c r="C663" s="2">
        <v>1154.97</v>
      </c>
      <c r="D663" s="1">
        <v>43795</v>
      </c>
      <c r="E663" t="str">
        <f>"110243"</f>
        <v>110243</v>
      </c>
      <c r="F663" t="str">
        <f>"INV GC 110243"</f>
        <v>INV GC 110243</v>
      </c>
      <c r="G663" s="2">
        <v>530.22</v>
      </c>
      <c r="H663" t="str">
        <f>"INV GC 110243"</f>
        <v>INV GC 110243</v>
      </c>
    </row>
    <row r="664" spans="1:8" x14ac:dyDescent="0.25">
      <c r="E664" t="str">
        <f>"110244"</f>
        <v>110244</v>
      </c>
      <c r="F664" t="str">
        <f>"WINDOW/REG ENV/DEVLP SVCS"</f>
        <v>WINDOW/REG ENV/DEVLP SVCS</v>
      </c>
      <c r="G664" s="2">
        <v>167.73</v>
      </c>
      <c r="H664" t="str">
        <f>"WINDOW/REG ENV/DEVLP SVCS"</f>
        <v>WINDOW/REG ENV/DEVLP SVCS</v>
      </c>
    </row>
    <row r="665" spans="1:8" x14ac:dyDescent="0.25">
      <c r="E665" t="str">
        <f>"110277"</f>
        <v>110277</v>
      </c>
      <c r="F665" t="str">
        <f>"OFFICIA; BUDGET/COVERS/AUDITOR"</f>
        <v>OFFICIA; BUDGET/COVERS/AUDITOR</v>
      </c>
      <c r="G665" s="2">
        <v>457.02</v>
      </c>
      <c r="H665" t="str">
        <f>"OFFICIA; BUDGET/COVERS/AUDITOR"</f>
        <v>OFFICIA; BUDGET/COVERS/AUDITOR</v>
      </c>
    </row>
    <row r="666" spans="1:8" x14ac:dyDescent="0.25">
      <c r="A666" t="s">
        <v>192</v>
      </c>
      <c r="B666">
        <v>84726</v>
      </c>
      <c r="C666" s="2">
        <v>897.92</v>
      </c>
      <c r="D666" s="1">
        <v>43781</v>
      </c>
      <c r="E666" t="str">
        <f>"013372983 01407067"</f>
        <v>013372983 01407067</v>
      </c>
      <c r="F666" t="str">
        <f>"INV 013372983/014070674/0"</f>
        <v>INV 013372983/014070674/0</v>
      </c>
      <c r="G666" s="2">
        <v>193</v>
      </c>
      <c r="H666" t="str">
        <f>"INV 013372983"</f>
        <v>INV 013372983</v>
      </c>
    </row>
    <row r="667" spans="1:8" x14ac:dyDescent="0.25">
      <c r="E667" t="str">
        <f>""</f>
        <v/>
      </c>
      <c r="F667" t="str">
        <f>""</f>
        <v/>
      </c>
      <c r="H667" t="str">
        <f>"INV 014070674"</f>
        <v>INV 014070674</v>
      </c>
    </row>
    <row r="668" spans="1:8" x14ac:dyDescent="0.25">
      <c r="E668" t="str">
        <f>""</f>
        <v/>
      </c>
      <c r="F668" t="str">
        <f>""</f>
        <v/>
      </c>
      <c r="H668" t="str">
        <f>"INV 014069900"</f>
        <v>INV 014069900</v>
      </c>
    </row>
    <row r="669" spans="1:8" x14ac:dyDescent="0.25">
      <c r="E669" t="str">
        <f>"013584682"</f>
        <v>013584682</v>
      </c>
      <c r="F669" t="str">
        <f>"INV 013584682"</f>
        <v>INV 013584682</v>
      </c>
      <c r="G669" s="2">
        <v>93.98</v>
      </c>
      <c r="H669" t="str">
        <f>"INV 013584682"</f>
        <v>INV 013584682</v>
      </c>
    </row>
    <row r="670" spans="1:8" x14ac:dyDescent="0.25">
      <c r="E670" t="str">
        <f>"013694728"</f>
        <v>013694728</v>
      </c>
      <c r="F670" t="str">
        <f>"INV 013694728"</f>
        <v>INV 013694728</v>
      </c>
      <c r="G670" s="2">
        <v>7.99</v>
      </c>
      <c r="H670" t="str">
        <f>"INV 013694728"</f>
        <v>INV 013694728</v>
      </c>
    </row>
    <row r="671" spans="1:8" x14ac:dyDescent="0.25">
      <c r="E671" t="str">
        <f>"013943635"</f>
        <v>013943635</v>
      </c>
      <c r="F671" t="str">
        <f>"INV 013943635"</f>
        <v>INV 013943635</v>
      </c>
      <c r="G671" s="2">
        <v>69.95</v>
      </c>
      <c r="H671" t="str">
        <f>"INV 013943635"</f>
        <v>INV 013943635</v>
      </c>
    </row>
    <row r="672" spans="1:8" x14ac:dyDescent="0.25">
      <c r="E672" t="str">
        <f>"014071200"</f>
        <v>014071200</v>
      </c>
      <c r="F672" t="str">
        <f>"INV 014071200"</f>
        <v>INV 014071200</v>
      </c>
      <c r="G672" s="2">
        <v>324.5</v>
      </c>
      <c r="H672" t="str">
        <f>"INV 014071200"</f>
        <v>INV 014071200</v>
      </c>
    </row>
    <row r="673" spans="1:8" x14ac:dyDescent="0.25">
      <c r="E673" t="str">
        <f>"014110718"</f>
        <v>014110718</v>
      </c>
      <c r="F673" t="str">
        <f>"INV 014110718"</f>
        <v>INV 014110718</v>
      </c>
      <c r="G673" s="2">
        <v>208.5</v>
      </c>
      <c r="H673" t="str">
        <f>"INV 014110718"</f>
        <v>INV 014110718</v>
      </c>
    </row>
    <row r="674" spans="1:8" x14ac:dyDescent="0.25">
      <c r="A674" t="s">
        <v>192</v>
      </c>
      <c r="B674">
        <v>129738</v>
      </c>
      <c r="C674" s="2">
        <v>24</v>
      </c>
      <c r="D674" s="1">
        <v>43794</v>
      </c>
      <c r="E674" t="str">
        <f>"014238090"</f>
        <v>014238090</v>
      </c>
      <c r="F674" t="str">
        <f>"INV 014238090"</f>
        <v>INV 014238090</v>
      </c>
      <c r="G674" s="2">
        <v>24</v>
      </c>
      <c r="H674" t="str">
        <f>"INV 014238090"</f>
        <v>INV 014238090</v>
      </c>
    </row>
    <row r="675" spans="1:8" x14ac:dyDescent="0.25">
      <c r="A675" t="s">
        <v>193</v>
      </c>
      <c r="B675">
        <v>129739</v>
      </c>
      <c r="C675" s="2">
        <v>7219.31</v>
      </c>
      <c r="D675" s="1">
        <v>43794</v>
      </c>
      <c r="E675" t="str">
        <f>"201911193317"</f>
        <v>201911193317</v>
      </c>
      <c r="F675" t="str">
        <f>"15 914"</f>
        <v>15 914</v>
      </c>
      <c r="G675" s="2">
        <v>2678.31</v>
      </c>
      <c r="H675" t="str">
        <f>"15 914"</f>
        <v>15 914</v>
      </c>
    </row>
    <row r="676" spans="1:8" x14ac:dyDescent="0.25">
      <c r="E676" t="str">
        <f>"201911193318"</f>
        <v>201911193318</v>
      </c>
      <c r="F676" t="str">
        <f>"15 914"</f>
        <v>15 914</v>
      </c>
      <c r="G676" s="2">
        <v>4541</v>
      </c>
      <c r="H676" t="str">
        <f>"15 914"</f>
        <v>15 914</v>
      </c>
    </row>
    <row r="677" spans="1:8" x14ac:dyDescent="0.25">
      <c r="A677" t="s">
        <v>194</v>
      </c>
      <c r="B677">
        <v>84727</v>
      </c>
      <c r="C677" s="2">
        <v>2473.2800000000002</v>
      </c>
      <c r="D677" s="1">
        <v>43781</v>
      </c>
      <c r="E677" t="str">
        <f>"9339367337"</f>
        <v>9339367337</v>
      </c>
      <c r="F677" t="str">
        <f>"INV 9339367337"</f>
        <v>INV 9339367337</v>
      </c>
      <c r="G677" s="2">
        <v>2473.2800000000002</v>
      </c>
      <c r="H677" t="str">
        <f>"INV 9339367337"</f>
        <v>INV 9339367337</v>
      </c>
    </row>
    <row r="678" spans="1:8" x14ac:dyDescent="0.25">
      <c r="A678" t="s">
        <v>194</v>
      </c>
      <c r="B678">
        <v>129740</v>
      </c>
      <c r="C678" s="2">
        <v>25.1</v>
      </c>
      <c r="D678" s="1">
        <v>43794</v>
      </c>
      <c r="E678" t="str">
        <f>"9342910834"</f>
        <v>9342910834</v>
      </c>
      <c r="F678" t="str">
        <f>"INV 9342910834"</f>
        <v>INV 9342910834</v>
      </c>
      <c r="G678" s="2">
        <v>25.1</v>
      </c>
      <c r="H678" t="str">
        <f>"INV 9342910834"</f>
        <v>INV 9342910834</v>
      </c>
    </row>
    <row r="679" spans="1:8" x14ac:dyDescent="0.25">
      <c r="A679" t="s">
        <v>195</v>
      </c>
      <c r="B679">
        <v>129741</v>
      </c>
      <c r="C679" s="2">
        <v>111742</v>
      </c>
      <c r="D679" s="1">
        <v>43794</v>
      </c>
      <c r="E679" t="str">
        <f>"201911183303"</f>
        <v>201911183303</v>
      </c>
      <c r="F679" t="str">
        <f>"Dodge 1500 quad cab"</f>
        <v>Dodge 1500 quad cab</v>
      </c>
      <c r="G679" s="2">
        <v>42452</v>
      </c>
      <c r="H679" t="str">
        <f>"Dodge 1500 quad cab"</f>
        <v>Dodge 1500 quad cab</v>
      </c>
    </row>
    <row r="680" spans="1:8" x14ac:dyDescent="0.25">
      <c r="E680" t="str">
        <f>"201911183304"</f>
        <v>201911183304</v>
      </c>
      <c r="F680" t="str">
        <f>"GRAPEVINE DODGE CHRYSLER JEEP"</f>
        <v>GRAPEVINE DODGE CHRYSLER JEEP</v>
      </c>
      <c r="G680" s="2">
        <v>69290</v>
      </c>
      <c r="H680" t="str">
        <f>"Dodge 2500 4X4"</f>
        <v>Dodge 2500 4X4</v>
      </c>
    </row>
    <row r="681" spans="1:8" x14ac:dyDescent="0.25">
      <c r="E681" t="str">
        <f>""</f>
        <v/>
      </c>
      <c r="F681" t="str">
        <f>""</f>
        <v/>
      </c>
      <c r="H681" t="str">
        <f>"Dodge 2500 4X2"</f>
        <v>Dodge 2500 4X2</v>
      </c>
    </row>
    <row r="682" spans="1:8" x14ac:dyDescent="0.25">
      <c r="E682" t="str">
        <f>""</f>
        <v/>
      </c>
      <c r="F682" t="str">
        <f>""</f>
        <v/>
      </c>
      <c r="H682" t="str">
        <f>"Goodbuy Fee"</f>
        <v>Goodbuy Fee</v>
      </c>
    </row>
    <row r="683" spans="1:8" x14ac:dyDescent="0.25">
      <c r="A683" t="s">
        <v>196</v>
      </c>
      <c r="B683">
        <v>129742</v>
      </c>
      <c r="C683" s="2">
        <v>3123.36</v>
      </c>
      <c r="D683" s="1">
        <v>43794</v>
      </c>
      <c r="E683" t="str">
        <f>"219268"</f>
        <v>219268</v>
      </c>
      <c r="F683" t="str">
        <f>"Courthouse UPS maintenanc"</f>
        <v>Courthouse UPS maintenanc</v>
      </c>
      <c r="G683" s="2">
        <v>3123.36</v>
      </c>
      <c r="H683" t="str">
        <f>"payment"</f>
        <v>payment</v>
      </c>
    </row>
    <row r="684" spans="1:8" x14ac:dyDescent="0.25">
      <c r="E684" t="str">
        <f>""</f>
        <v/>
      </c>
      <c r="F684" t="str">
        <f>""</f>
        <v/>
      </c>
      <c r="H684" t="str">
        <f>"payment"</f>
        <v>payment</v>
      </c>
    </row>
    <row r="685" spans="1:8" x14ac:dyDescent="0.25">
      <c r="A685" t="s">
        <v>197</v>
      </c>
      <c r="B685">
        <v>1801</v>
      </c>
      <c r="C685" s="2">
        <v>850</v>
      </c>
      <c r="D685" s="1">
        <v>43795</v>
      </c>
      <c r="E685" t="str">
        <f>"INV0737041"</f>
        <v>INV0737041</v>
      </c>
      <c r="F685" t="str">
        <f>"INV0737041"</f>
        <v>INV0737041</v>
      </c>
      <c r="G685" s="2">
        <v>850</v>
      </c>
      <c r="H685" t="str">
        <f>"INV0737041"</f>
        <v>INV0737041</v>
      </c>
    </row>
    <row r="686" spans="1:8" x14ac:dyDescent="0.25">
      <c r="E686" t="str">
        <f>""</f>
        <v/>
      </c>
      <c r="F686" t="str">
        <f>""</f>
        <v/>
      </c>
      <c r="H686" t="str">
        <f>"INV0737041"</f>
        <v>INV0737041</v>
      </c>
    </row>
    <row r="687" spans="1:8" x14ac:dyDescent="0.25">
      <c r="A687" t="s">
        <v>198</v>
      </c>
      <c r="B687">
        <v>1737</v>
      </c>
      <c r="C687" s="2">
        <v>618.15</v>
      </c>
      <c r="D687" s="1">
        <v>43782</v>
      </c>
      <c r="E687" t="str">
        <f>"1760234"</f>
        <v>1760234</v>
      </c>
      <c r="F687" t="str">
        <f>"INV# 1760234"</f>
        <v>INV# 1760234</v>
      </c>
      <c r="G687" s="2">
        <v>618.15</v>
      </c>
      <c r="H687" t="str">
        <f>"INV# 1760234"</f>
        <v>INV# 1760234</v>
      </c>
    </row>
    <row r="688" spans="1:8" x14ac:dyDescent="0.25">
      <c r="A688" t="s">
        <v>198</v>
      </c>
      <c r="B688">
        <v>1818</v>
      </c>
      <c r="C688" s="2">
        <v>2460.31</v>
      </c>
      <c r="D688" s="1">
        <v>43795</v>
      </c>
      <c r="E688" t="str">
        <f>"1764006"</f>
        <v>1764006</v>
      </c>
      <c r="F688" t="str">
        <f>"INV 1764006"</f>
        <v>INV 1764006</v>
      </c>
      <c r="G688" s="2">
        <v>33.21</v>
      </c>
      <c r="H688" t="str">
        <f>"INV 1764006"</f>
        <v>INV 1764006</v>
      </c>
    </row>
    <row r="689" spans="1:8" x14ac:dyDescent="0.25">
      <c r="E689" t="str">
        <f>"1764009"</f>
        <v>1764009</v>
      </c>
      <c r="F689" t="str">
        <f>"INV 1764009"</f>
        <v>INV 1764009</v>
      </c>
      <c r="G689" s="2">
        <v>1966.5</v>
      </c>
      <c r="H689" t="str">
        <f>"INV 1764009"</f>
        <v>INV 1764009</v>
      </c>
    </row>
    <row r="690" spans="1:8" x14ac:dyDescent="0.25">
      <c r="E690" t="str">
        <f>"1767901 1764008"</f>
        <v>1767901 1764008</v>
      </c>
      <c r="F690" t="str">
        <f>"INV 1767901"</f>
        <v>INV 1767901</v>
      </c>
      <c r="G690" s="2">
        <v>460.6</v>
      </c>
      <c r="H690" t="str">
        <f>"INV 1767901"</f>
        <v>INV 1767901</v>
      </c>
    </row>
    <row r="691" spans="1:8" x14ac:dyDescent="0.25">
      <c r="E691" t="str">
        <f>""</f>
        <v/>
      </c>
      <c r="F691" t="str">
        <f>""</f>
        <v/>
      </c>
      <c r="H691" t="str">
        <f>"INV 1764008"</f>
        <v>INV 1764008</v>
      </c>
    </row>
    <row r="692" spans="1:8" x14ac:dyDescent="0.25">
      <c r="A692" t="s">
        <v>199</v>
      </c>
      <c r="B692">
        <v>1814</v>
      </c>
      <c r="C692" s="2">
        <v>57303.26</v>
      </c>
      <c r="D692" s="1">
        <v>43795</v>
      </c>
      <c r="E692" t="str">
        <f>"10030523"</f>
        <v>10030523</v>
      </c>
      <c r="F692" t="str">
        <f>"PROJ#035837.001"</f>
        <v>PROJ#035837.001</v>
      </c>
      <c r="G692" s="2">
        <v>57303.26</v>
      </c>
      <c r="H692" t="str">
        <f>"PROJ#035837.001"</f>
        <v>PROJ#035837.001</v>
      </c>
    </row>
    <row r="693" spans="1:8" x14ac:dyDescent="0.25">
      <c r="A693" t="s">
        <v>200</v>
      </c>
      <c r="B693">
        <v>129743</v>
      </c>
      <c r="C693" s="2">
        <v>1521.75</v>
      </c>
      <c r="D693" s="1">
        <v>43794</v>
      </c>
      <c r="E693" t="str">
        <f>"201911143257"</f>
        <v>201911143257</v>
      </c>
      <c r="F693" t="str">
        <f>"REFUND-HOT TAX"</f>
        <v>REFUND-HOT TAX</v>
      </c>
      <c r="G693" s="2">
        <v>1521.75</v>
      </c>
      <c r="H693" t="str">
        <f>"REFUND-HOT TAX"</f>
        <v>REFUND-HOT TAX</v>
      </c>
    </row>
    <row r="694" spans="1:8" x14ac:dyDescent="0.25">
      <c r="A694" t="s">
        <v>201</v>
      </c>
      <c r="B694">
        <v>84728</v>
      </c>
      <c r="C694" s="2">
        <v>75</v>
      </c>
      <c r="D694" s="1">
        <v>43781</v>
      </c>
      <c r="E694" t="str">
        <f>"12889"</f>
        <v>12889</v>
      </c>
      <c r="F694" t="str">
        <f>"SERVICE"</f>
        <v>SERVICE</v>
      </c>
      <c r="G694" s="2">
        <v>75</v>
      </c>
      <c r="H694" t="str">
        <f>"SERVICE"</f>
        <v>SERVICE</v>
      </c>
    </row>
    <row r="695" spans="1:8" x14ac:dyDescent="0.25">
      <c r="A695" t="s">
        <v>201</v>
      </c>
      <c r="B695">
        <v>129744</v>
      </c>
      <c r="C695" s="2">
        <v>225</v>
      </c>
      <c r="D695" s="1">
        <v>43794</v>
      </c>
      <c r="E695" t="str">
        <f>"12890"</f>
        <v>12890</v>
      </c>
      <c r="F695" t="str">
        <f>"SERVICE  08/26/19"</f>
        <v>SERVICE  08/26/19</v>
      </c>
      <c r="G695" s="2">
        <v>225</v>
      </c>
      <c r="H695" t="str">
        <f>"SERVICE  08/26/19"</f>
        <v>SERVICE  08/26/19</v>
      </c>
    </row>
    <row r="696" spans="1:8" x14ac:dyDescent="0.25">
      <c r="A696" t="s">
        <v>202</v>
      </c>
      <c r="B696">
        <v>84729</v>
      </c>
      <c r="C696" s="2">
        <v>2500</v>
      </c>
      <c r="D696" s="1">
        <v>43781</v>
      </c>
      <c r="E696" t="str">
        <f>"INV23201"</f>
        <v>INV23201</v>
      </c>
      <c r="F696" t="str">
        <f>"Cell Hawk upgrade to unli"</f>
        <v>Cell Hawk upgrade to unli</v>
      </c>
      <c r="G696" s="2">
        <v>2500</v>
      </c>
      <c r="H696" t="str">
        <f>"CellHawk Subscriptio"</f>
        <v>CellHawk Subscriptio</v>
      </c>
    </row>
    <row r="697" spans="1:8" x14ac:dyDescent="0.25">
      <c r="A697" t="s">
        <v>203</v>
      </c>
      <c r="B697">
        <v>129745</v>
      </c>
      <c r="C697" s="2">
        <v>366</v>
      </c>
      <c r="D697" s="1">
        <v>43794</v>
      </c>
      <c r="E697" t="str">
        <f>"09171900"</f>
        <v>09171900</v>
      </c>
      <c r="F697" t="str">
        <f>"GRAND JURY TESTIMONY"</f>
        <v>GRAND JURY TESTIMONY</v>
      </c>
      <c r="G697" s="2">
        <v>366</v>
      </c>
      <c r="H697" t="str">
        <f>"GRAND JURY TESTIMONY"</f>
        <v>GRAND JURY TESTIMONY</v>
      </c>
    </row>
    <row r="698" spans="1:8" x14ac:dyDescent="0.25">
      <c r="A698" t="s">
        <v>204</v>
      </c>
      <c r="B698">
        <v>84730</v>
      </c>
      <c r="C698" s="2">
        <v>150</v>
      </c>
      <c r="D698" s="1">
        <v>43781</v>
      </c>
      <c r="E698" t="str">
        <f>"12786"</f>
        <v>12786</v>
      </c>
      <c r="F698" t="str">
        <f>"SERVICE"</f>
        <v>SERVICE</v>
      </c>
      <c r="G698" s="2">
        <v>150</v>
      </c>
      <c r="H698" t="str">
        <f>"SERVICE"</f>
        <v>SERVICE</v>
      </c>
    </row>
    <row r="699" spans="1:8" x14ac:dyDescent="0.25">
      <c r="A699" t="s">
        <v>205</v>
      </c>
      <c r="B699">
        <v>129746</v>
      </c>
      <c r="C699" s="2">
        <v>338.2</v>
      </c>
      <c r="D699" s="1">
        <v>43794</v>
      </c>
      <c r="E699" t="str">
        <f>"26939"</f>
        <v>26939</v>
      </c>
      <c r="F699" t="str">
        <f>"ACCT#937/PCT#3"</f>
        <v>ACCT#937/PCT#3</v>
      </c>
      <c r="G699" s="2">
        <v>338.2</v>
      </c>
      <c r="H699" t="str">
        <f>"ACCT#937/PCT#3"</f>
        <v>ACCT#937/PCT#3</v>
      </c>
    </row>
    <row r="700" spans="1:8" x14ac:dyDescent="0.25">
      <c r="A700" t="s">
        <v>206</v>
      </c>
      <c r="B700">
        <v>84731</v>
      </c>
      <c r="C700" s="2">
        <v>340</v>
      </c>
      <c r="D700" s="1">
        <v>43781</v>
      </c>
      <c r="E700" t="str">
        <f>"201911052976"</f>
        <v>201911052976</v>
      </c>
      <c r="F700" t="str">
        <f>"INV  DATED 09/09/2019"</f>
        <v>INV  DATED 09/09/2019</v>
      </c>
      <c r="G700" s="2">
        <v>340</v>
      </c>
      <c r="H700" t="str">
        <f>"INV  DATED 09/09/2019"</f>
        <v>INV  DATED 09/09/2019</v>
      </c>
    </row>
    <row r="701" spans="1:8" x14ac:dyDescent="0.25">
      <c r="A701" t="s">
        <v>207</v>
      </c>
      <c r="B701">
        <v>84732</v>
      </c>
      <c r="C701" s="2">
        <v>75</v>
      </c>
      <c r="D701" s="1">
        <v>43781</v>
      </c>
      <c r="E701" t="str">
        <f>"201911012844"</f>
        <v>201911012844</v>
      </c>
      <c r="F701" t="str">
        <f>"FERAL HOGS"</f>
        <v>FERAL HOGS</v>
      </c>
      <c r="G701" s="2">
        <v>75</v>
      </c>
      <c r="H701" t="str">
        <f>"FERAL HOGS"</f>
        <v>FERAL HOGS</v>
      </c>
    </row>
    <row r="702" spans="1:8" x14ac:dyDescent="0.25">
      <c r="A702" t="s">
        <v>208</v>
      </c>
      <c r="B702">
        <v>84733</v>
      </c>
      <c r="C702" s="2">
        <v>100</v>
      </c>
      <c r="D702" s="1">
        <v>43781</v>
      </c>
      <c r="E702" t="str">
        <f>"201911063044"</f>
        <v>201911063044</v>
      </c>
      <c r="F702" t="str">
        <f>"RESTITUTION"</f>
        <v>RESTITUTION</v>
      </c>
      <c r="G702" s="2">
        <v>100</v>
      </c>
      <c r="H702" t="str">
        <f>"RESTITUTION"</f>
        <v>RESTITUTION</v>
      </c>
    </row>
    <row r="703" spans="1:8" x14ac:dyDescent="0.25">
      <c r="A703" t="s">
        <v>209</v>
      </c>
      <c r="B703">
        <v>84734</v>
      </c>
      <c r="C703" s="2">
        <v>228.8</v>
      </c>
      <c r="D703" s="1">
        <v>43781</v>
      </c>
      <c r="E703" t="str">
        <f>"10739430"</f>
        <v>10739430</v>
      </c>
      <c r="F703" t="str">
        <f>"CUST#3324/ORD#50736487-000/P4"</f>
        <v>CUST#3324/ORD#50736487-000/P4</v>
      </c>
      <c r="G703" s="2">
        <v>228.8</v>
      </c>
      <c r="H703" t="str">
        <f>"CUST#3324/ORD#50736487-000/P4"</f>
        <v>CUST#3324/ORD#50736487-000/P4</v>
      </c>
    </row>
    <row r="704" spans="1:8" x14ac:dyDescent="0.25">
      <c r="A704" t="s">
        <v>210</v>
      </c>
      <c r="B704">
        <v>1802</v>
      </c>
      <c r="C704" s="2">
        <v>650</v>
      </c>
      <c r="D704" s="1">
        <v>43795</v>
      </c>
      <c r="E704" t="str">
        <f>"201911193464"</f>
        <v>201911193464</v>
      </c>
      <c r="F704" t="str">
        <f>"BASCOM L HODGES JR"</f>
        <v>BASCOM L HODGES JR</v>
      </c>
      <c r="G704" s="2">
        <v>650</v>
      </c>
      <c r="H704" t="str">
        <f>""</f>
        <v/>
      </c>
    </row>
    <row r="705" spans="1:8" x14ac:dyDescent="0.25">
      <c r="A705" t="s">
        <v>211</v>
      </c>
      <c r="B705">
        <v>84735</v>
      </c>
      <c r="C705" s="2">
        <v>600</v>
      </c>
      <c r="D705" s="1">
        <v>43781</v>
      </c>
      <c r="E705" t="str">
        <f>"201911052910"</f>
        <v>201911052910</v>
      </c>
      <c r="F705" t="str">
        <f>"56 714"</f>
        <v>56 714</v>
      </c>
      <c r="G705" s="2">
        <v>250</v>
      </c>
      <c r="H705" t="str">
        <f>"56 714"</f>
        <v>56 714</v>
      </c>
    </row>
    <row r="706" spans="1:8" x14ac:dyDescent="0.25">
      <c r="E706" t="str">
        <f>"201911052911"</f>
        <v>201911052911</v>
      </c>
      <c r="F706" t="str">
        <f>"55671"</f>
        <v>55671</v>
      </c>
      <c r="G706" s="2">
        <v>250</v>
      </c>
      <c r="H706" t="str">
        <f>"55671"</f>
        <v>55671</v>
      </c>
    </row>
    <row r="707" spans="1:8" x14ac:dyDescent="0.25">
      <c r="E707" t="str">
        <f>"201911052912"</f>
        <v>201911052912</v>
      </c>
      <c r="F707" t="str">
        <f>"11-14791"</f>
        <v>11-14791</v>
      </c>
      <c r="G707" s="2">
        <v>100</v>
      </c>
      <c r="H707" t="str">
        <f>"11-14791"</f>
        <v>11-14791</v>
      </c>
    </row>
    <row r="708" spans="1:8" x14ac:dyDescent="0.25">
      <c r="A708" t="s">
        <v>211</v>
      </c>
      <c r="B708">
        <v>129747</v>
      </c>
      <c r="C708" s="2">
        <v>875</v>
      </c>
      <c r="D708" s="1">
        <v>43794</v>
      </c>
      <c r="E708" t="str">
        <f>"201911193359"</f>
        <v>201911193359</v>
      </c>
      <c r="F708" t="str">
        <f>"09-13564"</f>
        <v>09-13564</v>
      </c>
      <c r="G708" s="2">
        <v>100</v>
      </c>
      <c r="H708" t="str">
        <f>"09-13564"</f>
        <v>09-13564</v>
      </c>
    </row>
    <row r="709" spans="1:8" x14ac:dyDescent="0.25">
      <c r="E709" t="str">
        <f>"201911193360"</f>
        <v>201911193360</v>
      </c>
      <c r="F709" t="str">
        <f>"19-19456"</f>
        <v>19-19456</v>
      </c>
      <c r="G709" s="2">
        <v>250</v>
      </c>
      <c r="H709" t="str">
        <f>"19-19456"</f>
        <v>19-19456</v>
      </c>
    </row>
    <row r="710" spans="1:8" x14ac:dyDescent="0.25">
      <c r="E710" t="str">
        <f>"201911193361"</f>
        <v>201911193361</v>
      </c>
      <c r="F710" t="str">
        <f>"09-13303"</f>
        <v>09-13303</v>
      </c>
      <c r="G710" s="2">
        <v>100</v>
      </c>
      <c r="H710" t="str">
        <f>"09-13303"</f>
        <v>09-13303</v>
      </c>
    </row>
    <row r="711" spans="1:8" x14ac:dyDescent="0.25">
      <c r="E711" t="str">
        <f>"201911193362"</f>
        <v>201911193362</v>
      </c>
      <c r="F711" t="str">
        <f>"10-14189"</f>
        <v>10-14189</v>
      </c>
      <c r="G711" s="2">
        <v>100</v>
      </c>
      <c r="H711" t="str">
        <f>"10-14189"</f>
        <v>10-14189</v>
      </c>
    </row>
    <row r="712" spans="1:8" x14ac:dyDescent="0.25">
      <c r="E712" t="str">
        <f>"201911193363"</f>
        <v>201911193363</v>
      </c>
      <c r="F712" t="str">
        <f>"18-18864"</f>
        <v>18-18864</v>
      </c>
      <c r="G712" s="2">
        <v>150</v>
      </c>
      <c r="H712" t="str">
        <f>"18-18864"</f>
        <v>18-18864</v>
      </c>
    </row>
    <row r="713" spans="1:8" x14ac:dyDescent="0.25">
      <c r="E713" t="str">
        <f>"201911193364"</f>
        <v>201911193364</v>
      </c>
      <c r="F713" t="str">
        <f>"18-19279"</f>
        <v>18-19279</v>
      </c>
      <c r="G713" s="2">
        <v>175</v>
      </c>
      <c r="H713" t="str">
        <f>"18-19279"</f>
        <v>18-19279</v>
      </c>
    </row>
    <row r="714" spans="1:8" x14ac:dyDescent="0.25">
      <c r="A714" t="s">
        <v>212</v>
      </c>
      <c r="B714">
        <v>129748</v>
      </c>
      <c r="C714" s="2">
        <v>260</v>
      </c>
      <c r="D714" s="1">
        <v>43794</v>
      </c>
      <c r="E714" t="str">
        <f>"201911193456"</f>
        <v>201911193456</v>
      </c>
      <c r="F714" t="str">
        <f>"PER DIEM"</f>
        <v>PER DIEM</v>
      </c>
      <c r="G714" s="2">
        <v>175</v>
      </c>
      <c r="H714" t="str">
        <f>"PER DIEM"</f>
        <v>PER DIEM</v>
      </c>
    </row>
    <row r="715" spans="1:8" x14ac:dyDescent="0.25">
      <c r="E715" t="str">
        <f>"201911193457"</f>
        <v>201911193457</v>
      </c>
      <c r="F715" t="str">
        <f>"PER DIEM"</f>
        <v>PER DIEM</v>
      </c>
      <c r="G715" s="2">
        <v>85</v>
      </c>
      <c r="H715" t="str">
        <f>"PER DIEM"</f>
        <v>PER DIEM</v>
      </c>
    </row>
    <row r="716" spans="1:8" x14ac:dyDescent="0.25">
      <c r="A716" t="s">
        <v>213</v>
      </c>
      <c r="B716">
        <v>84736</v>
      </c>
      <c r="C716" s="2">
        <v>6621.75</v>
      </c>
      <c r="D716" s="1">
        <v>43781</v>
      </c>
      <c r="E716" t="str">
        <f>"PCMA0041554"</f>
        <v>PCMA0041554</v>
      </c>
      <c r="F716" t="str">
        <f>"CUST#0129150/PCT#3"</f>
        <v>CUST#0129150/PCT#3</v>
      </c>
      <c r="G716" s="2">
        <v>-48.97</v>
      </c>
      <c r="H716" t="str">
        <f>"CUST#0129150/PCT#3"</f>
        <v>CUST#0129150/PCT#3</v>
      </c>
    </row>
    <row r="717" spans="1:8" x14ac:dyDescent="0.25">
      <c r="E717" t="str">
        <f>"PIMA0318509"</f>
        <v>PIMA0318509</v>
      </c>
      <c r="F717" t="str">
        <f>"CUST#0129150/PCT#3"</f>
        <v>CUST#0129150/PCT#3</v>
      </c>
      <c r="G717" s="2">
        <v>48.97</v>
      </c>
      <c r="H717" t="str">
        <f>"CUST#0129150/PCT#3"</f>
        <v>CUST#0129150/PCT#3</v>
      </c>
    </row>
    <row r="718" spans="1:8" x14ac:dyDescent="0.25">
      <c r="E718" t="str">
        <f>"PIMA0318697"</f>
        <v>PIMA0318697</v>
      </c>
      <c r="F718" t="str">
        <f>"CUST#0129150/PCT#3"</f>
        <v>CUST#0129150/PCT#3</v>
      </c>
      <c r="G718" s="2">
        <v>123.39</v>
      </c>
      <c r="H718" t="str">
        <f>"CUST#0129150/PCT#3"</f>
        <v>CUST#0129150/PCT#3</v>
      </c>
    </row>
    <row r="719" spans="1:8" x14ac:dyDescent="0.25">
      <c r="E719" t="str">
        <f>"PIMA0319417"</f>
        <v>PIMA0319417</v>
      </c>
      <c r="F719" t="str">
        <f>"CUST#0129200/PCT#4"</f>
        <v>CUST#0129200/PCT#4</v>
      </c>
      <c r="G719" s="2">
        <v>38.03</v>
      </c>
      <c r="H719" t="str">
        <f>"CUST#0129200/PCT#4"</f>
        <v>CUST#0129200/PCT#4</v>
      </c>
    </row>
    <row r="720" spans="1:8" x14ac:dyDescent="0.25">
      <c r="E720" t="str">
        <f>"PIMP0321299"</f>
        <v>PIMP0321299</v>
      </c>
      <c r="F720" t="str">
        <f>"CUST#0129200/PCT#4"</f>
        <v>CUST#0129200/PCT#4</v>
      </c>
      <c r="G720" s="2">
        <v>743.16</v>
      </c>
      <c r="H720" t="str">
        <f>"CUST#0129200/PCT#4"</f>
        <v>CUST#0129200/PCT#4</v>
      </c>
    </row>
    <row r="721" spans="1:8" x14ac:dyDescent="0.25">
      <c r="E721" t="str">
        <f>"WIMA0125794"</f>
        <v>WIMA0125794</v>
      </c>
      <c r="F721" t="str">
        <f>"CUST#0129200/REPAIR A/C/PCT#4"</f>
        <v>CUST#0129200/REPAIR A/C/PCT#4</v>
      </c>
      <c r="G721" s="2">
        <v>1615.32</v>
      </c>
      <c r="H721" t="str">
        <f>"CUST#0129200/REPAIR A/C/PCT#4"</f>
        <v>CUST#0129200/REPAIR A/C/PCT#4</v>
      </c>
    </row>
    <row r="722" spans="1:8" x14ac:dyDescent="0.25">
      <c r="E722" t="str">
        <f>"WIMA0126372"</f>
        <v>WIMA0126372</v>
      </c>
      <c r="F722" t="str">
        <f>"CUST#0129200/PCT#4"</f>
        <v>CUST#0129200/PCT#4</v>
      </c>
      <c r="G722" s="2">
        <v>1289</v>
      </c>
      <c r="H722" t="str">
        <f>"CUST#0129200/PCT#4"</f>
        <v>CUST#0129200/PCT#4</v>
      </c>
    </row>
    <row r="723" spans="1:8" x14ac:dyDescent="0.25">
      <c r="E723" t="str">
        <f>"WIUS0131598"</f>
        <v>WIUS0131598</v>
      </c>
      <c r="F723" t="str">
        <f>"CUST#0129150/PCT#3"</f>
        <v>CUST#0129150/PCT#3</v>
      </c>
      <c r="G723" s="2">
        <v>1744.22</v>
      </c>
      <c r="H723" t="str">
        <f>"CUST#0129150/PCT#3"</f>
        <v>CUST#0129150/PCT#3</v>
      </c>
    </row>
    <row r="724" spans="1:8" x14ac:dyDescent="0.25">
      <c r="E724" t="str">
        <f>"WIUS0131599"</f>
        <v>WIUS0131599</v>
      </c>
      <c r="F724" t="str">
        <f>"CUST#0129150/PCT#3"</f>
        <v>CUST#0129150/PCT#3</v>
      </c>
      <c r="G724" s="2">
        <v>1068.6300000000001</v>
      </c>
      <c r="H724" t="str">
        <f>"CUST#0129150/PCT#3"</f>
        <v>CUST#0129150/PCT#3</v>
      </c>
    </row>
    <row r="725" spans="1:8" x14ac:dyDescent="0.25">
      <c r="A725" t="s">
        <v>213</v>
      </c>
      <c r="B725">
        <v>129749</v>
      </c>
      <c r="C725" s="2">
        <v>2489.08</v>
      </c>
      <c r="D725" s="1">
        <v>43794</v>
      </c>
      <c r="E725" t="str">
        <f>"PIMA0319834"</f>
        <v>PIMA0319834</v>
      </c>
      <c r="F725" t="str">
        <f>"CUST#0129200/PCT#4"</f>
        <v>CUST#0129200/PCT#4</v>
      </c>
      <c r="G725" s="2">
        <v>136.37</v>
      </c>
      <c r="H725" t="str">
        <f>"CUST#0129200/PCT#4"</f>
        <v>CUST#0129200/PCT#4</v>
      </c>
    </row>
    <row r="726" spans="1:8" x14ac:dyDescent="0.25">
      <c r="E726" t="str">
        <f>"PIMA0320339"</f>
        <v>PIMA0320339</v>
      </c>
      <c r="F726" t="str">
        <f>"CUST#0129150/PCT#3"</f>
        <v>CUST#0129150/PCT#3</v>
      </c>
      <c r="G726" s="2">
        <v>589.5</v>
      </c>
      <c r="H726" t="str">
        <f>"CUST#0129150/PCT#3"</f>
        <v>CUST#0129150/PCT#3</v>
      </c>
    </row>
    <row r="727" spans="1:8" x14ac:dyDescent="0.25">
      <c r="E727" t="str">
        <f>"WIUS0132458"</f>
        <v>WIUS0132458</v>
      </c>
      <c r="F727" t="str">
        <f>"CUST#0129200/PCT#4"</f>
        <v>CUST#0129200/PCT#4</v>
      </c>
      <c r="G727" s="2">
        <v>998.63</v>
      </c>
      <c r="H727" t="str">
        <f>"CUST#0129200/PCT#4"</f>
        <v>CUST#0129200/PCT#4</v>
      </c>
    </row>
    <row r="728" spans="1:8" x14ac:dyDescent="0.25">
      <c r="E728" t="str">
        <f>"WIUS0132459"</f>
        <v>WIUS0132459</v>
      </c>
      <c r="F728" t="str">
        <f>"CUST#0129200/PCT#4"</f>
        <v>CUST#0129200/PCT#4</v>
      </c>
      <c r="G728" s="2">
        <v>764.58</v>
      </c>
      <c r="H728" t="str">
        <f>"CUST#0129200/PCT#4"</f>
        <v>CUST#0129200/PCT#4</v>
      </c>
    </row>
    <row r="729" spans="1:8" x14ac:dyDescent="0.25">
      <c r="A729" t="s">
        <v>214</v>
      </c>
      <c r="B729">
        <v>84737</v>
      </c>
      <c r="C729" s="2">
        <v>2049.87</v>
      </c>
      <c r="D729" s="1">
        <v>43781</v>
      </c>
      <c r="E729" t="str">
        <f>"201911053012"</f>
        <v>201911053012</v>
      </c>
      <c r="F729" t="str">
        <f>"acct# 6035322532040130"</f>
        <v>acct# 6035322532040130</v>
      </c>
      <c r="G729" s="2">
        <v>2049.87</v>
      </c>
      <c r="H729" t="str">
        <f>"Inv# 9758606"</f>
        <v>Inv# 9758606</v>
      </c>
    </row>
    <row r="730" spans="1:8" x14ac:dyDescent="0.25">
      <c r="E730" t="str">
        <f>""</f>
        <v/>
      </c>
      <c r="F730" t="str">
        <f>""</f>
        <v/>
      </c>
      <c r="H730" t="str">
        <f>"Inv# 9944482"</f>
        <v>Inv# 9944482</v>
      </c>
    </row>
    <row r="731" spans="1:8" x14ac:dyDescent="0.25">
      <c r="E731" t="str">
        <f>""</f>
        <v/>
      </c>
      <c r="F731" t="str">
        <f>""</f>
        <v/>
      </c>
      <c r="H731" t="str">
        <f>"Inv# 8153632"</f>
        <v>Inv# 8153632</v>
      </c>
    </row>
    <row r="732" spans="1:8" x14ac:dyDescent="0.25">
      <c r="E732" t="str">
        <f>""</f>
        <v/>
      </c>
      <c r="F732" t="str">
        <f>""</f>
        <v/>
      </c>
      <c r="H732" t="str">
        <f>"Inv# 8013881"</f>
        <v>Inv# 8013881</v>
      </c>
    </row>
    <row r="733" spans="1:8" x14ac:dyDescent="0.25">
      <c r="E733" t="str">
        <f>""</f>
        <v/>
      </c>
      <c r="F733" t="str">
        <f>""</f>
        <v/>
      </c>
      <c r="H733" t="str">
        <f>"Inv# 7153646"</f>
        <v>Inv# 7153646</v>
      </c>
    </row>
    <row r="734" spans="1:8" x14ac:dyDescent="0.25">
      <c r="E734" t="str">
        <f>""</f>
        <v/>
      </c>
      <c r="F734" t="str">
        <f>""</f>
        <v/>
      </c>
      <c r="H734" t="str">
        <f>"Inv# 3022316"</f>
        <v>Inv# 3022316</v>
      </c>
    </row>
    <row r="735" spans="1:8" x14ac:dyDescent="0.25">
      <c r="E735" t="str">
        <f>""</f>
        <v/>
      </c>
      <c r="F735" t="str">
        <f>""</f>
        <v/>
      </c>
      <c r="H735" t="str">
        <f>"Inv# 3153672"</f>
        <v>Inv# 3153672</v>
      </c>
    </row>
    <row r="736" spans="1:8" x14ac:dyDescent="0.25">
      <c r="E736" t="str">
        <f>""</f>
        <v/>
      </c>
      <c r="F736" t="str">
        <f>""</f>
        <v/>
      </c>
      <c r="H736" t="str">
        <f>"Inv# 14232"</f>
        <v>Inv# 14232</v>
      </c>
    </row>
    <row r="737" spans="5:8" x14ac:dyDescent="0.25">
      <c r="E737" t="str">
        <f>""</f>
        <v/>
      </c>
      <c r="F737" t="str">
        <f>""</f>
        <v/>
      </c>
      <c r="H737" t="str">
        <f>"Inv# 22801"</f>
        <v>Inv# 22801</v>
      </c>
    </row>
    <row r="738" spans="5:8" x14ac:dyDescent="0.25">
      <c r="E738" t="str">
        <f>""</f>
        <v/>
      </c>
      <c r="F738" t="str">
        <f>""</f>
        <v/>
      </c>
      <c r="H738" t="str">
        <f>"Inv# 22832"</f>
        <v>Inv# 22832</v>
      </c>
    </row>
    <row r="739" spans="5:8" x14ac:dyDescent="0.25">
      <c r="E739" t="str">
        <f>""</f>
        <v/>
      </c>
      <c r="F739" t="str">
        <f>""</f>
        <v/>
      </c>
      <c r="H739" t="str">
        <f>"Inv# 5051245"</f>
        <v>Inv# 5051245</v>
      </c>
    </row>
    <row r="740" spans="5:8" x14ac:dyDescent="0.25">
      <c r="E740" t="str">
        <f>""</f>
        <v/>
      </c>
      <c r="F740" t="str">
        <f>""</f>
        <v/>
      </c>
      <c r="H740" t="str">
        <f>"Inv# 5514448"</f>
        <v>Inv# 5514448</v>
      </c>
    </row>
    <row r="741" spans="5:8" x14ac:dyDescent="0.25">
      <c r="E741" t="str">
        <f>""</f>
        <v/>
      </c>
      <c r="F741" t="str">
        <f>""</f>
        <v/>
      </c>
      <c r="H741" t="str">
        <f>"Inv# 4974820"</f>
        <v>Inv# 4974820</v>
      </c>
    </row>
    <row r="742" spans="5:8" x14ac:dyDescent="0.25">
      <c r="E742" t="str">
        <f>""</f>
        <v/>
      </c>
      <c r="F742" t="str">
        <f>""</f>
        <v/>
      </c>
      <c r="H742" t="str">
        <f>"Inv# 3023522"</f>
        <v>Inv# 3023522</v>
      </c>
    </row>
    <row r="743" spans="5:8" x14ac:dyDescent="0.25">
      <c r="E743" t="str">
        <f>""</f>
        <v/>
      </c>
      <c r="F743" t="str">
        <f>""</f>
        <v/>
      </c>
      <c r="H743" t="str">
        <f>"Inv# 9023954"</f>
        <v>Inv# 9023954</v>
      </c>
    </row>
    <row r="744" spans="5:8" x14ac:dyDescent="0.25">
      <c r="E744" t="str">
        <f>""</f>
        <v/>
      </c>
      <c r="F744" t="str">
        <f>""</f>
        <v/>
      </c>
      <c r="H744" t="str">
        <f>"Inv# 8024060"</f>
        <v>Inv# 8024060</v>
      </c>
    </row>
    <row r="745" spans="5:8" x14ac:dyDescent="0.25">
      <c r="E745" t="str">
        <f>""</f>
        <v/>
      </c>
      <c r="F745" t="str">
        <f>""</f>
        <v/>
      </c>
      <c r="H745" t="str">
        <f>"Inv# 5024439"</f>
        <v>Inv# 5024439</v>
      </c>
    </row>
    <row r="746" spans="5:8" x14ac:dyDescent="0.25">
      <c r="E746" t="str">
        <f>""</f>
        <v/>
      </c>
      <c r="F746" t="str">
        <f>""</f>
        <v/>
      </c>
      <c r="H746" t="str">
        <f>"Tax Credit Adjustmen"</f>
        <v>Tax Credit Adjustmen</v>
      </c>
    </row>
    <row r="747" spans="5:8" x14ac:dyDescent="0.25">
      <c r="E747" t="str">
        <f>""</f>
        <v/>
      </c>
      <c r="F747" t="str">
        <f>""</f>
        <v/>
      </c>
      <c r="H747" t="str">
        <f>"TaxCredit Adjustment"</f>
        <v>TaxCredit Adjustment</v>
      </c>
    </row>
    <row r="748" spans="5:8" x14ac:dyDescent="0.25">
      <c r="E748" t="str">
        <f>""</f>
        <v/>
      </c>
      <c r="F748" t="str">
        <f>""</f>
        <v/>
      </c>
      <c r="H748" t="str">
        <f>"Inv# 3974474"</f>
        <v>Inv# 3974474</v>
      </c>
    </row>
    <row r="749" spans="5:8" x14ac:dyDescent="0.25">
      <c r="E749" t="str">
        <f>""</f>
        <v/>
      </c>
      <c r="F749" t="str">
        <f>""</f>
        <v/>
      </c>
      <c r="H749" t="str">
        <f>"Inv# 5023301"</f>
        <v>Inv# 5023301</v>
      </c>
    </row>
    <row r="750" spans="5:8" x14ac:dyDescent="0.25">
      <c r="E750" t="str">
        <f>""</f>
        <v/>
      </c>
      <c r="F750" t="str">
        <f>""</f>
        <v/>
      </c>
      <c r="H750" t="str">
        <f>"Inv# 8532984"</f>
        <v>Inv# 8532984</v>
      </c>
    </row>
    <row r="751" spans="5:8" x14ac:dyDescent="0.25">
      <c r="E751" t="str">
        <f>""</f>
        <v/>
      </c>
      <c r="F751" t="str">
        <f>""</f>
        <v/>
      </c>
      <c r="H751" t="str">
        <f>"Inv# 1533337"</f>
        <v>Inv# 1533337</v>
      </c>
    </row>
    <row r="752" spans="5:8" x14ac:dyDescent="0.25">
      <c r="E752" t="str">
        <f>""</f>
        <v/>
      </c>
      <c r="F752" t="str">
        <f>""</f>
        <v/>
      </c>
      <c r="H752" t="str">
        <f>"Inv# 2153685"</f>
        <v>Inv# 2153685</v>
      </c>
    </row>
    <row r="753" spans="5:8" x14ac:dyDescent="0.25">
      <c r="E753" t="str">
        <f>""</f>
        <v/>
      </c>
      <c r="F753" t="str">
        <f>""</f>
        <v/>
      </c>
      <c r="H753" t="str">
        <f>"Inv# 9544993"</f>
        <v>Inv# 9544993</v>
      </c>
    </row>
    <row r="754" spans="5:8" x14ac:dyDescent="0.25">
      <c r="E754" t="str">
        <f>""</f>
        <v/>
      </c>
      <c r="F754" t="str">
        <f>""</f>
        <v/>
      </c>
      <c r="H754" t="str">
        <f>"Inv# 5534165"</f>
        <v>Inv# 5534165</v>
      </c>
    </row>
    <row r="755" spans="5:8" x14ac:dyDescent="0.25">
      <c r="E755" t="str">
        <f>""</f>
        <v/>
      </c>
      <c r="F755" t="str">
        <f>""</f>
        <v/>
      </c>
      <c r="H755" t="str">
        <f>"Inv# 1153689"</f>
        <v>Inv# 1153689</v>
      </c>
    </row>
    <row r="756" spans="5:8" x14ac:dyDescent="0.25">
      <c r="E756" t="str">
        <f>""</f>
        <v/>
      </c>
      <c r="F756" t="str">
        <f>""</f>
        <v/>
      </c>
      <c r="H756" t="str">
        <f>"Inv# 4023405"</f>
        <v>Inv# 4023405</v>
      </c>
    </row>
    <row r="757" spans="5:8" x14ac:dyDescent="0.25">
      <c r="E757" t="str">
        <f>""</f>
        <v/>
      </c>
      <c r="F757" t="str">
        <f>""</f>
        <v/>
      </c>
      <c r="H757" t="str">
        <f>"Inv# 3014613"</f>
        <v>Inv# 3014613</v>
      </c>
    </row>
    <row r="758" spans="5:8" x14ac:dyDescent="0.25">
      <c r="E758" t="str">
        <f>""</f>
        <v/>
      </c>
      <c r="F758" t="str">
        <f>""</f>
        <v/>
      </c>
      <c r="H758" t="str">
        <f>"Inv# 3014634"</f>
        <v>Inv# 3014634</v>
      </c>
    </row>
    <row r="759" spans="5:8" x14ac:dyDescent="0.25">
      <c r="E759" t="str">
        <f>""</f>
        <v/>
      </c>
      <c r="F759" t="str">
        <f>""</f>
        <v/>
      </c>
      <c r="H759" t="str">
        <f>"Credit from Taxes"</f>
        <v>Credit from Taxes</v>
      </c>
    </row>
    <row r="760" spans="5:8" x14ac:dyDescent="0.25">
      <c r="E760" t="str">
        <f>""</f>
        <v/>
      </c>
      <c r="F760" t="str">
        <f>""</f>
        <v/>
      </c>
      <c r="H760" t="str">
        <f>"Inv# 9532911"</f>
        <v>Inv# 9532911</v>
      </c>
    </row>
    <row r="761" spans="5:8" x14ac:dyDescent="0.25">
      <c r="E761" t="str">
        <f>""</f>
        <v/>
      </c>
      <c r="F761" t="str">
        <f>""</f>
        <v/>
      </c>
      <c r="H761" t="str">
        <f>"Inv# 9544220"</f>
        <v>Inv# 9544220</v>
      </c>
    </row>
    <row r="762" spans="5:8" x14ac:dyDescent="0.25">
      <c r="E762" t="str">
        <f>""</f>
        <v/>
      </c>
      <c r="F762" t="str">
        <f>""</f>
        <v/>
      </c>
      <c r="H762" t="str">
        <f>"Inv# 6021957"</f>
        <v>Inv# 6021957</v>
      </c>
    </row>
    <row r="763" spans="5:8" x14ac:dyDescent="0.25">
      <c r="E763" t="str">
        <f>""</f>
        <v/>
      </c>
      <c r="F763" t="str">
        <f>""</f>
        <v/>
      </c>
      <c r="H763" t="str">
        <f>"Inv# 6533098"</f>
        <v>Inv# 6533098</v>
      </c>
    </row>
    <row r="764" spans="5:8" x14ac:dyDescent="0.25">
      <c r="E764" t="str">
        <f>""</f>
        <v/>
      </c>
      <c r="F764" t="str">
        <f>""</f>
        <v/>
      </c>
      <c r="H764" t="str">
        <f>"Inv# 4514503"</f>
        <v>Inv# 4514503</v>
      </c>
    </row>
    <row r="765" spans="5:8" x14ac:dyDescent="0.25">
      <c r="E765" t="str">
        <f>""</f>
        <v/>
      </c>
      <c r="F765" t="str">
        <f>""</f>
        <v/>
      </c>
      <c r="H765" t="str">
        <f>"Inv# 3023501"</f>
        <v>Inv# 3023501</v>
      </c>
    </row>
    <row r="766" spans="5:8" x14ac:dyDescent="0.25">
      <c r="E766" t="str">
        <f>""</f>
        <v/>
      </c>
      <c r="F766" t="str">
        <f>""</f>
        <v/>
      </c>
      <c r="H766" t="str">
        <f>"Inv# 7024240"</f>
        <v>Inv# 7024240</v>
      </c>
    </row>
    <row r="767" spans="5:8" x14ac:dyDescent="0.25">
      <c r="E767" t="str">
        <f>""</f>
        <v/>
      </c>
      <c r="F767" t="str">
        <f>""</f>
        <v/>
      </c>
      <c r="H767" t="str">
        <f>"Inv# 7024291"</f>
        <v>Inv# 7024291</v>
      </c>
    </row>
    <row r="768" spans="5:8" x14ac:dyDescent="0.25">
      <c r="E768" t="str">
        <f>""</f>
        <v/>
      </c>
      <c r="F768" t="str">
        <f>""</f>
        <v/>
      </c>
      <c r="H768" t="str">
        <f>"Inv# 7514974"</f>
        <v>Inv# 7514974</v>
      </c>
    </row>
    <row r="769" spans="1:8" x14ac:dyDescent="0.25">
      <c r="E769" t="str">
        <f>""</f>
        <v/>
      </c>
      <c r="F769" t="str">
        <f>""</f>
        <v/>
      </c>
      <c r="H769" t="str">
        <f>"Inv# 9091687"</f>
        <v>Inv# 9091687</v>
      </c>
    </row>
    <row r="770" spans="1:8" x14ac:dyDescent="0.25">
      <c r="E770" t="str">
        <f>""</f>
        <v/>
      </c>
      <c r="F770" t="str">
        <f>""</f>
        <v/>
      </c>
      <c r="H770" t="str">
        <f>"Inv# 6091868"</f>
        <v>Inv# 6091868</v>
      </c>
    </row>
    <row r="771" spans="1:8" x14ac:dyDescent="0.25">
      <c r="A771" t="s">
        <v>215</v>
      </c>
      <c r="B771">
        <v>129750</v>
      </c>
      <c r="C771" s="2">
        <v>430</v>
      </c>
      <c r="D771" s="1">
        <v>43794</v>
      </c>
      <c r="E771" t="str">
        <f>"0551317075"</f>
        <v>0551317075</v>
      </c>
      <c r="F771" t="str">
        <f>"ORD#212645-0001/CUST#212645"</f>
        <v>ORD#212645-0001/CUST#212645</v>
      </c>
      <c r="G771" s="2">
        <v>215</v>
      </c>
      <c r="H771" t="str">
        <f>"ORD#212645-0001/CUST#212645"</f>
        <v>ORD#212645-0001/CUST#212645</v>
      </c>
    </row>
    <row r="772" spans="1:8" x14ac:dyDescent="0.25">
      <c r="E772" t="str">
        <f>"0551318589"</f>
        <v>0551318589</v>
      </c>
      <c r="F772" t="str">
        <f>"ORD#212645-0002/PCT#1"</f>
        <v>ORD#212645-0002/PCT#1</v>
      </c>
      <c r="G772" s="2">
        <v>215</v>
      </c>
      <c r="H772" t="str">
        <f>"ORD#212645-0002/PCT#1"</f>
        <v>ORD#212645-0002/PCT#1</v>
      </c>
    </row>
    <row r="773" spans="1:8" x14ac:dyDescent="0.25">
      <c r="A773" t="s">
        <v>216</v>
      </c>
      <c r="B773">
        <v>129751</v>
      </c>
      <c r="C773" s="2">
        <v>1224</v>
      </c>
      <c r="D773" s="1">
        <v>43794</v>
      </c>
      <c r="E773" t="str">
        <f>"2450"</f>
        <v>2450</v>
      </c>
      <c r="F773" t="str">
        <f>"NOBIVAC CANINE"</f>
        <v>NOBIVAC CANINE</v>
      </c>
      <c r="G773" s="2">
        <v>1224</v>
      </c>
      <c r="H773" t="str">
        <f>"NOBIVAC CANINE"</f>
        <v>NOBIVAC CANINE</v>
      </c>
    </row>
    <row r="774" spans="1:8" x14ac:dyDescent="0.25">
      <c r="A774" t="s">
        <v>217</v>
      </c>
      <c r="B774">
        <v>84738</v>
      </c>
      <c r="C774" s="2">
        <v>537.5</v>
      </c>
      <c r="D774" s="1">
        <v>43781</v>
      </c>
      <c r="E774" t="str">
        <f>"SL2019-10_00004"</f>
        <v>SL2019-10_00004</v>
      </c>
      <c r="F774" t="str">
        <f>"SHELTERLUV SOFTWARE"</f>
        <v>SHELTERLUV SOFTWARE</v>
      </c>
      <c r="G774" s="2">
        <v>537.5</v>
      </c>
      <c r="H774" t="str">
        <f>"SHELTERLUV SOFTWARE"</f>
        <v>SHELTERLUV SOFTWARE</v>
      </c>
    </row>
    <row r="775" spans="1:8" x14ac:dyDescent="0.25">
      <c r="A775" t="s">
        <v>218</v>
      </c>
      <c r="B775">
        <v>1704</v>
      </c>
      <c r="C775" s="2">
        <v>59.3</v>
      </c>
      <c r="D775" s="1">
        <v>43782</v>
      </c>
      <c r="E775" t="str">
        <f>"202005"</f>
        <v>202005</v>
      </c>
      <c r="F775" t="str">
        <f>"JIC PLUG/PCT#3"</f>
        <v>JIC PLUG/PCT#3</v>
      </c>
      <c r="G775" s="2">
        <v>59.3</v>
      </c>
      <c r="H775" t="str">
        <f>"JIC PLUG/PCT#3"</f>
        <v>JIC PLUG/PCT#3</v>
      </c>
    </row>
    <row r="776" spans="1:8" x14ac:dyDescent="0.25">
      <c r="A776" t="s">
        <v>218</v>
      </c>
      <c r="B776">
        <v>1769</v>
      </c>
      <c r="C776" s="2">
        <v>359.43</v>
      </c>
      <c r="D776" s="1">
        <v>43795</v>
      </c>
      <c r="E776" t="str">
        <f>"202114"</f>
        <v>202114</v>
      </c>
      <c r="F776" t="str">
        <f>"FEMALE CAMLOCK/COUPLING/P1"</f>
        <v>FEMALE CAMLOCK/COUPLING/P1</v>
      </c>
      <c r="G776" s="2">
        <v>59.23</v>
      </c>
      <c r="H776" t="str">
        <f>"FEMALE CAMLOCK/COUPLING/P1"</f>
        <v>FEMALE CAMLOCK/COUPLING/P1</v>
      </c>
    </row>
    <row r="777" spans="1:8" x14ac:dyDescent="0.25">
      <c r="E777" t="str">
        <f>"202133"</f>
        <v>202133</v>
      </c>
      <c r="F777" t="str">
        <f>"COMBINATION SPANNER/CAMLOCK/P1"</f>
        <v>COMBINATION SPANNER/CAMLOCK/P1</v>
      </c>
      <c r="G777" s="2">
        <v>125.57</v>
      </c>
      <c r="H777" t="str">
        <f>"COMBINATION SPANNER/CAMLOCK/P1"</f>
        <v>COMBINATION SPANNER/CAMLOCK/P1</v>
      </c>
    </row>
    <row r="778" spans="1:8" x14ac:dyDescent="0.25">
      <c r="E778" t="str">
        <f>"202180"</f>
        <v>202180</v>
      </c>
      <c r="F778" t="str">
        <f>"WIRE BRAIDED HOSE/OEM"</f>
        <v>WIRE BRAIDED HOSE/OEM</v>
      </c>
      <c r="G778" s="2">
        <v>174.63</v>
      </c>
      <c r="H778" t="str">
        <f>"WIRE BRAIDED HOSE/OEM"</f>
        <v>WIRE BRAIDED HOSE/OEM</v>
      </c>
    </row>
    <row r="779" spans="1:8" x14ac:dyDescent="0.25">
      <c r="A779" t="s">
        <v>219</v>
      </c>
      <c r="B779">
        <v>129752</v>
      </c>
      <c r="C779" s="2">
        <v>134</v>
      </c>
      <c r="D779" s="1">
        <v>43794</v>
      </c>
      <c r="E779" t="str">
        <f>"3054379474"</f>
        <v>3054379474</v>
      </c>
      <c r="F779" t="str">
        <f>"ACCT#187947/ANIMAL CONTROL"</f>
        <v>ACCT#187947/ANIMAL CONTROL</v>
      </c>
      <c r="G779" s="2">
        <v>134</v>
      </c>
      <c r="H779" t="str">
        <f>"ACCT#187947/ANIMAL CONTROL"</f>
        <v>ACCT#187947/ANIMAL CONTROL</v>
      </c>
    </row>
    <row r="780" spans="1:8" x14ac:dyDescent="0.25">
      <c r="A780" t="s">
        <v>220</v>
      </c>
      <c r="B780">
        <v>1809</v>
      </c>
      <c r="C780" s="2">
        <v>2444.5</v>
      </c>
      <c r="D780" s="1">
        <v>43795</v>
      </c>
      <c r="E780" t="str">
        <f>"68710"</f>
        <v>68710</v>
      </c>
      <c r="F780" t="str">
        <f>"PROF SVCS-DEC 2019"</f>
        <v>PROF SVCS-DEC 2019</v>
      </c>
      <c r="G780" s="2">
        <v>2430</v>
      </c>
      <c r="H780" t="str">
        <f>"PROF SVCS-DEC 2019"</f>
        <v>PROF SVCS-DEC 2019</v>
      </c>
    </row>
    <row r="781" spans="1:8" x14ac:dyDescent="0.25">
      <c r="E781" t="str">
        <f>""</f>
        <v/>
      </c>
      <c r="F781" t="str">
        <f>""</f>
        <v/>
      </c>
      <c r="H781" t="str">
        <f>"PROF SVCS-DEC 2019"</f>
        <v>PROF SVCS-DEC 2019</v>
      </c>
    </row>
    <row r="782" spans="1:8" x14ac:dyDescent="0.25">
      <c r="E782" t="str">
        <f>"68842"</f>
        <v>68842</v>
      </c>
      <c r="F782" t="str">
        <f>"POWER SRCH SVCS/JUN-OCT 2019"</f>
        <v>POWER SRCH SVCS/JUN-OCT 2019</v>
      </c>
      <c r="G782" s="2">
        <v>14.5</v>
      </c>
      <c r="H782" t="str">
        <f>"POWER SRCH SVCS/JUN-OCT 2019"</f>
        <v>POWER SRCH SVCS/JUN-OCT 2019</v>
      </c>
    </row>
    <row r="783" spans="1:8" x14ac:dyDescent="0.25">
      <c r="A783" t="s">
        <v>221</v>
      </c>
      <c r="B783">
        <v>84739</v>
      </c>
      <c r="C783" s="2">
        <v>25</v>
      </c>
      <c r="D783" s="1">
        <v>43781</v>
      </c>
      <c r="E783" t="str">
        <f>"201910292803"</f>
        <v>201910292803</v>
      </c>
      <c r="F783" t="str">
        <f>"REFUND DRIVEWAY PERMIT"</f>
        <v>REFUND DRIVEWAY PERMIT</v>
      </c>
      <c r="G783" s="2">
        <v>25</v>
      </c>
      <c r="H783" t="str">
        <f>"REFUND DRIVEWAY PERMIT"</f>
        <v>REFUND DRIVEWAY PERMIT</v>
      </c>
    </row>
    <row r="784" spans="1:8" x14ac:dyDescent="0.25">
      <c r="A784" t="s">
        <v>222</v>
      </c>
      <c r="B784">
        <v>84740</v>
      </c>
      <c r="C784" s="2">
        <v>12877</v>
      </c>
      <c r="D784" s="1">
        <v>43781</v>
      </c>
      <c r="E784" t="str">
        <f>"19-0754-1"</f>
        <v>19-0754-1</v>
      </c>
      <c r="F784" t="str">
        <f>"WILLIAM B. HOLMES"</f>
        <v>WILLIAM B. HOLMES</v>
      </c>
      <c r="G784" s="2">
        <v>12877</v>
      </c>
      <c r="H784" t="str">
        <f>"Pavement Striping"</f>
        <v>Pavement Striping</v>
      </c>
    </row>
    <row r="785" spans="1:8" x14ac:dyDescent="0.25">
      <c r="A785" t="s">
        <v>223</v>
      </c>
      <c r="B785">
        <v>84741</v>
      </c>
      <c r="C785" s="2">
        <v>79.03</v>
      </c>
      <c r="D785" s="1">
        <v>43781</v>
      </c>
      <c r="E785" t="str">
        <f>"CBRV396"</f>
        <v>CBRV396</v>
      </c>
      <c r="F785" t="str">
        <f>"CUST ID:AX773/COUNTY CLERK"</f>
        <v>CUST ID:AX773/COUNTY CLERK</v>
      </c>
      <c r="G785" s="2">
        <v>79.03</v>
      </c>
      <c r="H785" t="str">
        <f>"CUST ID:AX773/COUNTY CLERK"</f>
        <v>CUST ID:AX773/COUNTY CLERK</v>
      </c>
    </row>
    <row r="786" spans="1:8" x14ac:dyDescent="0.25">
      <c r="A786" t="s">
        <v>224</v>
      </c>
      <c r="B786">
        <v>84742</v>
      </c>
      <c r="C786" s="2">
        <v>0.5</v>
      </c>
      <c r="D786" s="1">
        <v>43781</v>
      </c>
      <c r="E786" t="str">
        <f>"201911063045"</f>
        <v>201911063045</v>
      </c>
      <c r="F786" t="str">
        <f>"REFUND - OVERPAYMENT"</f>
        <v>REFUND - OVERPAYMENT</v>
      </c>
      <c r="G786" s="2">
        <v>0.5</v>
      </c>
      <c r="H786" t="str">
        <f>"REFUND - OVERPAYMENT"</f>
        <v>REFUND - OVERPAYMENT</v>
      </c>
    </row>
    <row r="787" spans="1:8" x14ac:dyDescent="0.25">
      <c r="A787" t="s">
        <v>225</v>
      </c>
      <c r="B787">
        <v>129753</v>
      </c>
      <c r="C787" s="2">
        <v>336.74</v>
      </c>
      <c r="D787" s="1">
        <v>43794</v>
      </c>
      <c r="E787" t="str">
        <f>"201911183310"</f>
        <v>201911183310</v>
      </c>
      <c r="F787" t="str">
        <f>"REIMBURSE HOTEL"</f>
        <v>REIMBURSE HOTEL</v>
      </c>
      <c r="G787" s="2">
        <v>336.74</v>
      </c>
      <c r="H787" t="str">
        <f>"REIMBURSE HOTEL"</f>
        <v>REIMBURSE HOTEL</v>
      </c>
    </row>
    <row r="788" spans="1:8" x14ac:dyDescent="0.25">
      <c r="A788" t="s">
        <v>226</v>
      </c>
      <c r="B788">
        <v>84743</v>
      </c>
      <c r="C788" s="2">
        <v>22.5</v>
      </c>
      <c r="D788" s="1">
        <v>43781</v>
      </c>
      <c r="E788" t="str">
        <f>"201911063046"</f>
        <v>201911063046</v>
      </c>
      <c r="F788" t="str">
        <f>"RESTITUTION"</f>
        <v>RESTITUTION</v>
      </c>
      <c r="G788" s="2">
        <v>22.5</v>
      </c>
      <c r="H788" t="str">
        <f>"RESTITUTION"</f>
        <v>RESTITUTION</v>
      </c>
    </row>
    <row r="789" spans="1:8" x14ac:dyDescent="0.25">
      <c r="A789" t="s">
        <v>227</v>
      </c>
      <c r="B789">
        <v>84744</v>
      </c>
      <c r="C789" s="2">
        <v>640</v>
      </c>
      <c r="D789" s="1">
        <v>43781</v>
      </c>
      <c r="E789" t="str">
        <f>"565149"</f>
        <v>565149</v>
      </c>
      <c r="F789" t="str">
        <f>"BLADE WORK/PCT#2"</f>
        <v>BLADE WORK/PCT#2</v>
      </c>
      <c r="G789" s="2">
        <v>640</v>
      </c>
      <c r="H789" t="str">
        <f>"BLADE WORK/PCT#2"</f>
        <v>BLADE WORK/PCT#2</v>
      </c>
    </row>
    <row r="790" spans="1:8" x14ac:dyDescent="0.25">
      <c r="A790" t="s">
        <v>228</v>
      </c>
      <c r="B790">
        <v>1716</v>
      </c>
      <c r="C790" s="2">
        <v>24</v>
      </c>
      <c r="D790" s="1">
        <v>43782</v>
      </c>
      <c r="E790" t="str">
        <f>"201911052988"</f>
        <v>201911052988</v>
      </c>
      <c r="F790" t="str">
        <f>"REIMBURSE FOOD TRAYS"</f>
        <v>REIMBURSE FOOD TRAYS</v>
      </c>
      <c r="G790" s="2">
        <v>24</v>
      </c>
      <c r="H790" t="str">
        <f>"REIMBURSE FOOD TRAYS"</f>
        <v>REIMBURSE FOOD TRAYS</v>
      </c>
    </row>
    <row r="791" spans="1:8" x14ac:dyDescent="0.25">
      <c r="A791" t="s">
        <v>229</v>
      </c>
      <c r="B791">
        <v>1741</v>
      </c>
      <c r="C791" s="2">
        <v>3045.87</v>
      </c>
      <c r="D791" s="1">
        <v>43782</v>
      </c>
      <c r="E791" t="str">
        <f>"12786"</f>
        <v>12786</v>
      </c>
      <c r="F791" t="str">
        <f t="shared" ref="F791:F801" si="14">"AD LITEM FEE"</f>
        <v>AD LITEM FEE</v>
      </c>
      <c r="G791" s="2">
        <v>150</v>
      </c>
      <c r="H791" t="str">
        <f t="shared" ref="H791:H801" si="15">"AD LITEM FEE"</f>
        <v>AD LITEM FEE</v>
      </c>
    </row>
    <row r="792" spans="1:8" x14ac:dyDescent="0.25">
      <c r="E792" t="str">
        <f>"12863"</f>
        <v>12863</v>
      </c>
      <c r="F792" t="str">
        <f t="shared" si="14"/>
        <v>AD LITEM FEE</v>
      </c>
      <c r="G792" s="2">
        <v>150</v>
      </c>
      <c r="H792" t="str">
        <f t="shared" si="15"/>
        <v>AD LITEM FEE</v>
      </c>
    </row>
    <row r="793" spans="1:8" x14ac:dyDescent="0.25">
      <c r="E793" t="str">
        <f>"12889"</f>
        <v>12889</v>
      </c>
      <c r="F793" t="str">
        <f t="shared" si="14"/>
        <v>AD LITEM FEE</v>
      </c>
      <c r="G793" s="2">
        <v>300</v>
      </c>
      <c r="H793" t="str">
        <f t="shared" si="15"/>
        <v>AD LITEM FEE</v>
      </c>
    </row>
    <row r="794" spans="1:8" x14ac:dyDescent="0.25">
      <c r="E794" t="str">
        <f>"12989"</f>
        <v>12989</v>
      </c>
      <c r="F794" t="str">
        <f t="shared" si="14"/>
        <v>AD LITEM FEE</v>
      </c>
      <c r="G794" s="2">
        <v>150</v>
      </c>
      <c r="H794" t="str">
        <f t="shared" si="15"/>
        <v>AD LITEM FEE</v>
      </c>
    </row>
    <row r="795" spans="1:8" x14ac:dyDescent="0.25">
      <c r="E795" t="str">
        <f>"13033"</f>
        <v>13033</v>
      </c>
      <c r="F795" t="str">
        <f t="shared" si="14"/>
        <v>AD LITEM FEE</v>
      </c>
      <c r="G795" s="2">
        <v>150</v>
      </c>
      <c r="H795" t="str">
        <f t="shared" si="15"/>
        <v>AD LITEM FEE</v>
      </c>
    </row>
    <row r="796" spans="1:8" x14ac:dyDescent="0.25">
      <c r="E796" t="str">
        <f>"13044"</f>
        <v>13044</v>
      </c>
      <c r="F796" t="str">
        <f t="shared" si="14"/>
        <v>AD LITEM FEE</v>
      </c>
      <c r="G796" s="2">
        <v>150</v>
      </c>
      <c r="H796" t="str">
        <f t="shared" si="15"/>
        <v>AD LITEM FEE</v>
      </c>
    </row>
    <row r="797" spans="1:8" x14ac:dyDescent="0.25">
      <c r="E797" t="str">
        <f>"13052"</f>
        <v>13052</v>
      </c>
      <c r="F797" t="str">
        <f t="shared" si="14"/>
        <v>AD LITEM FEE</v>
      </c>
      <c r="G797" s="2">
        <v>150</v>
      </c>
      <c r="H797" t="str">
        <f t="shared" si="15"/>
        <v>AD LITEM FEE</v>
      </c>
    </row>
    <row r="798" spans="1:8" x14ac:dyDescent="0.25">
      <c r="E798" t="str">
        <f>"13065"</f>
        <v>13065</v>
      </c>
      <c r="F798" t="str">
        <f t="shared" si="14"/>
        <v>AD LITEM FEE</v>
      </c>
      <c r="G798" s="2">
        <v>150</v>
      </c>
      <c r="H798" t="str">
        <f t="shared" si="15"/>
        <v>AD LITEM FEE</v>
      </c>
    </row>
    <row r="799" spans="1:8" x14ac:dyDescent="0.25">
      <c r="E799" t="str">
        <f>"13066"</f>
        <v>13066</v>
      </c>
      <c r="F799" t="str">
        <f t="shared" si="14"/>
        <v>AD LITEM FEE</v>
      </c>
      <c r="G799" s="2">
        <v>150</v>
      </c>
      <c r="H799" t="str">
        <f t="shared" si="15"/>
        <v>AD LITEM FEE</v>
      </c>
    </row>
    <row r="800" spans="1:8" x14ac:dyDescent="0.25">
      <c r="E800" t="str">
        <f>"13070"</f>
        <v>13070</v>
      </c>
      <c r="F800" t="str">
        <f t="shared" si="14"/>
        <v>AD LITEM FEE</v>
      </c>
      <c r="G800" s="2">
        <v>70.87</v>
      </c>
      <c r="H800" t="str">
        <f t="shared" si="15"/>
        <v>AD LITEM FEE</v>
      </c>
    </row>
    <row r="801" spans="1:8" x14ac:dyDescent="0.25">
      <c r="E801" t="str">
        <f>"13075"</f>
        <v>13075</v>
      </c>
      <c r="F801" t="str">
        <f t="shared" si="14"/>
        <v>AD LITEM FEE</v>
      </c>
      <c r="G801" s="2">
        <v>150</v>
      </c>
      <c r="H801" t="str">
        <f t="shared" si="15"/>
        <v>AD LITEM FEE</v>
      </c>
    </row>
    <row r="802" spans="1:8" x14ac:dyDescent="0.25">
      <c r="E802" t="str">
        <f>"201911052924"</f>
        <v>201911052924</v>
      </c>
      <c r="F802" t="str">
        <f>"19-19730"</f>
        <v>19-19730</v>
      </c>
      <c r="G802" s="2">
        <v>100</v>
      </c>
      <c r="H802" t="str">
        <f>"19-19730"</f>
        <v>19-19730</v>
      </c>
    </row>
    <row r="803" spans="1:8" x14ac:dyDescent="0.25">
      <c r="E803" t="str">
        <f>"201911052925"</f>
        <v>201911052925</v>
      </c>
      <c r="F803" t="str">
        <f>"19-19418"</f>
        <v>19-19418</v>
      </c>
      <c r="G803" s="2">
        <v>100</v>
      </c>
      <c r="H803" t="str">
        <f>"19-19418"</f>
        <v>19-19418</v>
      </c>
    </row>
    <row r="804" spans="1:8" x14ac:dyDescent="0.25">
      <c r="E804" t="str">
        <f>"201911052926"</f>
        <v>201911052926</v>
      </c>
      <c r="F804" t="str">
        <f>"57 186"</f>
        <v>57 186</v>
      </c>
      <c r="G804" s="2">
        <v>250</v>
      </c>
      <c r="H804" t="str">
        <f>"57 186"</f>
        <v>57 186</v>
      </c>
    </row>
    <row r="805" spans="1:8" x14ac:dyDescent="0.25">
      <c r="E805" t="str">
        <f>"201911052927"</f>
        <v>201911052927</v>
      </c>
      <c r="F805" t="str">
        <f>"19-19632"</f>
        <v>19-19632</v>
      </c>
      <c r="G805" s="2">
        <v>100</v>
      </c>
      <c r="H805" t="str">
        <f>"19-19632"</f>
        <v>19-19632</v>
      </c>
    </row>
    <row r="806" spans="1:8" x14ac:dyDescent="0.25">
      <c r="E806" t="str">
        <f>"201911052928"</f>
        <v>201911052928</v>
      </c>
      <c r="F806" t="str">
        <f>"02-09262  925-354-669714001"</f>
        <v>02-09262  925-354-669714001</v>
      </c>
      <c r="G806" s="2">
        <v>375</v>
      </c>
      <c r="H806" t="str">
        <f>"02-09262  925-354-669714001"</f>
        <v>02-09262  925-354-669714001</v>
      </c>
    </row>
    <row r="807" spans="1:8" x14ac:dyDescent="0.25">
      <c r="E807" t="str">
        <f>"201911052929"</f>
        <v>201911052929</v>
      </c>
      <c r="F807" t="str">
        <f>"JP109012019B  925-354-3221-190"</f>
        <v>JP109012019B  925-354-3221-190</v>
      </c>
      <c r="G807" s="2">
        <v>250</v>
      </c>
      <c r="H807" t="str">
        <f>"JP109012019B  925-354-3221-190"</f>
        <v>JP109012019B  925-354-3221-190</v>
      </c>
    </row>
    <row r="808" spans="1:8" x14ac:dyDescent="0.25">
      <c r="E808" t="str">
        <f>"9545"</f>
        <v>9545</v>
      </c>
      <c r="F808" t="str">
        <f>"AD LITEM FEE"</f>
        <v>AD LITEM FEE</v>
      </c>
      <c r="G808" s="2">
        <v>150</v>
      </c>
      <c r="H808" t="str">
        <f>"AD LITEM FEE"</f>
        <v>AD LITEM FEE</v>
      </c>
    </row>
    <row r="809" spans="1:8" x14ac:dyDescent="0.25">
      <c r="A809" t="s">
        <v>229</v>
      </c>
      <c r="B809">
        <v>1823</v>
      </c>
      <c r="C809" s="2">
        <v>1550</v>
      </c>
      <c r="D809" s="1">
        <v>43795</v>
      </c>
      <c r="E809" t="str">
        <f>"12847"</f>
        <v>12847</v>
      </c>
      <c r="F809" t="str">
        <f>"AD LITEM FEE 08/26/19"</f>
        <v>AD LITEM FEE 08/26/19</v>
      </c>
      <c r="G809" s="2">
        <v>150</v>
      </c>
      <c r="H809" t="str">
        <f>"AD LITEM FEE 08/26/19"</f>
        <v>AD LITEM FEE 08/26/19</v>
      </c>
    </row>
    <row r="810" spans="1:8" x14ac:dyDescent="0.25">
      <c r="E810" t="str">
        <f>"12890"</f>
        <v>12890</v>
      </c>
      <c r="F810" t="str">
        <f>"AD LITEM FEE 08/26/19"</f>
        <v>AD LITEM FEE 08/26/19</v>
      </c>
      <c r="G810" s="2">
        <v>150</v>
      </c>
      <c r="H810" t="str">
        <f>"AD LITEM FEE 08/26/19"</f>
        <v>AD LITEM FEE 08/26/19</v>
      </c>
    </row>
    <row r="811" spans="1:8" x14ac:dyDescent="0.25">
      <c r="E811" t="str">
        <f>"201911193446"</f>
        <v>201911193446</v>
      </c>
      <c r="F811" t="str">
        <f>"18-19190"</f>
        <v>18-19190</v>
      </c>
      <c r="G811" s="2">
        <v>100</v>
      </c>
      <c r="H811" t="str">
        <f>"18-19190"</f>
        <v>18-19190</v>
      </c>
    </row>
    <row r="812" spans="1:8" x14ac:dyDescent="0.25">
      <c r="E812" t="str">
        <f>"201911193447"</f>
        <v>201911193447</v>
      </c>
      <c r="F812" t="str">
        <f>"19-19889"</f>
        <v>19-19889</v>
      </c>
      <c r="G812" s="2">
        <v>100</v>
      </c>
      <c r="H812" t="str">
        <f>"19-19889"</f>
        <v>19-19889</v>
      </c>
    </row>
    <row r="813" spans="1:8" x14ac:dyDescent="0.25">
      <c r="E813" t="str">
        <f>"201911193448"</f>
        <v>201911193448</v>
      </c>
      <c r="F813" t="str">
        <f>"19-19684"</f>
        <v>19-19684</v>
      </c>
      <c r="G813" s="2">
        <v>100</v>
      </c>
      <c r="H813" t="str">
        <f>"19-19684"</f>
        <v>19-19684</v>
      </c>
    </row>
    <row r="814" spans="1:8" x14ac:dyDescent="0.25">
      <c r="E814" t="str">
        <f>"201911193449"</f>
        <v>201911193449</v>
      </c>
      <c r="F814" t="str">
        <f>"18-18997"</f>
        <v>18-18997</v>
      </c>
      <c r="G814" s="2">
        <v>100</v>
      </c>
      <c r="H814" t="str">
        <f>"18-18997"</f>
        <v>18-18997</v>
      </c>
    </row>
    <row r="815" spans="1:8" x14ac:dyDescent="0.25">
      <c r="E815" t="str">
        <f>"201911193450"</f>
        <v>201911193450</v>
      </c>
      <c r="F815" t="str">
        <f>"19-19954"</f>
        <v>19-19954</v>
      </c>
      <c r="G815" s="2">
        <v>100</v>
      </c>
      <c r="H815" t="str">
        <f>"19-19954"</f>
        <v>19-19954</v>
      </c>
    </row>
    <row r="816" spans="1:8" x14ac:dyDescent="0.25">
      <c r="E816" t="str">
        <f>"201911193451"</f>
        <v>201911193451</v>
      </c>
      <c r="F816" t="str">
        <f>"02.1022.6  925.347.162 2017*35"</f>
        <v>02.1022.6  925.347.162 2017*35</v>
      </c>
      <c r="G816" s="2">
        <v>250</v>
      </c>
      <c r="H816" t="str">
        <f>"02.1022.6  925.347.162 2017*35"</f>
        <v>02.1022.6  925.347.162 2017*35</v>
      </c>
    </row>
    <row r="817" spans="1:8" x14ac:dyDescent="0.25">
      <c r="E817" t="str">
        <f>"201911193452"</f>
        <v>201911193452</v>
      </c>
      <c r="F817" t="str">
        <f>"406309.4  19-S-03468"</f>
        <v>406309.4  19-S-03468</v>
      </c>
      <c r="G817" s="2">
        <v>250</v>
      </c>
      <c r="H817" t="str">
        <f>"406309.4  19-S-03468"</f>
        <v>406309.4  19-S-03468</v>
      </c>
    </row>
    <row r="818" spans="1:8" x14ac:dyDescent="0.25">
      <c r="E818" t="str">
        <f>"201911193453"</f>
        <v>201911193453</v>
      </c>
      <c r="F818" t="str">
        <f>"4063094  9253535202 195-03468"</f>
        <v>4063094  9253535202 195-03468</v>
      </c>
      <c r="G818" s="2">
        <v>250</v>
      </c>
      <c r="H818" t="str">
        <f>"4063094  9253535202 195-03468"</f>
        <v>4063094  9253535202 195-03468</v>
      </c>
    </row>
    <row r="819" spans="1:8" x14ac:dyDescent="0.25">
      <c r="A819" t="s">
        <v>230</v>
      </c>
      <c r="B819">
        <v>129754</v>
      </c>
      <c r="C819" s="2">
        <v>85</v>
      </c>
      <c r="D819" s="1">
        <v>43794</v>
      </c>
      <c r="E819" t="str">
        <f>"201911193458"</f>
        <v>201911193458</v>
      </c>
      <c r="F819" t="str">
        <f>"PER DIEM"</f>
        <v>PER DIEM</v>
      </c>
      <c r="G819" s="2">
        <v>85</v>
      </c>
      <c r="H819" t="str">
        <f>"PER DIEM"</f>
        <v>PER DIEM</v>
      </c>
    </row>
    <row r="820" spans="1:8" x14ac:dyDescent="0.25">
      <c r="A820" t="s">
        <v>231</v>
      </c>
      <c r="B820">
        <v>129755</v>
      </c>
      <c r="C820" s="2">
        <v>125</v>
      </c>
      <c r="D820" s="1">
        <v>43794</v>
      </c>
      <c r="E820" t="str">
        <f>"1178"</f>
        <v>1178</v>
      </c>
      <c r="F820" t="str">
        <f>"MOTOROLA RADIO INSTALL"</f>
        <v>MOTOROLA RADIO INSTALL</v>
      </c>
      <c r="G820" s="2">
        <v>125</v>
      </c>
      <c r="H820" t="str">
        <f>"MOTOROLA RADIO INSTALL"</f>
        <v>MOTOROLA RADIO INSTALL</v>
      </c>
    </row>
    <row r="821" spans="1:8" x14ac:dyDescent="0.25">
      <c r="A821" t="s">
        <v>232</v>
      </c>
      <c r="B821">
        <v>129756</v>
      </c>
      <c r="C821" s="2">
        <v>143.84</v>
      </c>
      <c r="D821" s="1">
        <v>43794</v>
      </c>
      <c r="E821" t="str">
        <f>"201911193322"</f>
        <v>201911193322</v>
      </c>
      <c r="F821" t="str">
        <f>"REIMBURSE MILEAGE"</f>
        <v>REIMBURSE MILEAGE</v>
      </c>
      <c r="G821" s="2">
        <v>143.84</v>
      </c>
      <c r="H821" t="str">
        <f>"REIMBURSE MILEAGE"</f>
        <v>REIMBURSE MILEAGE</v>
      </c>
    </row>
    <row r="822" spans="1:8" x14ac:dyDescent="0.25">
      <c r="A822" t="s">
        <v>233</v>
      </c>
      <c r="B822">
        <v>84745</v>
      </c>
      <c r="C822" s="2">
        <v>2928.79</v>
      </c>
      <c r="D822" s="1">
        <v>43781</v>
      </c>
      <c r="E822" t="str">
        <f>"201911042874"</f>
        <v>201911042874</v>
      </c>
      <c r="F822" t="str">
        <f>"ACCT#8850283308/PCT#1"</f>
        <v>ACCT#8850283308/PCT#1</v>
      </c>
      <c r="G822" s="2">
        <v>2641.89</v>
      </c>
      <c r="H822" t="str">
        <f>"ACCT#8850283308/PCT#1"</f>
        <v>ACCT#8850283308/PCT#1</v>
      </c>
    </row>
    <row r="823" spans="1:8" x14ac:dyDescent="0.25">
      <c r="E823" t="str">
        <f>"P94401"</f>
        <v>P94401</v>
      </c>
      <c r="F823" t="str">
        <f>"ACCT#8850283308/PCT#2"</f>
        <v>ACCT#8850283308/PCT#2</v>
      </c>
      <c r="G823" s="2">
        <v>286.89999999999998</v>
      </c>
      <c r="H823" t="str">
        <f>"ACCT#8850283308/PCT#2"</f>
        <v>ACCT#8850283308/PCT#2</v>
      </c>
    </row>
    <row r="824" spans="1:8" x14ac:dyDescent="0.25">
      <c r="A824" t="s">
        <v>234</v>
      </c>
      <c r="B824">
        <v>129757</v>
      </c>
      <c r="C824" s="2">
        <v>53.36</v>
      </c>
      <c r="D824" s="1">
        <v>43794</v>
      </c>
      <c r="E824" t="str">
        <f>"201911193323"</f>
        <v>201911193323</v>
      </c>
      <c r="F824" t="str">
        <f>"REIMBURSE MILEAGE"</f>
        <v>REIMBURSE MILEAGE</v>
      </c>
      <c r="G824" s="2">
        <v>53.36</v>
      </c>
      <c r="H824" t="str">
        <f>"REIMBURSE MILEAGE"</f>
        <v>REIMBURSE MILEAGE</v>
      </c>
    </row>
    <row r="825" spans="1:8" x14ac:dyDescent="0.25">
      <c r="A825" t="s">
        <v>235</v>
      </c>
      <c r="B825">
        <v>129758</v>
      </c>
      <c r="C825" s="2">
        <v>1820</v>
      </c>
      <c r="D825" s="1">
        <v>43794</v>
      </c>
      <c r="E825" t="str">
        <f>"201911133217"</f>
        <v>201911133217</v>
      </c>
      <c r="F825" t="str">
        <f>"423-4499"</f>
        <v>423-4499</v>
      </c>
      <c r="G825" s="2">
        <v>310</v>
      </c>
      <c r="H825" t="str">
        <f>"423-4499"</f>
        <v>423-4499</v>
      </c>
    </row>
    <row r="826" spans="1:8" x14ac:dyDescent="0.25">
      <c r="E826" t="str">
        <f>"201911193439"</f>
        <v>201911193439</v>
      </c>
      <c r="F826" t="str">
        <f>"19-19864"</f>
        <v>19-19864</v>
      </c>
      <c r="G826" s="2">
        <v>250</v>
      </c>
      <c r="H826" t="str">
        <f>"19-19864"</f>
        <v>19-19864</v>
      </c>
    </row>
    <row r="827" spans="1:8" x14ac:dyDescent="0.25">
      <c r="E827" t="str">
        <f>"201911193440"</f>
        <v>201911193440</v>
      </c>
      <c r="F827" t="str">
        <f>"19-19862"</f>
        <v>19-19862</v>
      </c>
      <c r="G827" s="2">
        <v>250</v>
      </c>
      <c r="H827" t="str">
        <f>"19-19862"</f>
        <v>19-19862</v>
      </c>
    </row>
    <row r="828" spans="1:8" x14ac:dyDescent="0.25">
      <c r="E828" t="str">
        <f>"201911193441"</f>
        <v>201911193441</v>
      </c>
      <c r="F828" t="str">
        <f>"J-3207"</f>
        <v>J-3207</v>
      </c>
      <c r="G828" s="2">
        <v>75</v>
      </c>
      <c r="H828" t="str">
        <f>"J-3207"</f>
        <v>J-3207</v>
      </c>
    </row>
    <row r="829" spans="1:8" x14ac:dyDescent="0.25">
      <c r="E829" t="str">
        <f>"201911193442"</f>
        <v>201911193442</v>
      </c>
      <c r="F829" t="str">
        <f>"J-3207"</f>
        <v>J-3207</v>
      </c>
      <c r="G829" s="2">
        <v>150</v>
      </c>
      <c r="H829" t="str">
        <f>"J-3207"</f>
        <v>J-3207</v>
      </c>
    </row>
    <row r="830" spans="1:8" x14ac:dyDescent="0.25">
      <c r="E830" t="str">
        <f>"201911193443"</f>
        <v>201911193443</v>
      </c>
      <c r="F830" t="str">
        <f>"19-19632"</f>
        <v>19-19632</v>
      </c>
      <c r="G830" s="2">
        <v>225</v>
      </c>
      <c r="H830" t="str">
        <f>"19-19632"</f>
        <v>19-19632</v>
      </c>
    </row>
    <row r="831" spans="1:8" x14ac:dyDescent="0.25">
      <c r="E831" t="str">
        <f>"201911193444"</f>
        <v>201911193444</v>
      </c>
      <c r="F831" t="str">
        <f>"C020190714-D"</f>
        <v>C020190714-D</v>
      </c>
      <c r="G831" s="2">
        <v>250</v>
      </c>
      <c r="H831" t="str">
        <f>"C020190714-D"</f>
        <v>C020190714-D</v>
      </c>
    </row>
    <row r="832" spans="1:8" x14ac:dyDescent="0.25">
      <c r="E832" t="str">
        <f>"201911193445"</f>
        <v>201911193445</v>
      </c>
      <c r="F832" t="str">
        <f>"19-19632"</f>
        <v>19-19632</v>
      </c>
      <c r="G832" s="2">
        <v>310</v>
      </c>
      <c r="H832" t="str">
        <f>"19-19632"</f>
        <v>19-19632</v>
      </c>
    </row>
    <row r="833" spans="1:8" x14ac:dyDescent="0.25">
      <c r="A833" t="s">
        <v>236</v>
      </c>
      <c r="B833">
        <v>84746</v>
      </c>
      <c r="C833" s="2">
        <v>225</v>
      </c>
      <c r="D833" s="1">
        <v>43781</v>
      </c>
      <c r="E833" t="str">
        <f>"201911052994"</f>
        <v>201911052994</v>
      </c>
      <c r="F833" t="str">
        <f>"REFUND DVLPMT PERMIT FEE"</f>
        <v>REFUND DVLPMT PERMIT FEE</v>
      </c>
      <c r="G833" s="2">
        <v>225</v>
      </c>
      <c r="H833" t="str">
        <f>"REFUND DVLPMT PERMIT FEE"</f>
        <v>REFUND DVLPMT PERMIT FEE</v>
      </c>
    </row>
    <row r="834" spans="1:8" x14ac:dyDescent="0.25">
      <c r="A834" t="s">
        <v>237</v>
      </c>
      <c r="B834">
        <v>84747</v>
      </c>
      <c r="C834" s="2">
        <v>16288.8</v>
      </c>
      <c r="D834" s="1">
        <v>43781</v>
      </c>
      <c r="E834" t="str">
        <f>"201701925"</f>
        <v>201701925</v>
      </c>
      <c r="F834" t="str">
        <f>"SCAAP FY 2018 AWARD"</f>
        <v>SCAAP FY 2018 AWARD</v>
      </c>
      <c r="G834" s="2">
        <v>16288.8</v>
      </c>
      <c r="H834" t="str">
        <f>"SCAAP FY 2018 AWARD"</f>
        <v>SCAAP FY 2018 AWARD</v>
      </c>
    </row>
    <row r="835" spans="1:8" x14ac:dyDescent="0.25">
      <c r="A835" t="s">
        <v>238</v>
      </c>
      <c r="B835">
        <v>1736</v>
      </c>
      <c r="C835" s="2">
        <v>9525</v>
      </c>
      <c r="D835" s="1">
        <v>43782</v>
      </c>
      <c r="E835" t="str">
        <f>"201910292791"</f>
        <v>201910292791</v>
      </c>
      <c r="F835" t="str">
        <f>"404298-1"</f>
        <v>404298-1</v>
      </c>
      <c r="G835" s="2">
        <v>400</v>
      </c>
      <c r="H835" t="str">
        <f>"404298-1"</f>
        <v>404298-1</v>
      </c>
    </row>
    <row r="836" spans="1:8" x14ac:dyDescent="0.25">
      <c r="E836" t="str">
        <f>"201910292792"</f>
        <v>201910292792</v>
      </c>
      <c r="F836" t="str">
        <f>"1322-335"</f>
        <v>1322-335</v>
      </c>
      <c r="G836" s="2">
        <v>100</v>
      </c>
      <c r="H836" t="str">
        <f>"1322-335"</f>
        <v>1322-335</v>
      </c>
    </row>
    <row r="837" spans="1:8" x14ac:dyDescent="0.25">
      <c r="E837" t="str">
        <f>"201910292793"</f>
        <v>201910292793</v>
      </c>
      <c r="F837" t="str">
        <f>"16675"</f>
        <v>16675</v>
      </c>
      <c r="G837" s="2">
        <v>8350</v>
      </c>
      <c r="H837" t="str">
        <f>"16675"</f>
        <v>16675</v>
      </c>
    </row>
    <row r="838" spans="1:8" x14ac:dyDescent="0.25">
      <c r="E838" t="str">
        <f>"201910292794"</f>
        <v>201910292794</v>
      </c>
      <c r="F838" t="str">
        <f>"19-02166"</f>
        <v>19-02166</v>
      </c>
      <c r="G838" s="2">
        <v>100</v>
      </c>
      <c r="H838" t="str">
        <f>"19-02166"</f>
        <v>19-02166</v>
      </c>
    </row>
    <row r="839" spans="1:8" x14ac:dyDescent="0.25">
      <c r="E839" t="str">
        <f>"201911012823"</f>
        <v>201911012823</v>
      </c>
      <c r="F839" t="str">
        <f>"1329-335  DCPC-19-083"</f>
        <v>1329-335  DCPC-19-083</v>
      </c>
      <c r="G839" s="2">
        <v>200</v>
      </c>
      <c r="H839" t="str">
        <f>"1329-335  DCPC-19-083"</f>
        <v>1329-335  DCPC-19-083</v>
      </c>
    </row>
    <row r="840" spans="1:8" x14ac:dyDescent="0.25">
      <c r="E840" t="str">
        <f>"201911052952"</f>
        <v>201911052952</v>
      </c>
      <c r="F840" t="str">
        <f>"54708  307172018B"</f>
        <v>54708  307172018B</v>
      </c>
      <c r="G840" s="2">
        <v>375</v>
      </c>
      <c r="H840" t="str">
        <f>"54708  307172018B"</f>
        <v>54708  307172018B</v>
      </c>
    </row>
    <row r="841" spans="1:8" x14ac:dyDescent="0.25">
      <c r="A841" t="s">
        <v>238</v>
      </c>
      <c r="B841">
        <v>1815</v>
      </c>
      <c r="C841" s="2">
        <v>2000</v>
      </c>
      <c r="D841" s="1">
        <v>43795</v>
      </c>
      <c r="E841" t="str">
        <f>"201911153290"</f>
        <v>201911153290</v>
      </c>
      <c r="F841" t="str">
        <f>"20190816B"</f>
        <v>20190816B</v>
      </c>
      <c r="G841" s="2">
        <v>400</v>
      </c>
      <c r="H841" t="str">
        <f>"20190816B"</f>
        <v>20190816B</v>
      </c>
    </row>
    <row r="842" spans="1:8" x14ac:dyDescent="0.25">
      <c r="E842" t="str">
        <f>"201911153291"</f>
        <v>201911153291</v>
      </c>
      <c r="F842" t="str">
        <f>"JP1070619E"</f>
        <v>JP1070619E</v>
      </c>
      <c r="G842" s="2">
        <v>400</v>
      </c>
      <c r="H842" t="str">
        <f>"JP1070619E"</f>
        <v>JP1070619E</v>
      </c>
    </row>
    <row r="843" spans="1:8" x14ac:dyDescent="0.25">
      <c r="E843" t="str">
        <f>"201911153292"</f>
        <v>201911153292</v>
      </c>
      <c r="F843" t="str">
        <f>"423-6923"</f>
        <v>423-6923</v>
      </c>
      <c r="G843" s="2">
        <v>100</v>
      </c>
      <c r="H843" t="str">
        <f>"423-6923"</f>
        <v>423-6923</v>
      </c>
    </row>
    <row r="844" spans="1:8" x14ac:dyDescent="0.25">
      <c r="E844" t="str">
        <f>"201911183315"</f>
        <v>201911183315</v>
      </c>
      <c r="F844" t="str">
        <f>"1342-21"</f>
        <v>1342-21</v>
      </c>
      <c r="G844" s="2">
        <v>100</v>
      </c>
      <c r="H844" t="str">
        <f>"1342-21"</f>
        <v>1342-21</v>
      </c>
    </row>
    <row r="845" spans="1:8" x14ac:dyDescent="0.25">
      <c r="E845" t="str">
        <f>"201911193384"</f>
        <v>201911193384</v>
      </c>
      <c r="F845" t="str">
        <f>"0208072"</f>
        <v>0208072</v>
      </c>
      <c r="G845" s="2">
        <v>250</v>
      </c>
      <c r="H845" t="str">
        <f>"0208072"</f>
        <v>0208072</v>
      </c>
    </row>
    <row r="846" spans="1:8" x14ac:dyDescent="0.25">
      <c r="E846" t="str">
        <f>"201911193385"</f>
        <v>201911193385</v>
      </c>
      <c r="F846" t="str">
        <f>"20170506  20170506A"</f>
        <v>20170506  20170506A</v>
      </c>
      <c r="G846" s="2">
        <v>375</v>
      </c>
      <c r="H846" t="str">
        <f>"20170506  20170506A"</f>
        <v>20170506  20170506A</v>
      </c>
    </row>
    <row r="847" spans="1:8" x14ac:dyDescent="0.25">
      <c r="E847" t="str">
        <f>"201911193386"</f>
        <v>201911193386</v>
      </c>
      <c r="F847" t="str">
        <f>"57237  57238"</f>
        <v>57237  57238</v>
      </c>
      <c r="G847" s="2">
        <v>375</v>
      </c>
      <c r="H847" t="str">
        <f>"57237  57238"</f>
        <v>57237  57238</v>
      </c>
    </row>
    <row r="848" spans="1:8" x14ac:dyDescent="0.25">
      <c r="A848" t="s">
        <v>239</v>
      </c>
      <c r="B848">
        <v>84748</v>
      </c>
      <c r="C848" s="2">
        <v>25</v>
      </c>
      <c r="D848" s="1">
        <v>43781</v>
      </c>
      <c r="E848" t="str">
        <f>"201911063047"</f>
        <v>201911063047</v>
      </c>
      <c r="F848" t="str">
        <f>"RESTITUTION"</f>
        <v>RESTITUTION</v>
      </c>
      <c r="G848" s="2">
        <v>25</v>
      </c>
      <c r="H848" t="str">
        <f>"RESTITUTION"</f>
        <v>RESTITUTION</v>
      </c>
    </row>
    <row r="849" spans="1:8" x14ac:dyDescent="0.25">
      <c r="A849" t="s">
        <v>240</v>
      </c>
      <c r="B849">
        <v>84749</v>
      </c>
      <c r="C849" s="2">
        <v>1107.5</v>
      </c>
      <c r="D849" s="1">
        <v>43781</v>
      </c>
      <c r="E849" t="str">
        <f>"201911052972"</f>
        <v>201911052972</v>
      </c>
      <c r="F849" t="str">
        <f>"19-19739"</f>
        <v>19-19739</v>
      </c>
      <c r="G849" s="2">
        <v>60</v>
      </c>
      <c r="H849" t="str">
        <f>"19-19739"</f>
        <v>19-19739</v>
      </c>
    </row>
    <row r="850" spans="1:8" x14ac:dyDescent="0.25">
      <c r="E850" t="str">
        <f>"201911052973"</f>
        <v>201911052973</v>
      </c>
      <c r="F850" t="str">
        <f>"18-19299"</f>
        <v>18-19299</v>
      </c>
      <c r="G850" s="2">
        <v>30</v>
      </c>
      <c r="H850" t="str">
        <f>"18-19299"</f>
        <v>18-19299</v>
      </c>
    </row>
    <row r="851" spans="1:8" x14ac:dyDescent="0.25">
      <c r="E851" t="str">
        <f>"201911052974"</f>
        <v>201911052974</v>
      </c>
      <c r="F851" t="str">
        <f>"18-19240"</f>
        <v>18-19240</v>
      </c>
      <c r="G851" s="2">
        <v>272.5</v>
      </c>
      <c r="H851" t="str">
        <f>"18-19240"</f>
        <v>18-19240</v>
      </c>
    </row>
    <row r="852" spans="1:8" x14ac:dyDescent="0.25">
      <c r="E852" t="str">
        <f>"201911063014"</f>
        <v>201911063014</v>
      </c>
      <c r="F852" t="str">
        <f>"423-2327"</f>
        <v>423-2327</v>
      </c>
      <c r="G852" s="2">
        <v>187.5</v>
      </c>
      <c r="H852" t="str">
        <f>"423-2327"</f>
        <v>423-2327</v>
      </c>
    </row>
    <row r="853" spans="1:8" x14ac:dyDescent="0.25">
      <c r="E853" t="str">
        <f>"201911063015"</f>
        <v>201911063015</v>
      </c>
      <c r="F853" t="str">
        <f>"423-5815"</f>
        <v>423-5815</v>
      </c>
      <c r="G853" s="2">
        <v>557.5</v>
      </c>
      <c r="H853" t="str">
        <f>"423-5815"</f>
        <v>423-5815</v>
      </c>
    </row>
    <row r="854" spans="1:8" x14ac:dyDescent="0.25">
      <c r="A854" t="s">
        <v>241</v>
      </c>
      <c r="B854">
        <v>84750</v>
      </c>
      <c r="C854" s="2">
        <v>260</v>
      </c>
      <c r="D854" s="1">
        <v>43781</v>
      </c>
      <c r="E854" t="str">
        <f>"201911052996"</f>
        <v>201911052996</v>
      </c>
      <c r="F854" t="str">
        <f>"423-6426 INTERPRETING SVCS"</f>
        <v>423-6426 INTERPRETING SVCS</v>
      </c>
      <c r="G854" s="2">
        <v>260</v>
      </c>
      <c r="H854" t="str">
        <f>"423-6426 INTERPRETING SVCS"</f>
        <v>423-6426 INTERPRETING SVCS</v>
      </c>
    </row>
    <row r="855" spans="1:8" x14ac:dyDescent="0.25">
      <c r="A855" t="s">
        <v>242</v>
      </c>
      <c r="B855">
        <v>84751</v>
      </c>
      <c r="C855" s="2">
        <v>167.72</v>
      </c>
      <c r="D855" s="1">
        <v>43781</v>
      </c>
      <c r="E855" t="str">
        <f>"1520-00000157880"</f>
        <v>1520-00000157880</v>
      </c>
      <c r="F855" t="str">
        <f>"INV 1520-00000157880"</f>
        <v>INV 1520-00000157880</v>
      </c>
      <c r="G855" s="2">
        <v>167.72</v>
      </c>
      <c r="H855" t="str">
        <f>"INV 1520-00000157880"</f>
        <v>INV 1520-00000157880</v>
      </c>
    </row>
    <row r="856" spans="1:8" x14ac:dyDescent="0.25">
      <c r="A856" t="s">
        <v>243</v>
      </c>
      <c r="B856">
        <v>1729</v>
      </c>
      <c r="C856" s="2">
        <v>2617</v>
      </c>
      <c r="D856" s="1">
        <v>43782</v>
      </c>
      <c r="E856" t="str">
        <f>"248"</f>
        <v>248</v>
      </c>
      <c r="F856" t="str">
        <f>"TOWER RENT"</f>
        <v>TOWER RENT</v>
      </c>
      <c r="G856" s="2">
        <v>2617</v>
      </c>
      <c r="H856" t="str">
        <f>"TOWER RENT"</f>
        <v>TOWER RENT</v>
      </c>
    </row>
    <row r="857" spans="1:8" x14ac:dyDescent="0.25">
      <c r="A857" t="s">
        <v>244</v>
      </c>
      <c r="B857">
        <v>129759</v>
      </c>
      <c r="C857" s="2">
        <v>3383</v>
      </c>
      <c r="D857" s="1">
        <v>43794</v>
      </c>
      <c r="E857" t="str">
        <f>"201911143274"</f>
        <v>201911143274</v>
      </c>
      <c r="F857" t="str">
        <f>"15-914"</f>
        <v>15-914</v>
      </c>
      <c r="G857" s="2">
        <v>3383</v>
      </c>
      <c r="H857" t="str">
        <f>"15-914"</f>
        <v>15-914</v>
      </c>
    </row>
    <row r="858" spans="1:8" x14ac:dyDescent="0.25">
      <c r="A858" t="s">
        <v>245</v>
      </c>
      <c r="B858">
        <v>84752</v>
      </c>
      <c r="C858" s="2">
        <v>1348</v>
      </c>
      <c r="D858" s="1">
        <v>43781</v>
      </c>
      <c r="E858" t="str">
        <f>"20207"</f>
        <v>20207</v>
      </c>
      <c r="F858" t="str">
        <f>"INV 20207"</f>
        <v>INV 20207</v>
      </c>
      <c r="G858" s="2">
        <v>1348</v>
      </c>
      <c r="H858" t="str">
        <f>"INV 20207"</f>
        <v>INV 20207</v>
      </c>
    </row>
    <row r="859" spans="1:8" x14ac:dyDescent="0.25">
      <c r="A859" t="s">
        <v>246</v>
      </c>
      <c r="B859">
        <v>84753</v>
      </c>
      <c r="C859" s="2">
        <v>180</v>
      </c>
      <c r="D859" s="1">
        <v>43781</v>
      </c>
      <c r="E859" t="str">
        <f>"1953"</f>
        <v>1953</v>
      </c>
      <c r="F859" t="str">
        <f>"PORTABLE TOILET/HANDICAP"</f>
        <v>PORTABLE TOILET/HANDICAP</v>
      </c>
      <c r="G859" s="2">
        <v>180</v>
      </c>
      <c r="H859" t="str">
        <f>"PORTABLE TOILET/HANDICAP"</f>
        <v>PORTABLE TOILET/HANDICAP</v>
      </c>
    </row>
    <row r="860" spans="1:8" x14ac:dyDescent="0.25">
      <c r="A860" t="s">
        <v>247</v>
      </c>
      <c r="B860">
        <v>129760</v>
      </c>
      <c r="C860" s="2">
        <v>264.60000000000002</v>
      </c>
      <c r="D860" s="1">
        <v>43794</v>
      </c>
      <c r="E860" t="str">
        <f>"813844"</f>
        <v>813844</v>
      </c>
      <c r="F860" t="str">
        <f>"CUST#10222/IT DEPT"</f>
        <v>CUST#10222/IT DEPT</v>
      </c>
      <c r="G860" s="2">
        <v>264.60000000000002</v>
      </c>
      <c r="H860" t="str">
        <f>"CUST#10222/IT DEPT"</f>
        <v>CUST#10222/IT DEPT</v>
      </c>
    </row>
    <row r="861" spans="1:8" x14ac:dyDescent="0.25">
      <c r="A861" t="s">
        <v>248</v>
      </c>
      <c r="B861">
        <v>1706</v>
      </c>
      <c r="C861" s="2">
        <v>99</v>
      </c>
      <c r="D861" s="1">
        <v>43782</v>
      </c>
      <c r="E861" t="str">
        <f>"272777"</f>
        <v>272777</v>
      </c>
      <c r="F861" t="str">
        <f>"ORD#1269-9884/FIRE PROT MONITO"</f>
        <v>ORD#1269-9884/FIRE PROT MONITO</v>
      </c>
      <c r="G861" s="2">
        <v>99</v>
      </c>
      <c r="H861" t="str">
        <f>"ORD#1269-9884/FIRE PROT MONITO"</f>
        <v>ORD#1269-9884/FIRE PROT MONITO</v>
      </c>
    </row>
    <row r="862" spans="1:8" x14ac:dyDescent="0.25">
      <c r="A862" t="s">
        <v>249</v>
      </c>
      <c r="B862">
        <v>84754</v>
      </c>
      <c r="C862" s="2">
        <v>879.94</v>
      </c>
      <c r="D862" s="1">
        <v>43781</v>
      </c>
      <c r="E862" t="str">
        <f>"R301009378:01"</f>
        <v>R301009378:01</v>
      </c>
      <c r="F862" t="str">
        <f>"SERVICE / PRECINCT 1"</f>
        <v>SERVICE / PRECINCT 1</v>
      </c>
      <c r="G862" s="2">
        <v>510.57</v>
      </c>
      <c r="H862" t="str">
        <f>"SERVICE / PRECINCT 1"</f>
        <v>SERVICE / PRECINCT 1</v>
      </c>
    </row>
    <row r="863" spans="1:8" x14ac:dyDescent="0.25">
      <c r="E863" t="str">
        <f>"R301009386:01"</f>
        <v>R301009386:01</v>
      </c>
      <c r="F863" t="str">
        <f>"SERVICE / PRECINCT 1"</f>
        <v>SERVICE / PRECINCT 1</v>
      </c>
      <c r="G863" s="2">
        <v>369.37</v>
      </c>
      <c r="H863" t="str">
        <f>"SERVICE / PRECINCT 1"</f>
        <v>SERVICE / PRECINCT 1</v>
      </c>
    </row>
    <row r="864" spans="1:8" x14ac:dyDescent="0.25">
      <c r="A864" t="s">
        <v>250</v>
      </c>
      <c r="B864">
        <v>84755</v>
      </c>
      <c r="C864" s="2">
        <v>3208.89</v>
      </c>
      <c r="D864" s="1">
        <v>43781</v>
      </c>
      <c r="E864" t="str">
        <f>"201911042857"</f>
        <v>201911042857</v>
      </c>
      <c r="F864" t="str">
        <f>"ACCT#1750/PCT#3"</f>
        <v>ACCT#1750/PCT#3</v>
      </c>
      <c r="G864" s="2">
        <v>1164</v>
      </c>
      <c r="H864" t="str">
        <f>"ACCT#1750/PCT#3"</f>
        <v>ACCT#1750/PCT#3</v>
      </c>
    </row>
    <row r="865" spans="1:8" x14ac:dyDescent="0.25">
      <c r="E865" t="str">
        <f>"201911042858"</f>
        <v>201911042858</v>
      </c>
      <c r="F865" t="str">
        <f>"ACCT#1800/PCT#4"</f>
        <v>ACCT#1800/PCT#4</v>
      </c>
      <c r="G865" s="2">
        <v>126.15</v>
      </c>
      <c r="H865" t="str">
        <f>"ACCT#1800/PCT#4"</f>
        <v>ACCT#1800/PCT#4</v>
      </c>
    </row>
    <row r="866" spans="1:8" x14ac:dyDescent="0.25">
      <c r="E866" t="str">
        <f>"201911052880"</f>
        <v>201911052880</v>
      </c>
      <c r="F866" t="str">
        <f>"ACCT#1645/WILDFIRE MITIGATION"</f>
        <v>ACCT#1645/WILDFIRE MITIGATION</v>
      </c>
      <c r="G866" s="2">
        <v>341.48</v>
      </c>
      <c r="H866" t="str">
        <f>"ACCT#1645/WILDFIRE MITIGATION"</f>
        <v>ACCT#1645/WILDFIRE MITIGATION</v>
      </c>
    </row>
    <row r="867" spans="1:8" x14ac:dyDescent="0.25">
      <c r="E867" t="str">
        <f>""</f>
        <v/>
      </c>
      <c r="F867" t="str">
        <f>""</f>
        <v/>
      </c>
      <c r="H867" t="str">
        <f>"ACCT#1645/WILDFIRE MITIGATION"</f>
        <v>ACCT#1645/WILDFIRE MITIGATION</v>
      </c>
    </row>
    <row r="868" spans="1:8" x14ac:dyDescent="0.25">
      <c r="E868" t="str">
        <f>"201911063018"</f>
        <v>201911063018</v>
      </c>
      <c r="F868" t="str">
        <f>"CUST #1650 / PCT 1"</f>
        <v>CUST #1650 / PCT 1</v>
      </c>
      <c r="G868" s="2">
        <v>1139.71</v>
      </c>
      <c r="H868" t="str">
        <f>"CUST #1650 / PCT 1"</f>
        <v>CUST #1650 / PCT 1</v>
      </c>
    </row>
    <row r="869" spans="1:8" x14ac:dyDescent="0.25">
      <c r="E869" t="str">
        <f>"201911063041"</f>
        <v>201911063041</v>
      </c>
      <c r="F869" t="str">
        <f>"ACCT#1650 - 10312019"</f>
        <v>ACCT#1650 - 10312019</v>
      </c>
      <c r="G869" s="2">
        <v>437.55</v>
      </c>
      <c r="H869" t="str">
        <f>"ACCT#1650 - 10312019"</f>
        <v>ACCT#1650 - 10312019</v>
      </c>
    </row>
    <row r="870" spans="1:8" x14ac:dyDescent="0.25">
      <c r="E870" t="str">
        <f>""</f>
        <v/>
      </c>
      <c r="F870" t="str">
        <f>""</f>
        <v/>
      </c>
      <c r="H870" t="str">
        <f>"ACCT#1650 - 10312019"</f>
        <v>ACCT#1650 - 10312019</v>
      </c>
    </row>
    <row r="871" spans="1:8" x14ac:dyDescent="0.25">
      <c r="A871" t="s">
        <v>250</v>
      </c>
      <c r="B871">
        <v>129761</v>
      </c>
      <c r="C871" s="2">
        <v>115.48</v>
      </c>
      <c r="D871" s="1">
        <v>43794</v>
      </c>
      <c r="E871" t="str">
        <f>"201911143261"</f>
        <v>201911143261</v>
      </c>
      <c r="F871" t="str">
        <f>"ACCT#1162"</f>
        <v>ACCT#1162</v>
      </c>
      <c r="G871" s="2">
        <v>115.48</v>
      </c>
      <c r="H871" t="str">
        <f>"ACCT#1162"</f>
        <v>ACCT#1162</v>
      </c>
    </row>
    <row r="872" spans="1:8" x14ac:dyDescent="0.25">
      <c r="E872" t="str">
        <f>""</f>
        <v/>
      </c>
      <c r="F872" t="str">
        <f>""</f>
        <v/>
      </c>
      <c r="H872" t="str">
        <f>"ACCT#1162"</f>
        <v>ACCT#1162</v>
      </c>
    </row>
    <row r="873" spans="1:8" x14ac:dyDescent="0.25">
      <c r="A873" t="s">
        <v>251</v>
      </c>
      <c r="B873">
        <v>129762</v>
      </c>
      <c r="C873" s="2">
        <v>9400</v>
      </c>
      <c r="D873" s="1">
        <v>43794</v>
      </c>
      <c r="E873" t="str">
        <f>"201911183309"</f>
        <v>201911183309</v>
      </c>
      <c r="F873" t="str">
        <f>"LA GRANGE PORTABLE &amp; EQUIPMENT"</f>
        <v>LA GRANGE PORTABLE &amp; EQUIPMENT</v>
      </c>
      <c r="G873" s="2">
        <v>9400</v>
      </c>
      <c r="H873" t="str">
        <f>"ESRI Trailer"</f>
        <v>ESRI Trailer</v>
      </c>
    </row>
    <row r="874" spans="1:8" x14ac:dyDescent="0.25">
      <c r="A874" t="s">
        <v>252</v>
      </c>
      <c r="B874">
        <v>84756</v>
      </c>
      <c r="C874" s="2">
        <v>1922.32</v>
      </c>
      <c r="D874" s="1">
        <v>43781</v>
      </c>
      <c r="E874" t="str">
        <f>"10235230  10306523"</f>
        <v>10235230  10306523</v>
      </c>
      <c r="F874" t="str">
        <f>"INV 10235230"</f>
        <v>INV 10235230</v>
      </c>
      <c r="G874" s="2">
        <v>1922.32</v>
      </c>
      <c r="H874" t="str">
        <f>"INV 10235230"</f>
        <v>INV 10235230</v>
      </c>
    </row>
    <row r="875" spans="1:8" x14ac:dyDescent="0.25">
      <c r="E875" t="str">
        <f>""</f>
        <v/>
      </c>
      <c r="F875" t="str">
        <f>""</f>
        <v/>
      </c>
      <c r="H875" t="str">
        <f>"INV 10306523"</f>
        <v>INV 10306523</v>
      </c>
    </row>
    <row r="876" spans="1:8" x14ac:dyDescent="0.25">
      <c r="A876" t="s">
        <v>252</v>
      </c>
      <c r="B876">
        <v>129763</v>
      </c>
      <c r="C876" s="2">
        <v>2512.3000000000002</v>
      </c>
      <c r="D876" s="1">
        <v>43794</v>
      </c>
      <c r="E876" t="str">
        <f>"11067422 11137985"</f>
        <v>11067422 11137985</v>
      </c>
      <c r="F876" t="str">
        <f>"INV 11067422"</f>
        <v>INV 11067422</v>
      </c>
      <c r="G876" s="2">
        <v>2512.3000000000002</v>
      </c>
      <c r="H876" t="str">
        <f>"INV 11067422"</f>
        <v>INV 11067422</v>
      </c>
    </row>
    <row r="877" spans="1:8" x14ac:dyDescent="0.25">
      <c r="E877" t="str">
        <f>""</f>
        <v/>
      </c>
      <c r="F877" t="str">
        <f>""</f>
        <v/>
      </c>
      <c r="H877" t="str">
        <f>"INV 11137985"</f>
        <v>INV 11137985</v>
      </c>
    </row>
    <row r="878" spans="1:8" x14ac:dyDescent="0.25">
      <c r="A878" t="s">
        <v>253</v>
      </c>
      <c r="B878">
        <v>84757</v>
      </c>
      <c r="C878" s="2">
        <v>32.44</v>
      </c>
      <c r="D878" s="1">
        <v>43781</v>
      </c>
      <c r="E878" t="str">
        <f>"201910302810"</f>
        <v>201910302810</v>
      </c>
      <c r="F878" t="str">
        <f>"REIMBURSEMENT FOR FRAMES"</f>
        <v>REIMBURSEMENT FOR FRAMES</v>
      </c>
      <c r="G878" s="2">
        <v>32.44</v>
      </c>
      <c r="H878" t="str">
        <f>"REIMBURSEMENT FOR FRAMES"</f>
        <v>REIMBURSEMENT FOR FRAMES</v>
      </c>
    </row>
    <row r="879" spans="1:8" x14ac:dyDescent="0.25">
      <c r="A879" t="s">
        <v>254</v>
      </c>
      <c r="B879">
        <v>1719</v>
      </c>
      <c r="C879" s="2">
        <v>150</v>
      </c>
      <c r="D879" s="1">
        <v>43782</v>
      </c>
      <c r="E879" t="str">
        <f>"201911042856"</f>
        <v>201911042856</v>
      </c>
      <c r="F879" t="str">
        <f>"CLEANING SVC/PCT#2"</f>
        <v>CLEANING SVC/PCT#2</v>
      </c>
      <c r="G879" s="2">
        <v>150</v>
      </c>
      <c r="H879" t="str">
        <f>"CLEANING SVC/PCT#2"</f>
        <v>CLEANING SVC/PCT#2</v>
      </c>
    </row>
    <row r="880" spans="1:8" x14ac:dyDescent="0.25">
      <c r="A880" t="s">
        <v>254</v>
      </c>
      <c r="B880">
        <v>1788</v>
      </c>
      <c r="C880" s="2">
        <v>150</v>
      </c>
      <c r="D880" s="1">
        <v>43795</v>
      </c>
      <c r="E880" t="str">
        <f>"201911183312"</f>
        <v>201911183312</v>
      </c>
      <c r="F880" t="str">
        <f>"CLEANING SVC/PCT#2"</f>
        <v>CLEANING SVC/PCT#2</v>
      </c>
      <c r="G880" s="2">
        <v>150</v>
      </c>
      <c r="H880" t="str">
        <f>"CLEANING SVC/PCT#2"</f>
        <v>CLEANING SVC/PCT#2</v>
      </c>
    </row>
    <row r="881" spans="1:8" x14ac:dyDescent="0.25">
      <c r="A881" t="s">
        <v>254</v>
      </c>
      <c r="B881">
        <v>1790</v>
      </c>
      <c r="C881" s="2">
        <v>283.04000000000002</v>
      </c>
      <c r="D881" s="1">
        <v>43795</v>
      </c>
      <c r="E881" t="str">
        <f>"201911143278"</f>
        <v>201911143278</v>
      </c>
      <c r="F881" t="str">
        <f>"MILEAGE REIMBURSEMENT"</f>
        <v>MILEAGE REIMBURSEMENT</v>
      </c>
      <c r="G881" s="2">
        <v>283.04000000000002</v>
      </c>
      <c r="H881" t="str">
        <f>"MILEAGE REIMBURSEMENT"</f>
        <v>MILEAGE REIMBURSEMENT</v>
      </c>
    </row>
    <row r="882" spans="1:8" x14ac:dyDescent="0.25">
      <c r="A882" t="s">
        <v>255</v>
      </c>
      <c r="B882">
        <v>84645</v>
      </c>
      <c r="C882" s="2">
        <v>50.25</v>
      </c>
      <c r="D882" s="1">
        <v>43773</v>
      </c>
      <c r="E882" t="str">
        <f>"201911042867"</f>
        <v>201911042867</v>
      </c>
      <c r="F882" t="str">
        <f>"ACCT#1-09-00072-02 1 / 102519"</f>
        <v>ACCT#1-09-00072-02 1 / 102519</v>
      </c>
      <c r="G882" s="2">
        <v>50.25</v>
      </c>
      <c r="H882" t="str">
        <f>"ACCT#1-09-00072-02 1 / 102519"</f>
        <v>ACCT#1-09-00072-02 1 / 102519</v>
      </c>
    </row>
    <row r="883" spans="1:8" x14ac:dyDescent="0.25">
      <c r="A883" t="s">
        <v>256</v>
      </c>
      <c r="B883">
        <v>84758</v>
      </c>
      <c r="C883" s="2">
        <v>283</v>
      </c>
      <c r="D883" s="1">
        <v>43781</v>
      </c>
      <c r="E883" t="str">
        <f>"0557918763"</f>
        <v>0557918763</v>
      </c>
      <c r="F883" t="str">
        <f>"INV 0557918763"</f>
        <v>INV 0557918763</v>
      </c>
      <c r="G883" s="2">
        <v>283</v>
      </c>
      <c r="H883" t="str">
        <f>"INV 0557918763"</f>
        <v>INV 0557918763</v>
      </c>
    </row>
    <row r="884" spans="1:8" x14ac:dyDescent="0.25">
      <c r="A884" t="s">
        <v>257</v>
      </c>
      <c r="B884">
        <v>84759</v>
      </c>
      <c r="C884" s="2">
        <v>1476.45</v>
      </c>
      <c r="D884" s="1">
        <v>43781</v>
      </c>
      <c r="E884" t="str">
        <f>"1211621-20191031"</f>
        <v>1211621-20191031</v>
      </c>
      <c r="F884" t="str">
        <f>"BILLING ID:1211621/HEALTH SVCS"</f>
        <v>BILLING ID:1211621/HEALTH SVCS</v>
      </c>
      <c r="G884" s="2">
        <v>1108.05</v>
      </c>
      <c r="H884" t="str">
        <f>"BILLING ID:1211621/HEALTH SVCS"</f>
        <v>BILLING ID:1211621/HEALTH SVCS</v>
      </c>
    </row>
    <row r="885" spans="1:8" x14ac:dyDescent="0.25">
      <c r="E885" t="str">
        <f>"1420944-20191031"</f>
        <v>1420944-20191031</v>
      </c>
      <c r="F885" t="str">
        <f>"BILLING ID:1420944/SHERIFF OFF"</f>
        <v>BILLING ID:1420944/SHERIFF OFF</v>
      </c>
      <c r="G885" s="2">
        <v>318.39999999999998</v>
      </c>
      <c r="H885" t="str">
        <f>"BILLING ID:1420944/SHERIFF OFF"</f>
        <v>BILLING ID:1420944/SHERIFF OFF</v>
      </c>
    </row>
    <row r="886" spans="1:8" x14ac:dyDescent="0.25">
      <c r="E886" t="str">
        <f>"1489870-20191031"</f>
        <v>1489870-20191031</v>
      </c>
      <c r="F886" t="str">
        <f>"BILL ID:1489870/DISTRICT CLERK"</f>
        <v>BILL ID:1489870/DISTRICT CLERK</v>
      </c>
      <c r="G886" s="2">
        <v>50</v>
      </c>
      <c r="H886" t="str">
        <f>"BILL ID:1489870/DISTRICT CLERK"</f>
        <v>BILL ID:1489870/DISTRICT CLERK</v>
      </c>
    </row>
    <row r="887" spans="1:8" x14ac:dyDescent="0.25">
      <c r="A887" t="s">
        <v>257</v>
      </c>
      <c r="B887">
        <v>129764</v>
      </c>
      <c r="C887" s="2">
        <v>209.5</v>
      </c>
      <c r="D887" s="1">
        <v>43794</v>
      </c>
      <c r="E887" t="str">
        <f>"1361725-20191031"</f>
        <v>1361725-20191031</v>
      </c>
      <c r="F887" t="str">
        <f>"BILL ID:1361725/INDIGENT HLTH"</f>
        <v>BILL ID:1361725/INDIGENT HLTH</v>
      </c>
      <c r="G887" s="2">
        <v>150</v>
      </c>
      <c r="H887" t="str">
        <f>"BILL ID:1361725/INDIGENT HLTH"</f>
        <v>BILL ID:1361725/INDIGENT HLTH</v>
      </c>
    </row>
    <row r="888" spans="1:8" x14ac:dyDescent="0.25">
      <c r="E888" t="str">
        <f>"1394645-20191031"</f>
        <v>1394645-20191031</v>
      </c>
      <c r="F888" t="str">
        <f>"BILL D:1394645/COUNTY CLERK"</f>
        <v>BILL D:1394645/COUNTY CLERK</v>
      </c>
      <c r="G888" s="2">
        <v>59.5</v>
      </c>
      <c r="H888" t="str">
        <f>"BILL D:1394645/COUNTY CLERK"</f>
        <v>BILL D:1394645/COUNTY CLERK</v>
      </c>
    </row>
    <row r="889" spans="1:8" x14ac:dyDescent="0.25">
      <c r="A889" t="s">
        <v>258</v>
      </c>
      <c r="B889">
        <v>84760</v>
      </c>
      <c r="C889" s="2">
        <v>150</v>
      </c>
      <c r="D889" s="1">
        <v>43781</v>
      </c>
      <c r="E889" t="str">
        <f>"13033"</f>
        <v>13033</v>
      </c>
      <c r="F889" t="str">
        <f>"SERVICE"</f>
        <v>SERVICE</v>
      </c>
      <c r="G889" s="2">
        <v>150</v>
      </c>
      <c r="H889" t="str">
        <f>"SERVICE"</f>
        <v>SERVICE</v>
      </c>
    </row>
    <row r="890" spans="1:8" x14ac:dyDescent="0.25">
      <c r="A890" t="s">
        <v>259</v>
      </c>
      <c r="B890">
        <v>84761</v>
      </c>
      <c r="C890" s="2">
        <v>951.38</v>
      </c>
      <c r="D890" s="1">
        <v>43781</v>
      </c>
      <c r="E890" t="str">
        <f>"1693089"</f>
        <v>1693089</v>
      </c>
      <c r="F890" t="str">
        <f>"ACCT#15717/TIRE SVCS/PCT#1"</f>
        <v>ACCT#15717/TIRE SVCS/PCT#1</v>
      </c>
      <c r="G890" s="2">
        <v>951.38</v>
      </c>
      <c r="H890" t="str">
        <f>"ACCT#15717/TIRE SVCS/PCT#1"</f>
        <v>ACCT#15717/TIRE SVCS/PCT#1</v>
      </c>
    </row>
    <row r="891" spans="1:8" x14ac:dyDescent="0.25">
      <c r="A891" t="s">
        <v>259</v>
      </c>
      <c r="B891">
        <v>129765</v>
      </c>
      <c r="C891" s="2">
        <v>177.94</v>
      </c>
      <c r="D891" s="1">
        <v>43794</v>
      </c>
      <c r="E891" t="str">
        <f>"1705509-P2"</f>
        <v>1705509-P2</v>
      </c>
      <c r="F891" t="str">
        <f>"TIRE SVCS/PCT#2"</f>
        <v>TIRE SVCS/PCT#2</v>
      </c>
      <c r="G891" s="2">
        <v>84.89</v>
      </c>
      <c r="H891" t="str">
        <f>"TIRE SVCS/PCT#2"</f>
        <v>TIRE SVCS/PCT#2</v>
      </c>
    </row>
    <row r="892" spans="1:8" x14ac:dyDescent="0.25">
      <c r="E892" t="str">
        <f>"1705509-P4"</f>
        <v>1705509-P4</v>
      </c>
      <c r="F892" t="str">
        <f>"TIRE SVCS/PCT#4"</f>
        <v>TIRE SVCS/PCT#4</v>
      </c>
      <c r="G892" s="2">
        <v>93.05</v>
      </c>
      <c r="H892" t="str">
        <f>"TIRE SVCS/PCT#4"</f>
        <v>TIRE SVCS/PCT#4</v>
      </c>
    </row>
    <row r="893" spans="1:8" x14ac:dyDescent="0.25">
      <c r="A893" t="s">
        <v>260</v>
      </c>
      <c r="B893">
        <v>1692</v>
      </c>
      <c r="C893" s="2">
        <v>7.5</v>
      </c>
      <c r="D893" s="1">
        <v>43773</v>
      </c>
      <c r="E893" t="str">
        <f>"201911012829"</f>
        <v>201911012829</v>
      </c>
      <c r="F893" t="str">
        <f>"VEHICLE REGISTRATION - IT"</f>
        <v>VEHICLE REGISTRATION - IT</v>
      </c>
      <c r="G893" s="2">
        <v>7.5</v>
      </c>
      <c r="H893" t="str">
        <f>"LINDA HARMON-TAX ASSESSOR"</f>
        <v>LINDA HARMON-TAX ASSESSOR</v>
      </c>
    </row>
    <row r="894" spans="1:8" x14ac:dyDescent="0.25">
      <c r="A894" t="s">
        <v>260</v>
      </c>
      <c r="B894">
        <v>1733</v>
      </c>
      <c r="C894" s="2">
        <v>221.5</v>
      </c>
      <c r="D894" s="1">
        <v>43782</v>
      </c>
      <c r="E894" t="str">
        <f>"12786"</f>
        <v>12786</v>
      </c>
      <c r="F894" t="str">
        <f>"REFUND FOR SVC NOT PERFECTED"</f>
        <v>REFUND FOR SVC NOT PERFECTED</v>
      </c>
      <c r="G894" s="2">
        <v>75</v>
      </c>
      <c r="H894" t="str">
        <f>"REFUND FOR SVC NOT PERFECTED"</f>
        <v>REFUND FOR SVC NOT PERFECTED</v>
      </c>
    </row>
    <row r="895" spans="1:8" x14ac:dyDescent="0.25">
      <c r="E895" t="str">
        <f>"201910292784"</f>
        <v>201910292784</v>
      </c>
      <c r="F895" t="str">
        <f>"VEHICEL REGISTRATIONS/PCT#4"</f>
        <v>VEHICEL REGISTRATIONS/PCT#4</v>
      </c>
      <c r="G895" s="2">
        <v>51.5</v>
      </c>
      <c r="H895" t="str">
        <f>"VEHICEL REGISTRATIONS/PCT#4"</f>
        <v>VEHICEL REGISTRATIONS/PCT#4</v>
      </c>
    </row>
    <row r="896" spans="1:8" x14ac:dyDescent="0.25">
      <c r="E896" t="str">
        <f>"201911042848"</f>
        <v>201911042848</v>
      </c>
      <c r="F896" t="str">
        <f>"TITLE TRANSFER/BUYER'S FEE"</f>
        <v>TITLE TRANSFER/BUYER'S FEE</v>
      </c>
      <c r="G896" s="2">
        <v>12.5</v>
      </c>
      <c r="H896" t="str">
        <f>"TITLE TRANSFER/BUYER'S FEE"</f>
        <v>TITLE TRANSFER/BUYER'S FEE</v>
      </c>
    </row>
    <row r="897" spans="1:8" x14ac:dyDescent="0.25">
      <c r="E897" t="str">
        <f>"201911042869"</f>
        <v>201911042869</v>
      </c>
      <c r="F897" t="str">
        <f>"VEHICLE REGISTRATIONS/DEV SVCS"</f>
        <v>VEHICLE REGISTRATIONS/DEV SVCS</v>
      </c>
      <c r="G897" s="2">
        <v>15</v>
      </c>
      <c r="H897" t="str">
        <f>"VEHICLE REGISTRATIONS/DEV SVCS"</f>
        <v>VEHICLE REGISTRATIONS/DEV SVCS</v>
      </c>
    </row>
    <row r="898" spans="1:8" x14ac:dyDescent="0.25">
      <c r="E898" t="str">
        <f>"201911042875"</f>
        <v>201911042875</v>
      </c>
      <c r="F898" t="str">
        <f>"VEHICLE REGISTRATION/GEN SVCS"</f>
        <v>VEHICLE REGISTRATION/GEN SVCS</v>
      </c>
      <c r="G898" s="2">
        <v>7.5</v>
      </c>
      <c r="H898" t="str">
        <f>"VEHICLE REGISTRATION/GEN SVCS"</f>
        <v>VEHICLE REGISTRATION/GEN SVCS</v>
      </c>
    </row>
    <row r="899" spans="1:8" x14ac:dyDescent="0.25">
      <c r="E899" t="str">
        <f>"201911052975"</f>
        <v>201911052975</v>
      </c>
      <c r="F899" t="str">
        <f>"VEHICLE REGISTRATIONS/SHERIFF"</f>
        <v>VEHICLE REGISTRATIONS/SHERIFF</v>
      </c>
      <c r="G899" s="2">
        <v>45</v>
      </c>
      <c r="H899" t="str">
        <f>"VEHICLE REGISTRATIONS/SHERIFF"</f>
        <v>VEHICLE REGISTRATIONS/SHERIFF</v>
      </c>
    </row>
    <row r="900" spans="1:8" x14ac:dyDescent="0.25">
      <c r="E900" t="str">
        <f>"201911063053"</f>
        <v>201911063053</v>
      </c>
      <c r="F900" t="str">
        <f>"VEHICLE REGISTRATIONS-LPHCP"</f>
        <v>VEHICLE REGISTRATIONS-LPHCP</v>
      </c>
      <c r="G900" s="2">
        <v>15</v>
      </c>
      <c r="H900" t="str">
        <f>"VEHICLE REGISTRATIONS-LPHCP"</f>
        <v>VEHICLE REGISTRATIONS-LPHCP</v>
      </c>
    </row>
    <row r="901" spans="1:8" x14ac:dyDescent="0.25">
      <c r="A901" t="s">
        <v>260</v>
      </c>
      <c r="B901">
        <v>1806</v>
      </c>
      <c r="C901" s="2">
        <v>61.75</v>
      </c>
      <c r="D901" s="1">
        <v>43795</v>
      </c>
      <c r="E901" t="str">
        <f>"201911133215"</f>
        <v>201911133215</v>
      </c>
      <c r="F901" t="str">
        <f>"VEHICLE REGISTRATION/PCT#1"</f>
        <v>VEHICLE REGISTRATION/PCT#1</v>
      </c>
      <c r="G901" s="2">
        <v>7.5</v>
      </c>
      <c r="H901" t="str">
        <f>"VEHICLE REGISTRATION/PCT#1"</f>
        <v>VEHICLE REGISTRATION/PCT#1</v>
      </c>
    </row>
    <row r="902" spans="1:8" x14ac:dyDescent="0.25">
      <c r="E902" t="str">
        <f>"201911193343"</f>
        <v>201911193343</v>
      </c>
      <c r="F902" t="str">
        <f>"VEHICLE TITLE (SHERIFF'S OFF)"</f>
        <v>VEHICLE TITLE (SHERIFF'S OFF)</v>
      </c>
      <c r="G902" s="2">
        <v>7.5</v>
      </c>
      <c r="H902" t="str">
        <f>"VEHICLE TITLE (SHERIFF'S OFF)"</f>
        <v>VEHICLE TITLE (SHERIFF'S OFF)</v>
      </c>
    </row>
    <row r="903" spans="1:8" x14ac:dyDescent="0.25">
      <c r="E903" t="str">
        <f>"201911193344"</f>
        <v>201911193344</v>
      </c>
      <c r="F903" t="str">
        <f>"VEHICLE TITLES (GEN SVCS)"</f>
        <v>VEHICLE TITLES (GEN SVCS)</v>
      </c>
      <c r="G903" s="2">
        <v>46.75</v>
      </c>
      <c r="H903" t="str">
        <f>"VEHICLE TITLES (GEN SVCS)"</f>
        <v>VEHICLE TITLES (GEN SVCS)</v>
      </c>
    </row>
    <row r="904" spans="1:8" x14ac:dyDescent="0.25">
      <c r="A904" t="s">
        <v>260</v>
      </c>
      <c r="B904">
        <v>84847</v>
      </c>
      <c r="C904" s="2">
        <v>117.71</v>
      </c>
      <c r="D904" s="1">
        <v>43783</v>
      </c>
      <c r="E904" t="str">
        <f>"201911143263"</f>
        <v>201911143263</v>
      </c>
      <c r="F904" t="str">
        <f>"MEMO INCORRECT REFUND JOYCE"</f>
        <v>MEMO INCORRECT REFUND JOYCE</v>
      </c>
      <c r="G904" s="2">
        <v>117.71</v>
      </c>
      <c r="H904" t="str">
        <f>"MEMO INCORRECT REFUND JOYCE"</f>
        <v>MEMO INCORRECT REFUND JOYCE</v>
      </c>
    </row>
    <row r="905" spans="1:8" x14ac:dyDescent="0.25">
      <c r="A905" t="s">
        <v>261</v>
      </c>
      <c r="B905">
        <v>1700</v>
      </c>
      <c r="C905" s="2">
        <v>27.5</v>
      </c>
      <c r="D905" s="1">
        <v>43782</v>
      </c>
      <c r="E905" t="str">
        <f>"201911063048"</f>
        <v>201911063048</v>
      </c>
      <c r="F905" t="str">
        <f>"RESTITUTION"</f>
        <v>RESTITUTION</v>
      </c>
      <c r="G905" s="2">
        <v>27.5</v>
      </c>
      <c r="H905" t="str">
        <f>"RESTITUTION"</f>
        <v>RESTITUTION</v>
      </c>
    </row>
    <row r="906" spans="1:8" x14ac:dyDescent="0.25">
      <c r="A906" t="s">
        <v>262</v>
      </c>
      <c r="B906">
        <v>129766</v>
      </c>
      <c r="C906" s="2">
        <v>500</v>
      </c>
      <c r="D906" s="1">
        <v>43794</v>
      </c>
      <c r="E906" t="str">
        <f>"201911203468"</f>
        <v>201911203468</v>
      </c>
      <c r="F906" t="str">
        <f>"56 953"</f>
        <v>56 953</v>
      </c>
      <c r="G906" s="2">
        <v>250</v>
      </c>
      <c r="H906" t="str">
        <f>"56 953"</f>
        <v>56 953</v>
      </c>
    </row>
    <row r="907" spans="1:8" x14ac:dyDescent="0.25">
      <c r="E907" t="str">
        <f>"201911203469"</f>
        <v>201911203469</v>
      </c>
      <c r="F907" t="str">
        <f>"56 917"</f>
        <v>56 917</v>
      </c>
      <c r="G907" s="2">
        <v>250</v>
      </c>
      <c r="H907" t="str">
        <f>"56 917"</f>
        <v>56 917</v>
      </c>
    </row>
    <row r="908" spans="1:8" x14ac:dyDescent="0.25">
      <c r="A908" t="s">
        <v>263</v>
      </c>
      <c r="B908">
        <v>84762</v>
      </c>
      <c r="C908" s="2">
        <v>507</v>
      </c>
      <c r="D908" s="1">
        <v>43781</v>
      </c>
      <c r="E908" t="str">
        <f>"201911052887"</f>
        <v>201911052887</v>
      </c>
      <c r="F908" t="str">
        <f>"REIMBURSE LODGING/MEALS"</f>
        <v>REIMBURSE LODGING/MEALS</v>
      </c>
      <c r="G908" s="2">
        <v>507</v>
      </c>
      <c r="H908" t="str">
        <f>"REIMBURSE LODGING/MEALS"</f>
        <v>REIMBURSE LODGING/MEALS</v>
      </c>
    </row>
    <row r="909" spans="1:8" x14ac:dyDescent="0.25">
      <c r="A909" t="s">
        <v>264</v>
      </c>
      <c r="B909">
        <v>1770</v>
      </c>
      <c r="C909" s="2">
        <v>279</v>
      </c>
      <c r="D909" s="1">
        <v>43795</v>
      </c>
      <c r="E909" t="str">
        <f>"97505316"</f>
        <v>97505316</v>
      </c>
      <c r="F909" t="str">
        <f>"CLIENT:3619/PROFESSIONAL SVCS"</f>
        <v>CLIENT:3619/PROFESSIONAL SVCS</v>
      </c>
      <c r="G909" s="2">
        <v>279</v>
      </c>
      <c r="H909" t="str">
        <f>"CLIENT:3619/PROFESSIONAL SVCS"</f>
        <v>CLIENT:3619/PROFESSIONAL SVCS</v>
      </c>
    </row>
    <row r="910" spans="1:8" x14ac:dyDescent="0.25">
      <c r="A910" t="s">
        <v>265</v>
      </c>
      <c r="B910">
        <v>1776</v>
      </c>
      <c r="C910" s="2">
        <v>280</v>
      </c>
      <c r="D910" s="1">
        <v>43795</v>
      </c>
      <c r="E910" t="str">
        <f>"LS-2016F150-1079-B"</f>
        <v>LS-2016F150-1079-B</v>
      </c>
      <c r="F910" t="str">
        <f>"INV LS-2016F150-1079-BCSO"</f>
        <v>INV LS-2016F150-1079-BCSO</v>
      </c>
      <c r="G910" s="2">
        <v>280</v>
      </c>
      <c r="H910" t="str">
        <f>"INV LS-2016F150-1079-BCSO"</f>
        <v>INV LS-2016F150-1079-BCSO</v>
      </c>
    </row>
    <row r="911" spans="1:8" x14ac:dyDescent="0.25">
      <c r="A911" t="s">
        <v>266</v>
      </c>
      <c r="B911">
        <v>84763</v>
      </c>
      <c r="C911" s="2">
        <v>98.98</v>
      </c>
      <c r="D911" s="1">
        <v>43781</v>
      </c>
      <c r="E911" t="str">
        <f>"4546*104*1"</f>
        <v>4546*104*1</v>
      </c>
      <c r="F911" t="str">
        <f>"JAIL MEDICAL"</f>
        <v>JAIL MEDICAL</v>
      </c>
      <c r="G911" s="2">
        <v>98.98</v>
      </c>
      <c r="H911" t="str">
        <f>"JAIL MEDICAL"</f>
        <v>JAIL MEDICAL</v>
      </c>
    </row>
    <row r="912" spans="1:8" x14ac:dyDescent="0.25">
      <c r="A912" t="s">
        <v>266</v>
      </c>
      <c r="B912">
        <v>129767</v>
      </c>
      <c r="C912" s="2">
        <v>185.02</v>
      </c>
      <c r="D912" s="1">
        <v>43794</v>
      </c>
      <c r="E912" t="str">
        <f>"201911203486"</f>
        <v>201911203486</v>
      </c>
      <c r="F912" t="str">
        <f>"INDIGENT HEALTH"</f>
        <v>INDIGENT HEALTH</v>
      </c>
      <c r="G912" s="2">
        <v>185.02</v>
      </c>
      <c r="H912" t="str">
        <f>"INDIGENT HEALTH"</f>
        <v>INDIGENT HEALTH</v>
      </c>
    </row>
    <row r="913" spans="1:8" x14ac:dyDescent="0.25">
      <c r="A913" t="s">
        <v>267</v>
      </c>
      <c r="B913">
        <v>84764</v>
      </c>
      <c r="C913" s="2">
        <v>260</v>
      </c>
      <c r="D913" s="1">
        <v>43781</v>
      </c>
      <c r="E913" t="str">
        <f>"103524"</f>
        <v>103524</v>
      </c>
      <c r="F913" t="str">
        <f>"WK ORD#103524/PCT#2"</f>
        <v>WK ORD#103524/PCT#2</v>
      </c>
      <c r="G913" s="2">
        <v>260</v>
      </c>
      <c r="H913" t="str">
        <f>"WK ORD#103524/PCT#2"</f>
        <v>WK ORD#103524/PCT#2</v>
      </c>
    </row>
    <row r="914" spans="1:8" x14ac:dyDescent="0.25">
      <c r="A914" t="s">
        <v>268</v>
      </c>
      <c r="B914">
        <v>1713</v>
      </c>
      <c r="C914" s="2">
        <v>838.5</v>
      </c>
      <c r="D914" s="1">
        <v>43782</v>
      </c>
      <c r="E914" t="str">
        <f>"201911053000"</f>
        <v>201911053000</v>
      </c>
      <c r="F914" t="str">
        <f>"TRASH REMOVAL 11/01-11/08/P4"</f>
        <v>TRASH REMOVAL 11/01-11/08/P4</v>
      </c>
      <c r="G914" s="2">
        <v>487.5</v>
      </c>
      <c r="H914" t="str">
        <f>"TRASH REMOVAL 11/01-11/08/P4"</f>
        <v>TRASH REMOVAL 11/01-11/08/P4</v>
      </c>
    </row>
    <row r="915" spans="1:8" x14ac:dyDescent="0.25">
      <c r="E915" t="str">
        <f>"201911053001"</f>
        <v>201911053001</v>
      </c>
      <c r="F915" t="str">
        <f>"TRASH REMOVAL 10/28-10/31/P4"</f>
        <v>TRASH REMOVAL 10/28-10/31/P4</v>
      </c>
      <c r="G915" s="2">
        <v>351</v>
      </c>
      <c r="H915" t="str">
        <f>"TRASH REMOVAL 10/28-10/31/P4"</f>
        <v>TRASH REMOVAL 10/28-10/31/P4</v>
      </c>
    </row>
    <row r="916" spans="1:8" x14ac:dyDescent="0.25">
      <c r="A916" t="s">
        <v>268</v>
      </c>
      <c r="B916">
        <v>1782</v>
      </c>
      <c r="C916" s="2">
        <v>845</v>
      </c>
      <c r="D916" s="1">
        <v>43795</v>
      </c>
      <c r="E916" t="str">
        <f>"201911193326"</f>
        <v>201911193326</v>
      </c>
      <c r="F916" t="str">
        <f>"TRASH REMOVAL 11/11-11/22/P4"</f>
        <v>TRASH REMOVAL 11/11-11/22/P4</v>
      </c>
      <c r="G916" s="2">
        <v>845</v>
      </c>
      <c r="H916" t="str">
        <f>"TRASH REMOVAL 11/11-11/22/P4"</f>
        <v>TRASH REMOVAL 11/11-11/22/P4</v>
      </c>
    </row>
    <row r="917" spans="1:8" x14ac:dyDescent="0.25">
      <c r="A917" t="s">
        <v>269</v>
      </c>
      <c r="B917">
        <v>1812</v>
      </c>
      <c r="C917" s="2">
        <v>552</v>
      </c>
      <c r="D917" s="1">
        <v>43795</v>
      </c>
      <c r="E917" t="str">
        <f>"10-0079807 10-0079"</f>
        <v>10-0079807 10-0079</v>
      </c>
      <c r="F917" t="str">
        <f>"CAR WASHES"</f>
        <v>CAR WASHES</v>
      </c>
      <c r="G917" s="2">
        <v>52</v>
      </c>
      <c r="H917" t="str">
        <f>"INV 10-0079807"</f>
        <v>INV 10-0079807</v>
      </c>
    </row>
    <row r="918" spans="1:8" x14ac:dyDescent="0.25">
      <c r="E918" t="str">
        <f>""</f>
        <v/>
      </c>
      <c r="F918" t="str">
        <f>""</f>
        <v/>
      </c>
      <c r="H918" t="str">
        <f>"INV 10-0079216"</f>
        <v>INV 10-0079216</v>
      </c>
    </row>
    <row r="919" spans="1:8" x14ac:dyDescent="0.25">
      <c r="E919" t="str">
        <f>""</f>
        <v/>
      </c>
      <c r="F919" t="str">
        <f>""</f>
        <v/>
      </c>
      <c r="H919" t="str">
        <f>"INV 10-0078758"</f>
        <v>INV 10-0078758</v>
      </c>
    </row>
    <row r="920" spans="1:8" x14ac:dyDescent="0.25">
      <c r="E920" t="str">
        <f>"10-077763"</f>
        <v>10-077763</v>
      </c>
      <c r="F920" t="str">
        <f>"DETAIL TRUCK/TAR DAMAGE"</f>
        <v>DETAIL TRUCK/TAR DAMAGE</v>
      </c>
      <c r="G920" s="2">
        <v>500</v>
      </c>
      <c r="H920" t="str">
        <f>"DETAIL TRUCK/TAR DAMAGE"</f>
        <v>DETAIL TRUCK/TAR DAMAGE</v>
      </c>
    </row>
    <row r="921" spans="1:8" x14ac:dyDescent="0.25">
      <c r="A921" t="s">
        <v>270</v>
      </c>
      <c r="B921">
        <v>84765</v>
      </c>
      <c r="C921" s="2">
        <v>1811.48</v>
      </c>
      <c r="D921" s="1">
        <v>43781</v>
      </c>
      <c r="E921" t="str">
        <f>"BC-490607"</f>
        <v>BC-490607</v>
      </c>
      <c r="F921" t="str">
        <f>"2017 PTRB REPAIRS/PCT#3"</f>
        <v>2017 PTRB REPAIRS/PCT#3</v>
      </c>
      <c r="G921" s="2">
        <v>1811.48</v>
      </c>
      <c r="H921" t="str">
        <f>"2017 PTRB REPAIRS/PCT#3"</f>
        <v>2017 PTRB REPAIRS/PCT#3</v>
      </c>
    </row>
    <row r="922" spans="1:8" x14ac:dyDescent="0.25">
      <c r="A922" t="s">
        <v>271</v>
      </c>
      <c r="B922">
        <v>84766</v>
      </c>
      <c r="C922" s="2">
        <v>600.73</v>
      </c>
      <c r="D922" s="1">
        <v>43781</v>
      </c>
      <c r="E922" t="str">
        <f>"201911073062"</f>
        <v>201911073062</v>
      </c>
      <c r="F922" t="str">
        <f>"acct# 8692"</f>
        <v>acct# 8692</v>
      </c>
      <c r="G922" s="2">
        <v>600.73</v>
      </c>
      <c r="H922" t="str">
        <f>"Inv# 901874"</f>
        <v>Inv# 901874</v>
      </c>
    </row>
    <row r="923" spans="1:8" x14ac:dyDescent="0.25">
      <c r="E923" t="str">
        <f>""</f>
        <v/>
      </c>
      <c r="F923" t="str">
        <f>""</f>
        <v/>
      </c>
      <c r="H923" t="str">
        <f>"Inv# 901939"</f>
        <v>Inv# 901939</v>
      </c>
    </row>
    <row r="924" spans="1:8" x14ac:dyDescent="0.25">
      <c r="E924" t="str">
        <f>""</f>
        <v/>
      </c>
      <c r="F924" t="str">
        <f>""</f>
        <v/>
      </c>
      <c r="H924" t="str">
        <f>"Inv# 920197"</f>
        <v>Inv# 920197</v>
      </c>
    </row>
    <row r="925" spans="1:8" x14ac:dyDescent="0.25">
      <c r="E925" t="str">
        <f>""</f>
        <v/>
      </c>
      <c r="F925" t="str">
        <f>""</f>
        <v/>
      </c>
      <c r="H925" t="str">
        <f>"Inv# 910071"</f>
        <v>Inv# 910071</v>
      </c>
    </row>
    <row r="926" spans="1:8" x14ac:dyDescent="0.25">
      <c r="E926" t="str">
        <f>""</f>
        <v/>
      </c>
      <c r="F926" t="str">
        <f>""</f>
        <v/>
      </c>
      <c r="H926" t="str">
        <f>"Inv# 914597"</f>
        <v>Inv# 914597</v>
      </c>
    </row>
    <row r="927" spans="1:8" x14ac:dyDescent="0.25">
      <c r="E927" t="str">
        <f>""</f>
        <v/>
      </c>
      <c r="F927" t="str">
        <f>""</f>
        <v/>
      </c>
      <c r="H927" t="str">
        <f>"Inv# 909844"</f>
        <v>Inv# 909844</v>
      </c>
    </row>
    <row r="928" spans="1:8" x14ac:dyDescent="0.25">
      <c r="E928" t="str">
        <f>""</f>
        <v/>
      </c>
      <c r="F928" t="str">
        <f>""</f>
        <v/>
      </c>
      <c r="H928" t="str">
        <f>"Inv# 914163"</f>
        <v>Inv# 914163</v>
      </c>
    </row>
    <row r="929" spans="1:8" x14ac:dyDescent="0.25">
      <c r="A929" t="s">
        <v>272</v>
      </c>
      <c r="B929">
        <v>84767</v>
      </c>
      <c r="C929" s="2">
        <v>370</v>
      </c>
      <c r="D929" s="1">
        <v>43781</v>
      </c>
      <c r="E929" t="str">
        <f>"201911012845"</f>
        <v>201911012845</v>
      </c>
      <c r="F929" t="str">
        <f>"FERAL HOGS"</f>
        <v>FERAL HOGS</v>
      </c>
      <c r="G929" s="2">
        <v>205</v>
      </c>
      <c r="H929" t="str">
        <f>"FERAL HOGS"</f>
        <v>FERAL HOGS</v>
      </c>
    </row>
    <row r="930" spans="1:8" x14ac:dyDescent="0.25">
      <c r="E930" t="str">
        <f>"201911012846"</f>
        <v>201911012846</v>
      </c>
      <c r="F930" t="str">
        <f>"FERAL HOGS"</f>
        <v>FERAL HOGS</v>
      </c>
      <c r="G930" s="2">
        <v>165</v>
      </c>
      <c r="H930" t="str">
        <f>"FERAL HOGS"</f>
        <v>FERAL HOGS</v>
      </c>
    </row>
    <row r="931" spans="1:8" x14ac:dyDescent="0.25">
      <c r="A931" t="s">
        <v>273</v>
      </c>
      <c r="B931">
        <v>1714</v>
      </c>
      <c r="C931" s="2">
        <v>216</v>
      </c>
      <c r="D931" s="1">
        <v>43782</v>
      </c>
      <c r="E931" t="str">
        <f>"10851"</f>
        <v>10851</v>
      </c>
      <c r="F931" t="str">
        <f>"REVIEW OF FILE"</f>
        <v>REVIEW OF FILE</v>
      </c>
      <c r="G931" s="2">
        <v>216</v>
      </c>
      <c r="H931" t="str">
        <f>"REVIEW OF FILE"</f>
        <v>REVIEW OF FILE</v>
      </c>
    </row>
    <row r="932" spans="1:8" x14ac:dyDescent="0.25">
      <c r="A932" t="s">
        <v>274</v>
      </c>
      <c r="B932">
        <v>129768</v>
      </c>
      <c r="C932" s="2">
        <v>559.58000000000004</v>
      </c>
      <c r="D932" s="1">
        <v>43794</v>
      </c>
      <c r="E932" t="str">
        <f>"201911203487"</f>
        <v>201911203487</v>
      </c>
      <c r="F932" t="str">
        <f>"INDIGENT HEALTH"</f>
        <v>INDIGENT HEALTH</v>
      </c>
      <c r="G932" s="2">
        <v>559.58000000000004</v>
      </c>
      <c r="H932" t="str">
        <f>"INDIGENT HEALTH"</f>
        <v>INDIGENT HEALTH</v>
      </c>
    </row>
    <row r="933" spans="1:8" x14ac:dyDescent="0.25">
      <c r="E933" t="str">
        <f>""</f>
        <v/>
      </c>
      <c r="F933" t="str">
        <f>""</f>
        <v/>
      </c>
      <c r="H933" t="str">
        <f>"INDIGENT HEALTH"</f>
        <v>INDIGENT HEALTH</v>
      </c>
    </row>
    <row r="934" spans="1:8" x14ac:dyDescent="0.25">
      <c r="A934" t="s">
        <v>275</v>
      </c>
      <c r="B934">
        <v>84861</v>
      </c>
      <c r="C934" s="2">
        <v>1113.6600000000001</v>
      </c>
      <c r="D934" s="1">
        <v>43789</v>
      </c>
      <c r="E934" t="str">
        <f>"201911203502"</f>
        <v>201911203502</v>
      </c>
      <c r="F934" t="str">
        <f>"ESTRAY REFUND / SOLD BULL"</f>
        <v>ESTRAY REFUND / SOLD BULL</v>
      </c>
      <c r="G934" s="2">
        <v>1113.6600000000001</v>
      </c>
      <c r="H934" t="str">
        <f>"MARK WAYNE HOFFEREK"</f>
        <v>MARK WAYNE HOFFEREK</v>
      </c>
    </row>
    <row r="935" spans="1:8" x14ac:dyDescent="0.25">
      <c r="A935" t="s">
        <v>276</v>
      </c>
      <c r="B935">
        <v>84768</v>
      </c>
      <c r="C935" s="2">
        <v>857.16</v>
      </c>
      <c r="D935" s="1">
        <v>43781</v>
      </c>
      <c r="E935" t="str">
        <f>"INV001834410"</f>
        <v>INV001834410</v>
      </c>
      <c r="F935" t="str">
        <f>"INV001834410"</f>
        <v>INV001834410</v>
      </c>
      <c r="G935" s="2">
        <v>857.16</v>
      </c>
      <c r="H935" t="str">
        <f>"INV001834410"</f>
        <v>INV001834410</v>
      </c>
    </row>
    <row r="936" spans="1:8" x14ac:dyDescent="0.25">
      <c r="A936" t="s">
        <v>277</v>
      </c>
      <c r="B936">
        <v>1709</v>
      </c>
      <c r="C936" s="2">
        <v>1550</v>
      </c>
      <c r="D936" s="1">
        <v>43782</v>
      </c>
      <c r="E936" t="str">
        <f>"201911052953"</f>
        <v>201911052953</v>
      </c>
      <c r="F936" t="str">
        <f>"57 171"</f>
        <v>57 171</v>
      </c>
      <c r="G936" s="2">
        <v>250</v>
      </c>
      <c r="H936" t="str">
        <f>"57 171"</f>
        <v>57 171</v>
      </c>
    </row>
    <row r="937" spans="1:8" x14ac:dyDescent="0.25">
      <c r="E937" t="str">
        <f>"201911052954"</f>
        <v>201911052954</v>
      </c>
      <c r="F937" t="str">
        <f>"56 188"</f>
        <v>56 188</v>
      </c>
      <c r="G937" s="2">
        <v>125</v>
      </c>
      <c r="H937" t="str">
        <f>"56 188"</f>
        <v>56 188</v>
      </c>
    </row>
    <row r="938" spans="1:8" x14ac:dyDescent="0.25">
      <c r="E938" t="str">
        <f>"201911052955"</f>
        <v>201911052955</v>
      </c>
      <c r="F938" t="str">
        <f>"57 187"</f>
        <v>57 187</v>
      </c>
      <c r="G938" s="2">
        <v>250</v>
      </c>
      <c r="H938" t="str">
        <f>"57 187"</f>
        <v>57 187</v>
      </c>
    </row>
    <row r="939" spans="1:8" x14ac:dyDescent="0.25">
      <c r="E939" t="str">
        <f>"201911052956"</f>
        <v>201911052956</v>
      </c>
      <c r="F939" t="str">
        <f>"55 748"</f>
        <v>55 748</v>
      </c>
      <c r="G939" s="2">
        <v>250</v>
      </c>
      <c r="H939" t="str">
        <f>"55 748"</f>
        <v>55 748</v>
      </c>
    </row>
    <row r="940" spans="1:8" x14ac:dyDescent="0.25">
      <c r="E940" t="str">
        <f>"201911052957"</f>
        <v>201911052957</v>
      </c>
      <c r="F940" t="str">
        <f>"W20181214B  925-357-4035A001"</f>
        <v>W20181214B  925-357-4035A001</v>
      </c>
      <c r="G940" s="2">
        <v>125</v>
      </c>
      <c r="H940" t="str">
        <f>"W20181214B  925-357-4035A001"</f>
        <v>W20181214B  925-357-4035A001</v>
      </c>
    </row>
    <row r="941" spans="1:8" x14ac:dyDescent="0.25">
      <c r="E941" t="str">
        <f>"201911052958"</f>
        <v>201911052958</v>
      </c>
      <c r="F941" t="str">
        <f>"19-19849"</f>
        <v>19-19849</v>
      </c>
      <c r="G941" s="2">
        <v>100</v>
      </c>
      <c r="H941" t="str">
        <f>"19-19849"</f>
        <v>19-19849</v>
      </c>
    </row>
    <row r="942" spans="1:8" x14ac:dyDescent="0.25">
      <c r="E942" t="str">
        <f>"201911052959"</f>
        <v>201911052959</v>
      </c>
      <c r="F942" t="str">
        <f>"19-19849"</f>
        <v>19-19849</v>
      </c>
      <c r="G942" s="2">
        <v>100</v>
      </c>
      <c r="H942" t="str">
        <f>"19-19849"</f>
        <v>19-19849</v>
      </c>
    </row>
    <row r="943" spans="1:8" x14ac:dyDescent="0.25">
      <c r="E943" t="str">
        <f>"201911052960"</f>
        <v>201911052960</v>
      </c>
      <c r="F943" t="str">
        <f>"DETENTION HEARING"</f>
        <v>DETENTION HEARING</v>
      </c>
      <c r="G943" s="2">
        <v>100</v>
      </c>
      <c r="H943" t="str">
        <f>"DETENTION HEARING"</f>
        <v>DETENTION HEARING</v>
      </c>
    </row>
    <row r="944" spans="1:8" x14ac:dyDescent="0.25">
      <c r="E944" t="str">
        <f>"201911052961"</f>
        <v>201911052961</v>
      </c>
      <c r="F944" t="str">
        <f>"18-19016"</f>
        <v>18-19016</v>
      </c>
      <c r="G944" s="2">
        <v>100</v>
      </c>
      <c r="H944" t="str">
        <f>"18-19016"</f>
        <v>18-19016</v>
      </c>
    </row>
    <row r="945" spans="1:8" x14ac:dyDescent="0.25">
      <c r="E945" t="str">
        <f>"201911052962"</f>
        <v>201911052962</v>
      </c>
      <c r="F945" t="str">
        <f>"19-19704"</f>
        <v>19-19704</v>
      </c>
      <c r="G945" s="2">
        <v>150</v>
      </c>
      <c r="H945" t="str">
        <f>"19-19704"</f>
        <v>19-19704</v>
      </c>
    </row>
    <row r="946" spans="1:8" x14ac:dyDescent="0.25">
      <c r="A946" t="s">
        <v>277</v>
      </c>
      <c r="B946">
        <v>1774</v>
      </c>
      <c r="C946" s="2">
        <v>1412.5</v>
      </c>
      <c r="D946" s="1">
        <v>43795</v>
      </c>
      <c r="E946" t="str">
        <f>"201911193406"</f>
        <v>201911193406</v>
      </c>
      <c r="F946" t="str">
        <f>"19-19558"</f>
        <v>19-19558</v>
      </c>
      <c r="G946" s="2">
        <v>100</v>
      </c>
      <c r="H946" t="str">
        <f>"19-19558"</f>
        <v>19-19558</v>
      </c>
    </row>
    <row r="947" spans="1:8" x14ac:dyDescent="0.25">
      <c r="E947" t="str">
        <f>"201911193407"</f>
        <v>201911193407</v>
      </c>
      <c r="F947" t="str">
        <f>"18-19237"</f>
        <v>18-19237</v>
      </c>
      <c r="G947" s="2">
        <v>100</v>
      </c>
      <c r="H947" t="str">
        <f>"18-19237"</f>
        <v>18-19237</v>
      </c>
    </row>
    <row r="948" spans="1:8" x14ac:dyDescent="0.25">
      <c r="E948" t="str">
        <f>"201911193408"</f>
        <v>201911193408</v>
      </c>
      <c r="F948" t="str">
        <f>"19-19885"</f>
        <v>19-19885</v>
      </c>
      <c r="G948" s="2">
        <v>100</v>
      </c>
      <c r="H948" t="str">
        <f>"19-19885"</f>
        <v>19-19885</v>
      </c>
    </row>
    <row r="949" spans="1:8" x14ac:dyDescent="0.25">
      <c r="E949" t="str">
        <f>"201911193409"</f>
        <v>201911193409</v>
      </c>
      <c r="F949" t="str">
        <f>"19 19456"</f>
        <v>19 19456</v>
      </c>
      <c r="G949" s="2">
        <v>100</v>
      </c>
      <c r="H949" t="str">
        <f>"19 19456"</f>
        <v>19 19456</v>
      </c>
    </row>
    <row r="950" spans="1:8" x14ac:dyDescent="0.25">
      <c r="E950" t="str">
        <f>"201911193410"</f>
        <v>201911193410</v>
      </c>
      <c r="F950" t="str">
        <f>"DETENTION HEARING-THOMPSON"</f>
        <v>DETENTION HEARING-THOMPSON</v>
      </c>
      <c r="G950" s="2">
        <v>100</v>
      </c>
      <c r="H950" t="str">
        <f>"DETENTION HEARING-THOMPSON"</f>
        <v>DETENTION HEARING-THOMPSON</v>
      </c>
    </row>
    <row r="951" spans="1:8" x14ac:dyDescent="0.25">
      <c r="E951" t="str">
        <f>"201911193411"</f>
        <v>201911193411</v>
      </c>
      <c r="F951" t="str">
        <f>"J-3200"</f>
        <v>J-3200</v>
      </c>
      <c r="G951" s="2">
        <v>250</v>
      </c>
      <c r="H951" t="str">
        <f>"J-3200"</f>
        <v>J-3200</v>
      </c>
    </row>
    <row r="952" spans="1:8" x14ac:dyDescent="0.25">
      <c r="E952" t="str">
        <f>"201911193412"</f>
        <v>201911193412</v>
      </c>
      <c r="F952" t="str">
        <f>"DETENTION HEARING"</f>
        <v>DETENTION HEARING</v>
      </c>
      <c r="G952" s="2">
        <v>100</v>
      </c>
      <c r="H952" t="str">
        <f>"DETENTION HEARING"</f>
        <v>DETENTION HEARING</v>
      </c>
    </row>
    <row r="953" spans="1:8" x14ac:dyDescent="0.25">
      <c r="E953" t="str">
        <f>"201911193413"</f>
        <v>201911193413</v>
      </c>
      <c r="F953" t="str">
        <f>"19-19954"</f>
        <v>19-19954</v>
      </c>
      <c r="G953" s="2">
        <v>100</v>
      </c>
      <c r="H953" t="str">
        <f>"19-19954"</f>
        <v>19-19954</v>
      </c>
    </row>
    <row r="954" spans="1:8" x14ac:dyDescent="0.25">
      <c r="E954" t="str">
        <f>"201911193414"</f>
        <v>201911193414</v>
      </c>
      <c r="F954" t="str">
        <f>"18-19279"</f>
        <v>18-19279</v>
      </c>
      <c r="G954" s="2">
        <v>100</v>
      </c>
      <c r="H954" t="str">
        <f>"18-19279"</f>
        <v>18-19279</v>
      </c>
    </row>
    <row r="955" spans="1:8" x14ac:dyDescent="0.25">
      <c r="E955" t="str">
        <f>"201911193415"</f>
        <v>201911193415</v>
      </c>
      <c r="F955" t="str">
        <f>"18-18997"</f>
        <v>18-18997</v>
      </c>
      <c r="G955" s="2">
        <v>100</v>
      </c>
      <c r="H955" t="str">
        <f>"18-18997"</f>
        <v>18-18997</v>
      </c>
    </row>
    <row r="956" spans="1:8" x14ac:dyDescent="0.25">
      <c r="E956" t="str">
        <f>"201911193416"</f>
        <v>201911193416</v>
      </c>
      <c r="F956" t="str">
        <f>"19-19885"</f>
        <v>19-19885</v>
      </c>
      <c r="G956" s="2">
        <v>262.5</v>
      </c>
      <c r="H956" t="str">
        <f>"19-19885"</f>
        <v>19-19885</v>
      </c>
    </row>
    <row r="957" spans="1:8" x14ac:dyDescent="0.25">
      <c r="A957" t="s">
        <v>278</v>
      </c>
      <c r="B957">
        <v>129769</v>
      </c>
      <c r="C957" s="2">
        <v>283.88</v>
      </c>
      <c r="D957" s="1">
        <v>43794</v>
      </c>
      <c r="E957" t="str">
        <f>"20642212"</f>
        <v>20642212</v>
      </c>
      <c r="F957" t="str">
        <f>"ACCT#41472/PCT#1"</f>
        <v>ACCT#41472/PCT#1</v>
      </c>
      <c r="G957" s="2">
        <v>26.73</v>
      </c>
      <c r="H957" t="str">
        <f>"ACCT#41472/PCT#1"</f>
        <v>ACCT#41472/PCT#1</v>
      </c>
    </row>
    <row r="958" spans="1:8" x14ac:dyDescent="0.25">
      <c r="E958" t="str">
        <f>"20642296"</f>
        <v>20642296</v>
      </c>
      <c r="F958" t="str">
        <f>"ACCT#45057/PCT#4"</f>
        <v>ACCT#45057/PCT#4</v>
      </c>
      <c r="G958" s="2">
        <v>48.73</v>
      </c>
      <c r="H958" t="str">
        <f>"ACCT#45057/PCT#4"</f>
        <v>ACCT#45057/PCT#4</v>
      </c>
    </row>
    <row r="959" spans="1:8" x14ac:dyDescent="0.25">
      <c r="E959" t="str">
        <f>"20642353"</f>
        <v>20642353</v>
      </c>
      <c r="F959" t="str">
        <f>"INV 20642353"</f>
        <v>INV 20642353</v>
      </c>
      <c r="G959" s="2">
        <v>58.42</v>
      </c>
      <c r="H959" t="str">
        <f>"INV 20642353"</f>
        <v>INV 20642353</v>
      </c>
    </row>
    <row r="960" spans="1:8" x14ac:dyDescent="0.25">
      <c r="E960" t="str">
        <f>"20649973"</f>
        <v>20649973</v>
      </c>
      <c r="F960" t="str">
        <f>"ACCT#S9549/PCT#1"</f>
        <v>ACCT#S9549/PCT#1</v>
      </c>
      <c r="G960" s="2">
        <v>150</v>
      </c>
      <c r="H960" t="str">
        <f>"ACCT#S9549/PCT#1"</f>
        <v>ACCT#S9549/PCT#1</v>
      </c>
    </row>
    <row r="961" spans="1:8" x14ac:dyDescent="0.25">
      <c r="A961" t="s">
        <v>279</v>
      </c>
      <c r="B961">
        <v>1730</v>
      </c>
      <c r="C961" s="2">
        <v>383.95</v>
      </c>
      <c r="D961" s="1">
        <v>43782</v>
      </c>
      <c r="E961" t="str">
        <f>"680410"</f>
        <v>680410</v>
      </c>
      <c r="F961" t="str">
        <f>"ACCT#0900-98011130-001"</f>
        <v>ACCT#0900-98011130-001</v>
      </c>
      <c r="G961" s="2">
        <v>267.83999999999997</v>
      </c>
      <c r="H961" t="str">
        <f>"ACCT#0900-98011130-001"</f>
        <v>ACCT#0900-98011130-001</v>
      </c>
    </row>
    <row r="962" spans="1:8" x14ac:dyDescent="0.25">
      <c r="E962" t="str">
        <f>"680472"</f>
        <v>680472</v>
      </c>
      <c r="F962" t="str">
        <f>"ACCT#0900-98011130-001/SIGN SH"</f>
        <v>ACCT#0900-98011130-001/SIGN SH</v>
      </c>
      <c r="G962" s="2">
        <v>52.47</v>
      </c>
      <c r="H962" t="str">
        <f>"ACCT#0900-98011130-001/SIGN SH"</f>
        <v>ACCT#0900-98011130-001/SIGN SH</v>
      </c>
    </row>
    <row r="963" spans="1:8" x14ac:dyDescent="0.25">
      <c r="E963" t="str">
        <f>"680475"</f>
        <v>680475</v>
      </c>
      <c r="F963" t="str">
        <f>"ACCT#0900-98011130-001/PCT#3"</f>
        <v>ACCT#0900-98011130-001/PCT#3</v>
      </c>
      <c r="G963" s="2">
        <v>63.64</v>
      </c>
      <c r="H963" t="str">
        <f>"ACCT#0900-98011130-001/PCT#3"</f>
        <v>ACCT#0900-98011130-001/PCT#3</v>
      </c>
    </row>
    <row r="964" spans="1:8" x14ac:dyDescent="0.25">
      <c r="A964" t="s">
        <v>280</v>
      </c>
      <c r="B964">
        <v>84769</v>
      </c>
      <c r="C964" s="2">
        <v>23760.18</v>
      </c>
      <c r="D964" s="1">
        <v>43781</v>
      </c>
      <c r="E964" t="str">
        <f>"12786"</f>
        <v>12786</v>
      </c>
      <c r="F964" t="str">
        <f t="shared" ref="F964:F974" si="16">"ABST FEE"</f>
        <v>ABST FEE</v>
      </c>
      <c r="G964" s="2">
        <v>225</v>
      </c>
      <c r="H964" t="str">
        <f t="shared" ref="H964:H974" si="17">"ABST FEE"</f>
        <v>ABST FEE</v>
      </c>
    </row>
    <row r="965" spans="1:8" x14ac:dyDescent="0.25">
      <c r="E965" t="str">
        <f>"12863"</f>
        <v>12863</v>
      </c>
      <c r="F965" t="str">
        <f t="shared" si="16"/>
        <v>ABST FEE</v>
      </c>
      <c r="G965" s="2">
        <v>225</v>
      </c>
      <c r="H965" t="str">
        <f t="shared" si="17"/>
        <v>ABST FEE</v>
      </c>
    </row>
    <row r="966" spans="1:8" x14ac:dyDescent="0.25">
      <c r="E966" t="str">
        <f>"12885"</f>
        <v>12885</v>
      </c>
      <c r="F966" t="str">
        <f t="shared" si="16"/>
        <v>ABST FEE</v>
      </c>
      <c r="G966" s="2">
        <v>225</v>
      </c>
      <c r="H966" t="str">
        <f t="shared" si="17"/>
        <v>ABST FEE</v>
      </c>
    </row>
    <row r="967" spans="1:8" x14ac:dyDescent="0.25">
      <c r="E967" t="str">
        <f>"12889"</f>
        <v>12889</v>
      </c>
      <c r="F967" t="str">
        <f t="shared" si="16"/>
        <v>ABST FEE</v>
      </c>
      <c r="G967" s="2">
        <v>225</v>
      </c>
      <c r="H967" t="str">
        <f t="shared" si="17"/>
        <v>ABST FEE</v>
      </c>
    </row>
    <row r="968" spans="1:8" x14ac:dyDescent="0.25">
      <c r="E968" t="str">
        <f>"12989"</f>
        <v>12989</v>
      </c>
      <c r="F968" t="str">
        <f t="shared" si="16"/>
        <v>ABST FEE</v>
      </c>
      <c r="G968" s="2">
        <v>225</v>
      </c>
      <c r="H968" t="str">
        <f t="shared" si="17"/>
        <v>ABST FEE</v>
      </c>
    </row>
    <row r="969" spans="1:8" x14ac:dyDescent="0.25">
      <c r="E969" t="str">
        <f>"13033"</f>
        <v>13033</v>
      </c>
      <c r="F969" t="str">
        <f t="shared" si="16"/>
        <v>ABST FEE</v>
      </c>
      <c r="G969" s="2">
        <v>225</v>
      </c>
      <c r="H969" t="str">
        <f t="shared" si="17"/>
        <v>ABST FEE</v>
      </c>
    </row>
    <row r="970" spans="1:8" x14ac:dyDescent="0.25">
      <c r="E970" t="str">
        <f>"13044"</f>
        <v>13044</v>
      </c>
      <c r="F970" t="str">
        <f t="shared" si="16"/>
        <v>ABST FEE</v>
      </c>
      <c r="G970" s="2">
        <v>225</v>
      </c>
      <c r="H970" t="str">
        <f t="shared" si="17"/>
        <v>ABST FEE</v>
      </c>
    </row>
    <row r="971" spans="1:8" x14ac:dyDescent="0.25">
      <c r="E971" t="str">
        <f>"13052"</f>
        <v>13052</v>
      </c>
      <c r="F971" t="str">
        <f t="shared" si="16"/>
        <v>ABST FEE</v>
      </c>
      <c r="G971" s="2">
        <v>225</v>
      </c>
      <c r="H971" t="str">
        <f t="shared" si="17"/>
        <v>ABST FEE</v>
      </c>
    </row>
    <row r="972" spans="1:8" x14ac:dyDescent="0.25">
      <c r="E972" t="str">
        <f>"13065"</f>
        <v>13065</v>
      </c>
      <c r="F972" t="str">
        <f t="shared" si="16"/>
        <v>ABST FEE</v>
      </c>
      <c r="G972" s="2">
        <v>225</v>
      </c>
      <c r="H972" t="str">
        <f t="shared" si="17"/>
        <v>ABST FEE</v>
      </c>
    </row>
    <row r="973" spans="1:8" x14ac:dyDescent="0.25">
      <c r="E973" t="str">
        <f>"13066"</f>
        <v>13066</v>
      </c>
      <c r="F973" t="str">
        <f t="shared" si="16"/>
        <v>ABST FEE</v>
      </c>
      <c r="G973" s="2">
        <v>225</v>
      </c>
      <c r="H973" t="str">
        <f t="shared" si="17"/>
        <v>ABST FEE</v>
      </c>
    </row>
    <row r="974" spans="1:8" x14ac:dyDescent="0.25">
      <c r="E974" t="str">
        <f>"13075"</f>
        <v>13075</v>
      </c>
      <c r="F974" t="str">
        <f t="shared" si="16"/>
        <v>ABST FEE</v>
      </c>
      <c r="G974" s="2">
        <v>225</v>
      </c>
      <c r="H974" t="str">
        <f t="shared" si="17"/>
        <v>ABST FEE</v>
      </c>
    </row>
    <row r="975" spans="1:8" x14ac:dyDescent="0.25">
      <c r="E975" t="str">
        <f>"201911052995"</f>
        <v>201911052995</v>
      </c>
      <c r="F975" t="str">
        <f>"COLLECT DELINQ TAXES-OCT 2019"</f>
        <v>COLLECT DELINQ TAXES-OCT 2019</v>
      </c>
      <c r="G975" s="2">
        <v>21235.18</v>
      </c>
      <c r="H975" t="str">
        <f>"COLLECT DELINQ TAXES-OCT 2019"</f>
        <v>COLLECT DELINQ TAXES-OCT 2019</v>
      </c>
    </row>
    <row r="976" spans="1:8" x14ac:dyDescent="0.25">
      <c r="E976" t="str">
        <f>"9545"</f>
        <v>9545</v>
      </c>
      <c r="F976" t="str">
        <f>"SERVICE"</f>
        <v>SERVICE</v>
      </c>
      <c r="G976" s="2">
        <v>50</v>
      </c>
      <c r="H976" t="str">
        <f>"SERVICE"</f>
        <v>SERVICE</v>
      </c>
    </row>
    <row r="977" spans="1:8" x14ac:dyDescent="0.25">
      <c r="A977" t="s">
        <v>280</v>
      </c>
      <c r="B977">
        <v>129770</v>
      </c>
      <c r="C977" s="2">
        <v>505</v>
      </c>
      <c r="D977" s="1">
        <v>43794</v>
      </c>
      <c r="E977" t="str">
        <f>"12847"</f>
        <v>12847</v>
      </c>
      <c r="F977" t="str">
        <f>"ABST FEE-$225/SERVICE-$55 8/26"</f>
        <v>ABST FEE-$225/SERVICE-$55 8/26</v>
      </c>
      <c r="G977" s="2">
        <v>280</v>
      </c>
      <c r="H977" t="str">
        <f>"ABST FEE-$225/SERVICE-$55 8/26"</f>
        <v>ABST FEE-$225/SERVICE-$55 8/26</v>
      </c>
    </row>
    <row r="978" spans="1:8" x14ac:dyDescent="0.25">
      <c r="E978" t="str">
        <f>"12890"</f>
        <v>12890</v>
      </c>
      <c r="F978" t="str">
        <f>"ABST FEE  08/26/19"</f>
        <v>ABST FEE  08/26/19</v>
      </c>
      <c r="G978" s="2">
        <v>225</v>
      </c>
      <c r="H978" t="str">
        <f>"ABST FEE"</f>
        <v>ABST FEE</v>
      </c>
    </row>
    <row r="979" spans="1:8" x14ac:dyDescent="0.25">
      <c r="A979" t="s">
        <v>281</v>
      </c>
      <c r="B979">
        <v>84770</v>
      </c>
      <c r="C979" s="2">
        <v>936.62</v>
      </c>
      <c r="D979" s="1">
        <v>43781</v>
      </c>
      <c r="E979" t="str">
        <f>"66326987 66324776"</f>
        <v>66326987 66324776</v>
      </c>
      <c r="F979" t="str">
        <f>"INV 66326987"</f>
        <v>INV 66326987</v>
      </c>
      <c r="G979" s="2">
        <v>936.62</v>
      </c>
      <c r="H979" t="str">
        <f>"INV 66326987"</f>
        <v>INV 66326987</v>
      </c>
    </row>
    <row r="980" spans="1:8" x14ac:dyDescent="0.25">
      <c r="E980" t="str">
        <f>""</f>
        <v/>
      </c>
      <c r="F980" t="str">
        <f>""</f>
        <v/>
      </c>
      <c r="H980" t="str">
        <f>"INV 66324776"</f>
        <v>INV 66324776</v>
      </c>
    </row>
    <row r="981" spans="1:8" x14ac:dyDescent="0.25">
      <c r="E981" t="str">
        <f>""</f>
        <v/>
      </c>
      <c r="F981" t="str">
        <f>""</f>
        <v/>
      </c>
      <c r="H981" t="str">
        <f>"INV 66338140"</f>
        <v>INV 66338140</v>
      </c>
    </row>
    <row r="982" spans="1:8" x14ac:dyDescent="0.25">
      <c r="E982" t="str">
        <f>""</f>
        <v/>
      </c>
      <c r="F982" t="str">
        <f>""</f>
        <v/>
      </c>
      <c r="H982" t="str">
        <f>"INV 66921900"</f>
        <v>INV 66921900</v>
      </c>
    </row>
    <row r="983" spans="1:8" x14ac:dyDescent="0.25">
      <c r="E983" t="str">
        <f>""</f>
        <v/>
      </c>
      <c r="F983" t="str">
        <f>""</f>
        <v/>
      </c>
      <c r="H983" t="str">
        <f>"INV 67111136"</f>
        <v>INV 67111136</v>
      </c>
    </row>
    <row r="984" spans="1:8" x14ac:dyDescent="0.25">
      <c r="A984" t="s">
        <v>281</v>
      </c>
      <c r="B984">
        <v>129771</v>
      </c>
      <c r="C984" s="2">
        <v>1015.33</v>
      </c>
      <c r="D984" s="1">
        <v>43794</v>
      </c>
      <c r="E984" t="str">
        <f>"65019213 65013181"</f>
        <v>65019213 65013181</v>
      </c>
      <c r="F984" t="str">
        <f>"INV 65019213"</f>
        <v>INV 65019213</v>
      </c>
      <c r="G984" s="2">
        <v>620.65</v>
      </c>
      <c r="H984" t="str">
        <f>"INV 65019213"</f>
        <v>INV 65019213</v>
      </c>
    </row>
    <row r="985" spans="1:8" x14ac:dyDescent="0.25">
      <c r="E985" t="str">
        <f>""</f>
        <v/>
      </c>
      <c r="F985" t="str">
        <f>""</f>
        <v/>
      </c>
      <c r="H985" t="str">
        <f>"INV 65013181"</f>
        <v>INV 65013181</v>
      </c>
    </row>
    <row r="986" spans="1:8" x14ac:dyDescent="0.25">
      <c r="E986" t="str">
        <f>""</f>
        <v/>
      </c>
      <c r="F986" t="str">
        <f>""</f>
        <v/>
      </c>
      <c r="H986" t="str">
        <f>"INV 65011912"</f>
        <v>INV 65011912</v>
      </c>
    </row>
    <row r="987" spans="1:8" x14ac:dyDescent="0.25">
      <c r="E987" t="str">
        <f>""</f>
        <v/>
      </c>
      <c r="F987" t="str">
        <f>""</f>
        <v/>
      </c>
      <c r="H987" t="str">
        <f>"INV 65072297"</f>
        <v>INV 65072297</v>
      </c>
    </row>
    <row r="988" spans="1:8" x14ac:dyDescent="0.25">
      <c r="E988" t="str">
        <f>"68814200 67610791"</f>
        <v>68814200 67610791</v>
      </c>
      <c r="F988" t="str">
        <f>"INV 68814200"</f>
        <v>INV 68814200</v>
      </c>
      <c r="G988" s="2">
        <v>394.68</v>
      </c>
      <c r="H988" t="str">
        <f>"INV 68814200"</f>
        <v>INV 68814200</v>
      </c>
    </row>
    <row r="989" spans="1:8" x14ac:dyDescent="0.25">
      <c r="E989" t="str">
        <f>""</f>
        <v/>
      </c>
      <c r="F989" t="str">
        <f>""</f>
        <v/>
      </c>
      <c r="H989" t="str">
        <f>"INV 67610791"</f>
        <v>INV 67610791</v>
      </c>
    </row>
    <row r="990" spans="1:8" x14ac:dyDescent="0.25">
      <c r="A990" t="s">
        <v>282</v>
      </c>
      <c r="B990">
        <v>84771</v>
      </c>
      <c r="C990" s="2">
        <v>1300</v>
      </c>
      <c r="D990" s="1">
        <v>43781</v>
      </c>
      <c r="E990" t="str">
        <f>"201910292785"</f>
        <v>201910292785</v>
      </c>
      <c r="F990" t="str">
        <f>"16 667"</f>
        <v>16 667</v>
      </c>
      <c r="G990" s="2">
        <v>1300</v>
      </c>
      <c r="H990" t="str">
        <f>"16 667"</f>
        <v>16 667</v>
      </c>
    </row>
    <row r="991" spans="1:8" x14ac:dyDescent="0.25">
      <c r="A991" t="s">
        <v>283</v>
      </c>
      <c r="B991">
        <v>129772</v>
      </c>
      <c r="C991" s="2">
        <v>2378.02</v>
      </c>
      <c r="D991" s="1">
        <v>43794</v>
      </c>
      <c r="E991" t="str">
        <f>"201911203488"</f>
        <v>201911203488</v>
      </c>
      <c r="F991" t="str">
        <f>"INDIGENT HEALTH"</f>
        <v>INDIGENT HEALTH</v>
      </c>
      <c r="G991" s="2">
        <v>2378.02</v>
      </c>
      <c r="H991" t="str">
        <f>"INDIGENT HEALTH"</f>
        <v>INDIGENT HEALTH</v>
      </c>
    </row>
    <row r="992" spans="1:8" x14ac:dyDescent="0.25">
      <c r="A992" t="s">
        <v>284</v>
      </c>
      <c r="B992">
        <v>1717</v>
      </c>
      <c r="C992" s="2">
        <v>2000</v>
      </c>
      <c r="D992" s="1">
        <v>43782</v>
      </c>
      <c r="E992" t="str">
        <f>"201911052992"</f>
        <v>201911052992</v>
      </c>
      <c r="F992" t="str">
        <f>"VET SURG SVCS 10/24/28/31 11/4"</f>
        <v>VET SURG SVCS 10/24/28/31 11/4</v>
      </c>
      <c r="G992" s="2">
        <v>2000</v>
      </c>
      <c r="H992" t="str">
        <f>"VET SURG SVCS 10/24/28/31 11/4"</f>
        <v>VET SURG SVCS 10/24/28/31 11/4</v>
      </c>
    </row>
    <row r="993" spans="1:8" x14ac:dyDescent="0.25">
      <c r="A993" t="s">
        <v>284</v>
      </c>
      <c r="B993">
        <v>1786</v>
      </c>
      <c r="C993" s="2">
        <v>1500</v>
      </c>
      <c r="D993" s="1">
        <v>43795</v>
      </c>
      <c r="E993" t="str">
        <f>"201911203471"</f>
        <v>201911203471</v>
      </c>
      <c r="F993" t="str">
        <f>"VET SURGICAL SVCS/NOV 7 14 18"</f>
        <v>VET SURGICAL SVCS/NOV 7 14 18</v>
      </c>
      <c r="G993" s="2">
        <v>1500</v>
      </c>
      <c r="H993" t="str">
        <f>"VET SURGICAL SVCS/NOV 7 14 18"</f>
        <v>VET SURGICAL SVCS/NOV 7 14 18</v>
      </c>
    </row>
    <row r="994" spans="1:8" x14ac:dyDescent="0.25">
      <c r="A994" t="s">
        <v>285</v>
      </c>
      <c r="B994">
        <v>1721</v>
      </c>
      <c r="C994" s="2">
        <v>523.77</v>
      </c>
      <c r="D994" s="1">
        <v>43782</v>
      </c>
      <c r="E994" t="str">
        <f>"201910302808"</f>
        <v>201910302808</v>
      </c>
      <c r="F994" t="str">
        <f>"REMIBURSE-HOTEL"</f>
        <v>REMIBURSE-HOTEL</v>
      </c>
      <c r="G994" s="2">
        <v>118.93</v>
      </c>
      <c r="H994" t="str">
        <f>"REMIBURSE-HOTEL"</f>
        <v>REMIBURSE-HOTEL</v>
      </c>
    </row>
    <row r="995" spans="1:8" x14ac:dyDescent="0.25">
      <c r="E995" t="str">
        <f>"201910302809"</f>
        <v>201910302809</v>
      </c>
      <c r="F995" t="str">
        <f>"MILEAGE REIMBURSEMENT"</f>
        <v>MILEAGE REIMBURSEMENT</v>
      </c>
      <c r="G995" s="2">
        <v>404.84</v>
      </c>
      <c r="H995" t="str">
        <f>"MILEAGE REIMBURSEMENT"</f>
        <v>MILEAGE REIMBURSEMENT</v>
      </c>
    </row>
    <row r="996" spans="1:8" x14ac:dyDescent="0.25">
      <c r="A996" t="s">
        <v>286</v>
      </c>
      <c r="B996">
        <v>1698</v>
      </c>
      <c r="C996" s="2">
        <v>817.7</v>
      </c>
      <c r="D996" s="1">
        <v>43782</v>
      </c>
      <c r="E996" t="str">
        <f>"20812"</f>
        <v>20812</v>
      </c>
      <c r="F996" t="str">
        <f>"FREIGHT SALES/PCT#2"</f>
        <v>FREIGHT SALES/PCT#2</v>
      </c>
      <c r="G996" s="2">
        <v>235.2</v>
      </c>
      <c r="H996" t="str">
        <f>"FREIGHT SALES/PCT#2"</f>
        <v>FREIGHT SALES/PCT#2</v>
      </c>
    </row>
    <row r="997" spans="1:8" x14ac:dyDescent="0.25">
      <c r="E997" t="str">
        <f>"20865"</f>
        <v>20865</v>
      </c>
      <c r="F997" t="str">
        <f>"FREIGHT SALES/PCT#2"</f>
        <v>FREIGHT SALES/PCT#2</v>
      </c>
      <c r="G997" s="2">
        <v>582.5</v>
      </c>
      <c r="H997" t="str">
        <f>"FREIGHT SALES/PCT#2"</f>
        <v>FREIGHT SALES/PCT#2</v>
      </c>
    </row>
    <row r="998" spans="1:8" x14ac:dyDescent="0.25">
      <c r="A998" t="s">
        <v>286</v>
      </c>
      <c r="B998">
        <v>1760</v>
      </c>
      <c r="C998" s="2">
        <v>718.95</v>
      </c>
      <c r="D998" s="1">
        <v>43795</v>
      </c>
      <c r="E998" t="str">
        <f>"20906"</f>
        <v>20906</v>
      </c>
      <c r="F998" t="str">
        <f>"FREIGHT SALES/PCT#2"</f>
        <v>FREIGHT SALES/PCT#2</v>
      </c>
      <c r="G998" s="2">
        <v>236.5</v>
      </c>
      <c r="H998" t="str">
        <f>"FREIGHT SALES/PCT#2"</f>
        <v>FREIGHT SALES/PCT#2</v>
      </c>
    </row>
    <row r="999" spans="1:8" x14ac:dyDescent="0.25">
      <c r="E999" t="str">
        <f>"20907"</f>
        <v>20907</v>
      </c>
      <c r="F999" t="str">
        <f>"FREIGHT SALES/REC BASE/PCT#2"</f>
        <v>FREIGHT SALES/REC BASE/PCT#2</v>
      </c>
      <c r="G999" s="2">
        <v>124.55</v>
      </c>
      <c r="H999" t="str">
        <f>"FREIGHT SALES/REC BASE/PCT#2"</f>
        <v>FREIGHT SALES/REC BASE/PCT#2</v>
      </c>
    </row>
    <row r="1000" spans="1:8" x14ac:dyDescent="0.25">
      <c r="E1000" t="str">
        <f>"20993"</f>
        <v>20993</v>
      </c>
      <c r="F1000" t="str">
        <f>"RECYCLED BASE / PCT 2"</f>
        <v>RECYCLED BASE / PCT 2</v>
      </c>
      <c r="G1000" s="2">
        <v>357.9</v>
      </c>
      <c r="H1000" t="str">
        <f>"RECYCLED BASE / PCT 2"</f>
        <v>RECYCLED BASE / PCT 2</v>
      </c>
    </row>
    <row r="1001" spans="1:8" x14ac:dyDescent="0.25">
      <c r="A1001" t="s">
        <v>287</v>
      </c>
      <c r="B1001">
        <v>129773</v>
      </c>
      <c r="C1001" s="2">
        <v>463</v>
      </c>
      <c r="D1001" s="1">
        <v>43794</v>
      </c>
      <c r="E1001" t="str">
        <f>"201911133216"</f>
        <v>201911133216</v>
      </c>
      <c r="F1001" t="str">
        <f>"INTERPRETING"</f>
        <v>INTERPRETING</v>
      </c>
      <c r="G1001" s="2">
        <v>463</v>
      </c>
      <c r="H1001" t="str">
        <f>"INTERPRETING"</f>
        <v>INTERPRETING</v>
      </c>
    </row>
    <row r="1002" spans="1:8" x14ac:dyDescent="0.25">
      <c r="A1002" t="s">
        <v>288</v>
      </c>
      <c r="B1002">
        <v>84849</v>
      </c>
      <c r="C1002" s="2">
        <v>40</v>
      </c>
      <c r="D1002" s="1">
        <v>43788</v>
      </c>
      <c r="E1002" t="str">
        <f>"201911193327"</f>
        <v>201911193327</v>
      </c>
      <c r="F1002" t="str">
        <f>"Miscellaneo"</f>
        <v>Miscellaneo</v>
      </c>
      <c r="G1002" s="2">
        <v>40</v>
      </c>
      <c r="H1002" t="str">
        <f>"LONNY RAY BOSTIC"</f>
        <v>LONNY RAY BOSTIC</v>
      </c>
    </row>
    <row r="1003" spans="1:8" x14ac:dyDescent="0.25">
      <c r="A1003" t="s">
        <v>289</v>
      </c>
      <c r="B1003">
        <v>84850</v>
      </c>
      <c r="C1003" s="2">
        <v>40</v>
      </c>
      <c r="D1003" s="1">
        <v>43788</v>
      </c>
      <c r="E1003" t="str">
        <f>"201911193328"</f>
        <v>201911193328</v>
      </c>
      <c r="F1003" t="str">
        <f>"Miscellaneous"</f>
        <v>Miscellaneous</v>
      </c>
      <c r="G1003" s="2">
        <v>40</v>
      </c>
      <c r="H1003" t="str">
        <f>"JAMIE DEE FORD"</f>
        <v>JAMIE DEE FORD</v>
      </c>
    </row>
    <row r="1004" spans="1:8" x14ac:dyDescent="0.25">
      <c r="A1004" t="s">
        <v>290</v>
      </c>
      <c r="B1004">
        <v>84851</v>
      </c>
      <c r="C1004" s="2">
        <v>40</v>
      </c>
      <c r="D1004" s="1">
        <v>43788</v>
      </c>
      <c r="E1004" t="str">
        <f>"201911193329"</f>
        <v>201911193329</v>
      </c>
      <c r="F1004" t="str">
        <f>"Miscella"</f>
        <v>Miscella</v>
      </c>
      <c r="G1004" s="2">
        <v>40</v>
      </c>
      <c r="H1004" t="str">
        <f>"GERALDINE ANN MCCOY"</f>
        <v>GERALDINE ANN MCCOY</v>
      </c>
    </row>
    <row r="1005" spans="1:8" x14ac:dyDescent="0.25">
      <c r="A1005" t="s">
        <v>291</v>
      </c>
      <c r="B1005">
        <v>84852</v>
      </c>
      <c r="C1005" s="2">
        <v>40</v>
      </c>
      <c r="D1005" s="1">
        <v>43788</v>
      </c>
      <c r="E1005" t="str">
        <f>"201911193330"</f>
        <v>201911193330</v>
      </c>
      <c r="F1005" t="str">
        <f>"Miscellan"</f>
        <v>Miscellan</v>
      </c>
      <c r="G1005" s="2">
        <v>40</v>
      </c>
      <c r="H1005" t="str">
        <f>"PAMELA PIPER CRABB"</f>
        <v>PAMELA PIPER CRABB</v>
      </c>
    </row>
    <row r="1006" spans="1:8" x14ac:dyDescent="0.25">
      <c r="A1006" t="s">
        <v>292</v>
      </c>
      <c r="B1006">
        <v>84853</v>
      </c>
      <c r="C1006" s="2">
        <v>40</v>
      </c>
      <c r="D1006" s="1">
        <v>43788</v>
      </c>
      <c r="E1006" t="str">
        <f>"201911193331"</f>
        <v>201911193331</v>
      </c>
      <c r="F1006" t="str">
        <f>"Misc"</f>
        <v>Misc</v>
      </c>
      <c r="G1006" s="2">
        <v>40</v>
      </c>
      <c r="H1006" t="str">
        <f>"SHERILYN KAATZ KISAMORE"</f>
        <v>SHERILYN KAATZ KISAMORE</v>
      </c>
    </row>
    <row r="1007" spans="1:8" x14ac:dyDescent="0.25">
      <c r="A1007" t="s">
        <v>293</v>
      </c>
      <c r="B1007">
        <v>84854</v>
      </c>
      <c r="C1007" s="2">
        <v>40</v>
      </c>
      <c r="D1007" s="1">
        <v>43788</v>
      </c>
      <c r="E1007" t="str">
        <f>"201911193332"</f>
        <v>201911193332</v>
      </c>
      <c r="F1007" t="str">
        <f>"Miscellaneou"</f>
        <v>Miscellaneou</v>
      </c>
      <c r="G1007" s="2">
        <v>40</v>
      </c>
      <c r="H1007" t="str">
        <f>"RUSSELL JAY ASH"</f>
        <v>RUSSELL JAY ASH</v>
      </c>
    </row>
    <row r="1008" spans="1:8" x14ac:dyDescent="0.25">
      <c r="A1008" t="s">
        <v>294</v>
      </c>
      <c r="B1008">
        <v>84855</v>
      </c>
      <c r="C1008" s="2">
        <v>40</v>
      </c>
      <c r="D1008" s="1">
        <v>43788</v>
      </c>
      <c r="E1008" t="str">
        <f>"201911193333"</f>
        <v>201911193333</v>
      </c>
      <c r="F1008" t="str">
        <f>"Misce"</f>
        <v>Misce</v>
      </c>
      <c r="G1008" s="2">
        <v>40</v>
      </c>
      <c r="H1008" t="str">
        <f>"STACY ROY CARPENTER JR"</f>
        <v>STACY ROY CARPENTER JR</v>
      </c>
    </row>
    <row r="1009" spans="1:8" x14ac:dyDescent="0.25">
      <c r="A1009" t="s">
        <v>295</v>
      </c>
      <c r="B1009">
        <v>84856</v>
      </c>
      <c r="C1009" s="2">
        <v>40</v>
      </c>
      <c r="D1009" s="1">
        <v>43788</v>
      </c>
      <c r="E1009" t="str">
        <f>"201911193334"</f>
        <v>201911193334</v>
      </c>
      <c r="F1009" t="str">
        <f>"Miscel"</f>
        <v>Miscel</v>
      </c>
      <c r="G1009" s="2">
        <v>40</v>
      </c>
      <c r="H1009" t="str">
        <f>"SCOTT JAY QUINTANILLA"</f>
        <v>SCOTT JAY QUINTANILLA</v>
      </c>
    </row>
    <row r="1010" spans="1:8" x14ac:dyDescent="0.25">
      <c r="A1010" t="s">
        <v>296</v>
      </c>
      <c r="B1010">
        <v>84857</v>
      </c>
      <c r="C1010" s="2">
        <v>40</v>
      </c>
      <c r="D1010" s="1">
        <v>43788</v>
      </c>
      <c r="E1010" t="str">
        <f>"201911193335"</f>
        <v>201911193335</v>
      </c>
      <c r="F1010" t="str">
        <f>"Miscellane"</f>
        <v>Miscellane</v>
      </c>
      <c r="G1010" s="2">
        <v>40</v>
      </c>
      <c r="H1010" t="str">
        <f>"JON HAROLD KEENER"</f>
        <v>JON HAROLD KEENER</v>
      </c>
    </row>
    <row r="1011" spans="1:8" x14ac:dyDescent="0.25">
      <c r="A1011" t="s">
        <v>297</v>
      </c>
      <c r="B1011">
        <v>84858</v>
      </c>
      <c r="C1011" s="2">
        <v>40</v>
      </c>
      <c r="D1011" s="1">
        <v>43788</v>
      </c>
      <c r="E1011" t="str">
        <f>"201911193336"</f>
        <v>201911193336</v>
      </c>
      <c r="F1011" t="str">
        <f>"Miscellane"</f>
        <v>Miscellane</v>
      </c>
      <c r="G1011" s="2">
        <v>40</v>
      </c>
      <c r="H1011" t="str">
        <f>"DONNA JAYE MEZERA"</f>
        <v>DONNA JAYE MEZERA</v>
      </c>
    </row>
    <row r="1012" spans="1:8" x14ac:dyDescent="0.25">
      <c r="A1012" t="s">
        <v>298</v>
      </c>
      <c r="B1012">
        <v>84859</v>
      </c>
      <c r="C1012" s="2">
        <v>40</v>
      </c>
      <c r="D1012" s="1">
        <v>43788</v>
      </c>
      <c r="E1012" t="str">
        <f>"201911193337"</f>
        <v>201911193337</v>
      </c>
      <c r="F1012" t="str">
        <f>"Mis"</f>
        <v>Mis</v>
      </c>
      <c r="G1012" s="2">
        <v>40</v>
      </c>
      <c r="H1012" t="str">
        <f>"JEFFERY LEE TUFFENTSAMER"</f>
        <v>JEFFERY LEE TUFFENTSAMER</v>
      </c>
    </row>
    <row r="1013" spans="1:8" x14ac:dyDescent="0.25">
      <c r="A1013" t="s">
        <v>299</v>
      </c>
      <c r="B1013">
        <v>84860</v>
      </c>
      <c r="C1013" s="2">
        <v>40</v>
      </c>
      <c r="D1013" s="1">
        <v>43788</v>
      </c>
      <c r="E1013" t="str">
        <f>"201911193338"</f>
        <v>201911193338</v>
      </c>
      <c r="F1013" t="str">
        <f>"Miscellan"</f>
        <v>Miscellan</v>
      </c>
      <c r="G1013" s="2">
        <v>40</v>
      </c>
      <c r="H1013" t="str">
        <f>"SCOTT TYLER TUCKER"</f>
        <v>SCOTT TYLER TUCKER</v>
      </c>
    </row>
    <row r="1014" spans="1:8" x14ac:dyDescent="0.25">
      <c r="A1014" t="s">
        <v>300</v>
      </c>
      <c r="B1014">
        <v>129774</v>
      </c>
      <c r="C1014" s="2">
        <v>155</v>
      </c>
      <c r="D1014" s="1">
        <v>43794</v>
      </c>
      <c r="E1014" t="str">
        <f>"10314"</f>
        <v>10314</v>
      </c>
      <c r="F1014" t="str">
        <f>"DUMPSTER RENTAL-4 YD DEC 2019"</f>
        <v>DUMPSTER RENTAL-4 YD DEC 2019</v>
      </c>
      <c r="G1014" s="2">
        <v>155</v>
      </c>
      <c r="H1014" t="str">
        <f>"DUMPSTER RENTAL-4 YD DEC 2019"</f>
        <v>DUMPSTER RENTAL-4 YD DEC 2019</v>
      </c>
    </row>
    <row r="1015" spans="1:8" x14ac:dyDescent="0.25">
      <c r="A1015" t="s">
        <v>301</v>
      </c>
      <c r="B1015">
        <v>84772</v>
      </c>
      <c r="C1015" s="2">
        <v>11504.46</v>
      </c>
      <c r="D1015" s="1">
        <v>43781</v>
      </c>
      <c r="E1015" t="str">
        <f>"16075720"</f>
        <v>16075720</v>
      </c>
      <c r="F1015" t="str">
        <f>"MOTOROLA SOLUTIONS  IN.C"</f>
        <v>MOTOROLA SOLUTIONS  IN.C</v>
      </c>
      <c r="G1015" s="2">
        <v>11504.46</v>
      </c>
      <c r="H1015" t="str">
        <f>"APX 6500 Radio"</f>
        <v>APX 6500 Radio</v>
      </c>
    </row>
    <row r="1016" spans="1:8" x14ac:dyDescent="0.25">
      <c r="A1016" t="s">
        <v>301</v>
      </c>
      <c r="B1016">
        <v>129775</v>
      </c>
      <c r="C1016" s="2">
        <v>25654.13</v>
      </c>
      <c r="D1016" s="1">
        <v>43794</v>
      </c>
      <c r="E1016" t="str">
        <f>"16077863"</f>
        <v>16077863</v>
      </c>
      <c r="F1016" t="str">
        <f>"Radio Batteries"</f>
        <v>Radio Batteries</v>
      </c>
      <c r="G1016" s="2">
        <v>1050</v>
      </c>
      <c r="H1016" t="str">
        <f>"NNTN8560A"</f>
        <v>NNTN8560A</v>
      </c>
    </row>
    <row r="1017" spans="1:8" x14ac:dyDescent="0.25">
      <c r="E1017" t="str">
        <f>"16077966"</f>
        <v>16077966</v>
      </c>
      <c r="F1017" t="str">
        <f>"APX 6500 for IT"</f>
        <v>APX 6500 for IT</v>
      </c>
      <c r="G1017" s="2">
        <v>3834.82</v>
      </c>
      <c r="H1017" t="str">
        <f>"M25URS9PW1 N"</f>
        <v>M25URS9PW1 N</v>
      </c>
    </row>
    <row r="1018" spans="1:8" x14ac:dyDescent="0.25">
      <c r="E1018" t="str">
        <f>""</f>
        <v/>
      </c>
      <c r="F1018" t="str">
        <f>""</f>
        <v/>
      </c>
      <c r="H1018" t="str">
        <f>"G806"</f>
        <v>G806</v>
      </c>
    </row>
    <row r="1019" spans="1:8" x14ac:dyDescent="0.25">
      <c r="E1019" t="str">
        <f>""</f>
        <v/>
      </c>
      <c r="F1019" t="str">
        <f>""</f>
        <v/>
      </c>
      <c r="H1019" t="str">
        <f>"G51"</f>
        <v>G51</v>
      </c>
    </row>
    <row r="1020" spans="1:8" x14ac:dyDescent="0.25">
      <c r="E1020" t="str">
        <f>""</f>
        <v/>
      </c>
      <c r="F1020" t="str">
        <f>""</f>
        <v/>
      </c>
      <c r="H1020" t="str">
        <f>"QA01648"</f>
        <v>QA01648</v>
      </c>
    </row>
    <row r="1021" spans="1:8" x14ac:dyDescent="0.25">
      <c r="E1021" t="str">
        <f>""</f>
        <v/>
      </c>
      <c r="F1021" t="str">
        <f>""</f>
        <v/>
      </c>
      <c r="H1021" t="str">
        <f>"G361"</f>
        <v>G361</v>
      </c>
    </row>
    <row r="1022" spans="1:8" x14ac:dyDescent="0.25">
      <c r="E1022" t="str">
        <f>""</f>
        <v/>
      </c>
      <c r="F1022" t="str">
        <f>""</f>
        <v/>
      </c>
      <c r="H1022" t="str">
        <f>"G442"</f>
        <v>G442</v>
      </c>
    </row>
    <row r="1023" spans="1:8" x14ac:dyDescent="0.25">
      <c r="E1023" t="str">
        <f>""</f>
        <v/>
      </c>
      <c r="F1023" t="str">
        <f>""</f>
        <v/>
      </c>
      <c r="H1023" t="str">
        <f>"G67"</f>
        <v>G67</v>
      </c>
    </row>
    <row r="1024" spans="1:8" x14ac:dyDescent="0.25">
      <c r="E1024" t="str">
        <f>""</f>
        <v/>
      </c>
      <c r="F1024" t="str">
        <f>""</f>
        <v/>
      </c>
      <c r="H1024" t="str">
        <f>"G174"</f>
        <v>G174</v>
      </c>
    </row>
    <row r="1025" spans="1:8" x14ac:dyDescent="0.25">
      <c r="E1025" t="str">
        <f>""</f>
        <v/>
      </c>
      <c r="F1025" t="str">
        <f>""</f>
        <v/>
      </c>
      <c r="H1025" t="str">
        <f>"W22"</f>
        <v>W22</v>
      </c>
    </row>
    <row r="1026" spans="1:8" x14ac:dyDescent="0.25">
      <c r="E1026" t="str">
        <f>""</f>
        <v/>
      </c>
      <c r="F1026" t="str">
        <f>""</f>
        <v/>
      </c>
      <c r="H1026" t="str">
        <f>"G831"</f>
        <v>G831</v>
      </c>
    </row>
    <row r="1027" spans="1:8" x14ac:dyDescent="0.25">
      <c r="E1027" t="str">
        <f>""</f>
        <v/>
      </c>
      <c r="F1027" t="str">
        <f>""</f>
        <v/>
      </c>
      <c r="H1027" t="str">
        <f>"GA01767"</f>
        <v>GA01767</v>
      </c>
    </row>
    <row r="1028" spans="1:8" x14ac:dyDescent="0.25">
      <c r="E1028" t="str">
        <f>""</f>
        <v/>
      </c>
      <c r="F1028" t="str">
        <f>""</f>
        <v/>
      </c>
      <c r="H1028" t="str">
        <f>"W969"</f>
        <v>W969</v>
      </c>
    </row>
    <row r="1029" spans="1:8" x14ac:dyDescent="0.25">
      <c r="E1029" t="str">
        <f>""</f>
        <v/>
      </c>
      <c r="F1029" t="str">
        <f>""</f>
        <v/>
      </c>
      <c r="H1029" t="str">
        <f>"CREDIT"</f>
        <v>CREDIT</v>
      </c>
    </row>
    <row r="1030" spans="1:8" x14ac:dyDescent="0.25">
      <c r="E1030" t="str">
        <f>""</f>
        <v/>
      </c>
      <c r="F1030" t="str">
        <f>""</f>
        <v/>
      </c>
      <c r="H1030" t="str">
        <f>"GA00318"</f>
        <v>GA00318</v>
      </c>
    </row>
    <row r="1031" spans="1:8" x14ac:dyDescent="0.25">
      <c r="E1031" t="str">
        <f>""</f>
        <v/>
      </c>
      <c r="F1031" t="str">
        <f>""</f>
        <v/>
      </c>
      <c r="H1031" t="str">
        <f>"PROMO"</f>
        <v>PROMO</v>
      </c>
    </row>
    <row r="1032" spans="1:8" x14ac:dyDescent="0.25">
      <c r="E1032" t="str">
        <f>""</f>
        <v/>
      </c>
      <c r="F1032" t="str">
        <f>""</f>
        <v/>
      </c>
      <c r="H1032" t="str">
        <f>"GA09008"</f>
        <v>GA09008</v>
      </c>
    </row>
    <row r="1033" spans="1:8" x14ac:dyDescent="0.25">
      <c r="E1033" t="str">
        <f>"8230246424"</f>
        <v>8230246424</v>
      </c>
      <c r="F1033" t="str">
        <f>"ACCT#1036215277.RADIO SVC AGMT"</f>
        <v>ACCT#1036215277.RADIO SVC AGMT</v>
      </c>
      <c r="G1033" s="2">
        <v>20769.310000000001</v>
      </c>
      <c r="H1033" t="str">
        <f>"ACCT#1036215277.RADIO SVC AGMT"</f>
        <v>ACCT#1036215277.RADIO SVC AGMT</v>
      </c>
    </row>
    <row r="1034" spans="1:8" x14ac:dyDescent="0.25">
      <c r="A1034" t="s">
        <v>302</v>
      </c>
      <c r="B1034">
        <v>84641</v>
      </c>
      <c r="C1034" s="2">
        <v>97438</v>
      </c>
      <c r="D1034" s="1">
        <v>43770</v>
      </c>
      <c r="E1034" t="str">
        <f>"Pay App 001"</f>
        <v>Pay App 001</v>
      </c>
      <c r="F1034" t="str">
        <f>"PRIJECT # 80085 BOWIE DR / P2"</f>
        <v>PRIJECT # 80085 BOWIE DR / P2</v>
      </c>
      <c r="G1034" s="2">
        <v>97438</v>
      </c>
      <c r="H1034" t="str">
        <f>"PRIJECT # 80085 BOWIE DR / P2"</f>
        <v>PRIJECT # 80085 BOWIE DR / P2</v>
      </c>
    </row>
    <row r="1035" spans="1:8" x14ac:dyDescent="0.25">
      <c r="A1035" t="s">
        <v>302</v>
      </c>
      <c r="B1035">
        <v>84773</v>
      </c>
      <c r="C1035" s="2">
        <v>3800</v>
      </c>
      <c r="D1035" s="1">
        <v>43781</v>
      </c>
      <c r="E1035" t="str">
        <f>"557"</f>
        <v>557</v>
      </c>
      <c r="F1035" t="str">
        <f>"O'Grady Rd. Box Culverts"</f>
        <v>O'Grady Rd. Box Culverts</v>
      </c>
      <c r="G1035" s="2">
        <v>3800</v>
      </c>
      <c r="H1035" t="str">
        <f>"O'Grady Rd. Box Culverts"</f>
        <v>O'Grady Rd. Box Culverts</v>
      </c>
    </row>
    <row r="1036" spans="1:8" x14ac:dyDescent="0.25">
      <c r="A1036" t="s">
        <v>303</v>
      </c>
      <c r="B1036">
        <v>84774</v>
      </c>
      <c r="C1036" s="2">
        <v>31900</v>
      </c>
      <c r="D1036" s="1">
        <v>43781</v>
      </c>
      <c r="E1036" t="str">
        <f>"S8743401"</f>
        <v>S8743401</v>
      </c>
      <c r="F1036" t="str">
        <f>"MUSTANG MACHINERY COMPANY LTD"</f>
        <v>MUSTANG MACHINERY COMPANY LTD</v>
      </c>
      <c r="G1036" s="2">
        <v>31900</v>
      </c>
      <c r="H1036" t="str">
        <f>"Mulching Head"</f>
        <v>Mulching Head</v>
      </c>
    </row>
    <row r="1037" spans="1:8" x14ac:dyDescent="0.25">
      <c r="A1037" t="s">
        <v>304</v>
      </c>
      <c r="B1037">
        <v>129776</v>
      </c>
      <c r="C1037" s="2">
        <v>902.95</v>
      </c>
      <c r="D1037" s="1">
        <v>43794</v>
      </c>
      <c r="E1037" t="str">
        <f>"86756683"</f>
        <v>86756683</v>
      </c>
      <c r="F1037" t="str">
        <f>"ACCT#150344157/WATER TRMT SVCS"</f>
        <v>ACCT#150344157/WATER TRMT SVCS</v>
      </c>
      <c r="G1037" s="2">
        <v>902.95</v>
      </c>
      <c r="H1037" t="str">
        <f>"ACCT#150344157/WATER TRMT SVCS"</f>
        <v>ACCT#150344157/WATER TRMT SVCS</v>
      </c>
    </row>
    <row r="1038" spans="1:8" x14ac:dyDescent="0.25">
      <c r="A1038" t="s">
        <v>305</v>
      </c>
      <c r="B1038">
        <v>84775</v>
      </c>
      <c r="C1038" s="2">
        <v>1827.5</v>
      </c>
      <c r="D1038" s="1">
        <v>43781</v>
      </c>
      <c r="E1038" t="str">
        <f>"10-21-19-01"</f>
        <v>10-21-19-01</v>
      </c>
      <c r="F1038" t="str">
        <f>"JOB 10-21-19-01"</f>
        <v>JOB 10-21-19-01</v>
      </c>
      <c r="G1038" s="2">
        <v>850</v>
      </c>
      <c r="H1038" t="str">
        <f>"JOB 10-21-19-01"</f>
        <v>JOB 10-21-19-01</v>
      </c>
    </row>
    <row r="1039" spans="1:8" x14ac:dyDescent="0.25">
      <c r="E1039" t="str">
        <f>"201911052981"</f>
        <v>201911052981</v>
      </c>
      <c r="F1039" t="str">
        <f>"JOB 10-14"</f>
        <v>JOB 10-14</v>
      </c>
      <c r="G1039" s="2">
        <v>977.5</v>
      </c>
      <c r="H1039" t="str">
        <f>"JOB 10-14"</f>
        <v>JOB 10-14</v>
      </c>
    </row>
    <row r="1040" spans="1:8" x14ac:dyDescent="0.25">
      <c r="A1040" t="s">
        <v>306</v>
      </c>
      <c r="B1040">
        <v>1694</v>
      </c>
      <c r="C1040" s="2">
        <v>7472.6</v>
      </c>
      <c r="D1040" s="1">
        <v>43782</v>
      </c>
      <c r="E1040" t="str">
        <f>"IN0830709"</f>
        <v>IN0830709</v>
      </c>
      <c r="F1040" t="str">
        <f>"INV IN0830709"</f>
        <v>INV IN0830709</v>
      </c>
      <c r="G1040" s="2">
        <v>4439.2</v>
      </c>
      <c r="H1040" t="str">
        <f>"INV IN0830709"</f>
        <v>INV IN0830709</v>
      </c>
    </row>
    <row r="1041" spans="1:8" x14ac:dyDescent="0.25">
      <c r="E1041" t="str">
        <f>"IN0830812 IN083070"</f>
        <v>IN0830812 IN083070</v>
      </c>
      <c r="F1041" t="str">
        <f>"INV IN0830812"</f>
        <v>INV IN0830812</v>
      </c>
      <c r="G1041" s="2">
        <v>3033.4</v>
      </c>
      <c r="H1041" t="str">
        <f>"INV IN0830812"</f>
        <v>INV IN0830812</v>
      </c>
    </row>
    <row r="1042" spans="1:8" x14ac:dyDescent="0.25">
      <c r="E1042" t="str">
        <f>""</f>
        <v/>
      </c>
      <c r="F1042" t="str">
        <f>""</f>
        <v/>
      </c>
      <c r="H1042" t="str">
        <f>"INV IN0830703"</f>
        <v>INV IN0830703</v>
      </c>
    </row>
    <row r="1043" spans="1:8" x14ac:dyDescent="0.25">
      <c r="A1043" t="s">
        <v>306</v>
      </c>
      <c r="B1043">
        <v>1751</v>
      </c>
      <c r="C1043" s="2">
        <v>12280.32</v>
      </c>
      <c r="D1043" s="1">
        <v>43795</v>
      </c>
      <c r="E1043" t="str">
        <f>"IN0831588 IN083193"</f>
        <v>IN0831588 IN083193</v>
      </c>
      <c r="F1043" t="str">
        <f>"INV IN0831588"</f>
        <v>INV IN0831588</v>
      </c>
      <c r="G1043" s="2">
        <v>4307.04</v>
      </c>
      <c r="H1043" t="str">
        <f>"INV IN0831588"</f>
        <v>INV IN0831588</v>
      </c>
    </row>
    <row r="1044" spans="1:8" x14ac:dyDescent="0.25">
      <c r="E1044" t="str">
        <f>""</f>
        <v/>
      </c>
      <c r="F1044" t="str">
        <f>""</f>
        <v/>
      </c>
      <c r="H1044" t="str">
        <f>"INV IN0831930"</f>
        <v>INV IN0831930</v>
      </c>
    </row>
    <row r="1045" spans="1:8" x14ac:dyDescent="0.25">
      <c r="E1045" t="str">
        <f>"IN0831997 IN083191"</f>
        <v>IN0831997 IN083191</v>
      </c>
      <c r="F1045" t="str">
        <f>"INV IN0831997"</f>
        <v>INV IN0831997</v>
      </c>
      <c r="G1045" s="2">
        <v>3528</v>
      </c>
      <c r="H1045" t="str">
        <f>"INV IN0831997"</f>
        <v>INV IN0831997</v>
      </c>
    </row>
    <row r="1046" spans="1:8" x14ac:dyDescent="0.25">
      <c r="E1046" t="str">
        <f>""</f>
        <v/>
      </c>
      <c r="F1046" t="str">
        <f>""</f>
        <v/>
      </c>
      <c r="H1046" t="str">
        <f>"INV IN0831917"</f>
        <v>INV IN0831917</v>
      </c>
    </row>
    <row r="1047" spans="1:8" x14ac:dyDescent="0.25">
      <c r="E1047" t="str">
        <f>"IN0832128"</f>
        <v>IN0832128</v>
      </c>
      <c r="F1047" t="str">
        <f>"INV IN0832128"</f>
        <v>INV IN0832128</v>
      </c>
      <c r="G1047" s="2">
        <v>4445.28</v>
      </c>
      <c r="H1047" t="str">
        <f>"INV IN0832128"</f>
        <v>INV IN0832128</v>
      </c>
    </row>
    <row r="1048" spans="1:8" x14ac:dyDescent="0.25">
      <c r="A1048" t="s">
        <v>307</v>
      </c>
      <c r="B1048">
        <v>129777</v>
      </c>
      <c r="C1048" s="2">
        <v>142</v>
      </c>
      <c r="D1048" s="1">
        <v>43794</v>
      </c>
      <c r="E1048" t="str">
        <f>"300052565"</f>
        <v>300052565</v>
      </c>
      <c r="F1048" t="str">
        <f>"PUBLIC SECTOR"</f>
        <v>PUBLIC SECTOR</v>
      </c>
      <c r="G1048" s="2">
        <v>142</v>
      </c>
      <c r="H1048" t="str">
        <f>"PUBLIC SECTOR"</f>
        <v>PUBLIC SECTOR</v>
      </c>
    </row>
    <row r="1049" spans="1:8" x14ac:dyDescent="0.25">
      <c r="A1049" t="s">
        <v>308</v>
      </c>
      <c r="B1049">
        <v>1738</v>
      </c>
      <c r="C1049" s="2">
        <v>492.87</v>
      </c>
      <c r="D1049" s="1">
        <v>43782</v>
      </c>
      <c r="E1049" t="str">
        <f>"201911052894"</f>
        <v>201911052894</v>
      </c>
      <c r="F1049" t="str">
        <f>"CUST#99088/PCT#4"</f>
        <v>CUST#99088/PCT#4</v>
      </c>
      <c r="G1049" s="2">
        <v>492.87</v>
      </c>
      <c r="H1049" t="str">
        <f>"CUST#99088/PCT#4"</f>
        <v>CUST#99088/PCT#4</v>
      </c>
    </row>
    <row r="1050" spans="1:8" x14ac:dyDescent="0.25">
      <c r="A1050" t="s">
        <v>308</v>
      </c>
      <c r="B1050">
        <v>1821</v>
      </c>
      <c r="C1050" s="2">
        <v>22.84</v>
      </c>
      <c r="D1050" s="1">
        <v>43795</v>
      </c>
      <c r="E1050" t="str">
        <f>"0581-118467"</f>
        <v>0581-118467</v>
      </c>
      <c r="F1050" t="str">
        <f>"INV 0581-118467"</f>
        <v>INV 0581-118467</v>
      </c>
      <c r="G1050" s="2">
        <v>22.84</v>
      </c>
      <c r="H1050" t="str">
        <f>"INV 0581-118467"</f>
        <v>INV 0581-118467</v>
      </c>
    </row>
    <row r="1051" spans="1:8" x14ac:dyDescent="0.25">
      <c r="A1051" t="s">
        <v>309</v>
      </c>
      <c r="B1051">
        <v>84846</v>
      </c>
      <c r="C1051" s="2">
        <v>962.25</v>
      </c>
      <c r="D1051" s="1">
        <v>43781</v>
      </c>
      <c r="E1051" t="str">
        <f>"1777309  1784557"</f>
        <v>1777309  1784557</v>
      </c>
      <c r="F1051" t="str">
        <f>"INV 1777309"</f>
        <v>INV 1777309</v>
      </c>
      <c r="G1051" s="2">
        <v>962.25</v>
      </c>
      <c r="H1051" t="str">
        <f>"INV 1777309"</f>
        <v>INV 1777309</v>
      </c>
    </row>
    <row r="1052" spans="1:8" x14ac:dyDescent="0.25">
      <c r="E1052" t="str">
        <f>""</f>
        <v/>
      </c>
      <c r="F1052" t="str">
        <f>""</f>
        <v/>
      </c>
      <c r="H1052" t="str">
        <f>"INV 1784557"</f>
        <v>INV 1784557</v>
      </c>
    </row>
    <row r="1053" spans="1:8" x14ac:dyDescent="0.25">
      <c r="A1053" t="s">
        <v>310</v>
      </c>
      <c r="B1053">
        <v>129778</v>
      </c>
      <c r="C1053" s="2">
        <v>971.88</v>
      </c>
      <c r="D1053" s="1">
        <v>43794</v>
      </c>
      <c r="E1053" t="str">
        <f>"1791452 1798250"</f>
        <v>1791452 1798250</v>
      </c>
      <c r="F1053" t="str">
        <f>"INV 1791452"</f>
        <v>INV 1791452</v>
      </c>
      <c r="G1053" s="2">
        <v>971.88</v>
      </c>
      <c r="H1053" t="str">
        <f>"INV 1791452"</f>
        <v>INV 1791452</v>
      </c>
    </row>
    <row r="1054" spans="1:8" x14ac:dyDescent="0.25">
      <c r="E1054" t="str">
        <f>""</f>
        <v/>
      </c>
      <c r="F1054" t="str">
        <f>""</f>
        <v/>
      </c>
      <c r="H1054" t="str">
        <f>"INV 1798250"</f>
        <v>INV 1798250</v>
      </c>
    </row>
    <row r="1055" spans="1:8" x14ac:dyDescent="0.25">
      <c r="A1055" t="s">
        <v>311</v>
      </c>
      <c r="B1055">
        <v>84776</v>
      </c>
      <c r="C1055" s="2">
        <v>4144.91</v>
      </c>
      <c r="D1055" s="1">
        <v>43781</v>
      </c>
      <c r="E1055" t="str">
        <f>"12694355"</f>
        <v>12694355</v>
      </c>
      <c r="F1055" t="str">
        <f>"bill# 12694355"</f>
        <v>bill# 12694355</v>
      </c>
      <c r="G1055" s="2">
        <v>1688.76</v>
      </c>
      <c r="H1055" t="str">
        <f>"Ord# 382478800001"</f>
        <v>Ord# 382478800001</v>
      </c>
    </row>
    <row r="1056" spans="1:8" x14ac:dyDescent="0.25">
      <c r="E1056" t="str">
        <f>""</f>
        <v/>
      </c>
      <c r="F1056" t="str">
        <f>""</f>
        <v/>
      </c>
      <c r="H1056" t="str">
        <f>"Ord# 383717412001"</f>
        <v>Ord# 383717412001</v>
      </c>
    </row>
    <row r="1057" spans="5:8" x14ac:dyDescent="0.25">
      <c r="E1057" t="str">
        <f>""</f>
        <v/>
      </c>
      <c r="F1057" t="str">
        <f>""</f>
        <v/>
      </c>
      <c r="H1057" t="str">
        <f>"Ord# 383840282001"</f>
        <v>Ord# 383840282001</v>
      </c>
    </row>
    <row r="1058" spans="5:8" x14ac:dyDescent="0.25">
      <c r="E1058" t="str">
        <f>""</f>
        <v/>
      </c>
      <c r="F1058" t="str">
        <f>""</f>
        <v/>
      </c>
      <c r="H1058" t="str">
        <f>"Ord# 383840500001"</f>
        <v>Ord# 383840500001</v>
      </c>
    </row>
    <row r="1059" spans="5:8" x14ac:dyDescent="0.25">
      <c r="E1059" t="str">
        <f>""</f>
        <v/>
      </c>
      <c r="F1059" t="str">
        <f>""</f>
        <v/>
      </c>
      <c r="H1059" t="str">
        <f>"Ord# 383840501001"</f>
        <v>Ord# 383840501001</v>
      </c>
    </row>
    <row r="1060" spans="5:8" x14ac:dyDescent="0.25">
      <c r="E1060" t="str">
        <f>""</f>
        <v/>
      </c>
      <c r="F1060" t="str">
        <f>""</f>
        <v/>
      </c>
      <c r="H1060" t="str">
        <f>"Ord# 382844720001"</f>
        <v>Ord# 382844720001</v>
      </c>
    </row>
    <row r="1061" spans="5:8" x14ac:dyDescent="0.25">
      <c r="E1061" t="str">
        <f>""</f>
        <v/>
      </c>
      <c r="F1061" t="str">
        <f>""</f>
        <v/>
      </c>
      <c r="H1061" t="str">
        <f>"Ord# 382845308001"</f>
        <v>Ord# 382845308001</v>
      </c>
    </row>
    <row r="1062" spans="5:8" x14ac:dyDescent="0.25">
      <c r="E1062" t="str">
        <f>""</f>
        <v/>
      </c>
      <c r="F1062" t="str">
        <f>""</f>
        <v/>
      </c>
      <c r="H1062" t="str">
        <f>"Ord# 379178767001"</f>
        <v>Ord# 379178767001</v>
      </c>
    </row>
    <row r="1063" spans="5:8" x14ac:dyDescent="0.25">
      <c r="E1063" t="str">
        <f>""</f>
        <v/>
      </c>
      <c r="F1063" t="str">
        <f>""</f>
        <v/>
      </c>
      <c r="H1063" t="str">
        <f>"Ord# 37917925001"</f>
        <v>Ord# 37917925001</v>
      </c>
    </row>
    <row r="1064" spans="5:8" x14ac:dyDescent="0.25">
      <c r="E1064" t="str">
        <f>""</f>
        <v/>
      </c>
      <c r="F1064" t="str">
        <f>""</f>
        <v/>
      </c>
      <c r="H1064" t="str">
        <f>"Ord# 383256044001"</f>
        <v>Ord# 383256044001</v>
      </c>
    </row>
    <row r="1065" spans="5:8" x14ac:dyDescent="0.25">
      <c r="E1065" t="str">
        <f>""</f>
        <v/>
      </c>
      <c r="F1065" t="str">
        <f>""</f>
        <v/>
      </c>
      <c r="H1065" t="str">
        <f>"Ord# 382625674001"</f>
        <v>Ord# 382625674001</v>
      </c>
    </row>
    <row r="1066" spans="5:8" x14ac:dyDescent="0.25">
      <c r="E1066" t="str">
        <f>""</f>
        <v/>
      </c>
      <c r="F1066" t="str">
        <f>""</f>
        <v/>
      </c>
      <c r="H1066" t="str">
        <f>"Ord# 382118407001"</f>
        <v>Ord# 382118407001</v>
      </c>
    </row>
    <row r="1067" spans="5:8" x14ac:dyDescent="0.25">
      <c r="E1067" t="str">
        <f>"12822963"</f>
        <v>12822963</v>
      </c>
      <c r="F1067" t="str">
        <f>"bill# 12822963"</f>
        <v>bill# 12822963</v>
      </c>
      <c r="G1067" s="2">
        <v>561.75</v>
      </c>
      <c r="H1067" t="str">
        <f>"ord# 387380758001"</f>
        <v>ord# 387380758001</v>
      </c>
    </row>
    <row r="1068" spans="5:8" x14ac:dyDescent="0.25">
      <c r="E1068" t="str">
        <f>""</f>
        <v/>
      </c>
      <c r="F1068" t="str">
        <f>""</f>
        <v/>
      </c>
      <c r="H1068" t="str">
        <f>"ord# 387381598001"</f>
        <v>ord# 387381598001</v>
      </c>
    </row>
    <row r="1069" spans="5:8" x14ac:dyDescent="0.25">
      <c r="E1069" t="str">
        <f>""</f>
        <v/>
      </c>
      <c r="F1069" t="str">
        <f>""</f>
        <v/>
      </c>
      <c r="H1069" t="str">
        <f>"ord# 389562084001"</f>
        <v>ord# 389562084001</v>
      </c>
    </row>
    <row r="1070" spans="5:8" x14ac:dyDescent="0.25">
      <c r="E1070" t="str">
        <f>""</f>
        <v/>
      </c>
      <c r="F1070" t="str">
        <f>""</f>
        <v/>
      </c>
      <c r="H1070" t="str">
        <f>"ord# 385518829002"</f>
        <v>ord# 385518829002</v>
      </c>
    </row>
    <row r="1071" spans="5:8" x14ac:dyDescent="0.25">
      <c r="E1071" t="str">
        <f>""</f>
        <v/>
      </c>
      <c r="F1071" t="str">
        <f>""</f>
        <v/>
      </c>
      <c r="H1071" t="str">
        <f>"ord# 390703721001"</f>
        <v>ord# 390703721001</v>
      </c>
    </row>
    <row r="1072" spans="5:8" x14ac:dyDescent="0.25">
      <c r="E1072" t="str">
        <f>""</f>
        <v/>
      </c>
      <c r="F1072" t="str">
        <f>""</f>
        <v/>
      </c>
      <c r="H1072" t="str">
        <f>"ord# 390704239001"</f>
        <v>ord# 390704239001</v>
      </c>
    </row>
    <row r="1073" spans="1:8" x14ac:dyDescent="0.25">
      <c r="E1073" t="str">
        <f>""</f>
        <v/>
      </c>
      <c r="F1073" t="str">
        <f>""</f>
        <v/>
      </c>
      <c r="H1073" t="str">
        <f>"ord# 388333795001"</f>
        <v>ord# 388333795001</v>
      </c>
    </row>
    <row r="1074" spans="1:8" x14ac:dyDescent="0.25">
      <c r="E1074" t="str">
        <f>"201911063026"</f>
        <v>201911063026</v>
      </c>
      <c r="F1074" t="str">
        <f>"bill# 12694355"</f>
        <v>bill# 12694355</v>
      </c>
      <c r="G1074" s="2">
        <v>1284.45</v>
      </c>
      <c r="H1074" t="str">
        <f>"ord# 385108156001"</f>
        <v>ord# 385108156001</v>
      </c>
    </row>
    <row r="1075" spans="1:8" x14ac:dyDescent="0.25">
      <c r="E1075" t="str">
        <f>""</f>
        <v/>
      </c>
      <c r="F1075" t="str">
        <f>""</f>
        <v/>
      </c>
      <c r="H1075" t="str">
        <f>"ord# 385110248001"</f>
        <v>ord# 385110248001</v>
      </c>
    </row>
    <row r="1076" spans="1:8" x14ac:dyDescent="0.25">
      <c r="E1076" t="str">
        <f>""</f>
        <v/>
      </c>
      <c r="F1076" t="str">
        <f>""</f>
        <v/>
      </c>
      <c r="H1076" t="str">
        <f>"ord# 385231689001"</f>
        <v>ord# 385231689001</v>
      </c>
    </row>
    <row r="1077" spans="1:8" x14ac:dyDescent="0.25">
      <c r="E1077" t="str">
        <f>""</f>
        <v/>
      </c>
      <c r="F1077" t="str">
        <f>""</f>
        <v/>
      </c>
      <c r="H1077" t="str">
        <f>"ord# 385518829001"</f>
        <v>ord# 385518829001</v>
      </c>
    </row>
    <row r="1078" spans="1:8" x14ac:dyDescent="0.25">
      <c r="E1078" t="str">
        <f>""</f>
        <v/>
      </c>
      <c r="F1078" t="str">
        <f>""</f>
        <v/>
      </c>
      <c r="H1078" t="str">
        <f>"ord# 385521768001"</f>
        <v>ord# 385521768001</v>
      </c>
    </row>
    <row r="1079" spans="1:8" x14ac:dyDescent="0.25">
      <c r="E1079" t="str">
        <f>""</f>
        <v/>
      </c>
      <c r="F1079" t="str">
        <f>""</f>
        <v/>
      </c>
      <c r="H1079" t="str">
        <f>"shipping"</f>
        <v>shipping</v>
      </c>
    </row>
    <row r="1080" spans="1:8" x14ac:dyDescent="0.25">
      <c r="E1080" t="str">
        <f>""</f>
        <v/>
      </c>
      <c r="F1080" t="str">
        <f>""</f>
        <v/>
      </c>
      <c r="H1080" t="str">
        <f>"ord# 385521769001"</f>
        <v>ord# 385521769001</v>
      </c>
    </row>
    <row r="1081" spans="1:8" x14ac:dyDescent="0.25">
      <c r="E1081" t="str">
        <f>"395828929001"</f>
        <v>395828929001</v>
      </c>
      <c r="F1081" t="str">
        <f>"inv# 395828929001"</f>
        <v>inv# 395828929001</v>
      </c>
      <c r="G1081" s="2">
        <v>609.95000000000005</v>
      </c>
      <c r="H1081" t="str">
        <f>"inv# 395828929001"</f>
        <v>inv# 395828929001</v>
      </c>
    </row>
    <row r="1082" spans="1:8" x14ac:dyDescent="0.25">
      <c r="A1082" t="s">
        <v>311</v>
      </c>
      <c r="B1082">
        <v>129779</v>
      </c>
      <c r="C1082" s="2">
        <v>1501.64</v>
      </c>
      <c r="D1082" s="1">
        <v>43794</v>
      </c>
      <c r="E1082" t="str">
        <f>"13103874"</f>
        <v>13103874</v>
      </c>
      <c r="F1082" t="str">
        <f>"bill# 13103874"</f>
        <v>bill# 13103874</v>
      </c>
      <c r="G1082" s="2">
        <v>1501.64</v>
      </c>
      <c r="H1082" t="str">
        <f>"Ord# 398735265001"</f>
        <v>Ord# 398735265001</v>
      </c>
    </row>
    <row r="1083" spans="1:8" x14ac:dyDescent="0.25">
      <c r="E1083" t="str">
        <f>""</f>
        <v/>
      </c>
      <c r="F1083" t="str">
        <f>""</f>
        <v/>
      </c>
      <c r="H1083" t="str">
        <f>"Ord# 396538247001"</f>
        <v>Ord# 396538247001</v>
      </c>
    </row>
    <row r="1084" spans="1:8" x14ac:dyDescent="0.25">
      <c r="E1084" t="str">
        <f>""</f>
        <v/>
      </c>
      <c r="F1084" t="str">
        <f>""</f>
        <v/>
      </c>
      <c r="H1084" t="str">
        <f>"Ord# 396538590001"</f>
        <v>Ord# 396538590001</v>
      </c>
    </row>
    <row r="1085" spans="1:8" x14ac:dyDescent="0.25">
      <c r="E1085" t="str">
        <f>""</f>
        <v/>
      </c>
      <c r="F1085" t="str">
        <f>""</f>
        <v/>
      </c>
      <c r="H1085" t="str">
        <f>"Ord# 396538591001"</f>
        <v>Ord# 396538591001</v>
      </c>
    </row>
    <row r="1086" spans="1:8" x14ac:dyDescent="0.25">
      <c r="E1086" t="str">
        <f>""</f>
        <v/>
      </c>
      <c r="F1086" t="str">
        <f>""</f>
        <v/>
      </c>
      <c r="H1086" t="str">
        <f>"Ord# 396538593001"</f>
        <v>Ord# 396538593001</v>
      </c>
    </row>
    <row r="1087" spans="1:8" x14ac:dyDescent="0.25">
      <c r="E1087" t="str">
        <f>""</f>
        <v/>
      </c>
      <c r="F1087" t="str">
        <f>""</f>
        <v/>
      </c>
      <c r="H1087" t="str">
        <f>"Ord# 402990726001"</f>
        <v>Ord# 402990726001</v>
      </c>
    </row>
    <row r="1088" spans="1:8" x14ac:dyDescent="0.25">
      <c r="E1088" t="str">
        <f>""</f>
        <v/>
      </c>
      <c r="F1088" t="str">
        <f>""</f>
        <v/>
      </c>
      <c r="H1088" t="str">
        <f>"Ord# 399058211001"</f>
        <v>Ord# 399058211001</v>
      </c>
    </row>
    <row r="1089" spans="1:8" x14ac:dyDescent="0.25">
      <c r="E1089" t="str">
        <f>""</f>
        <v/>
      </c>
      <c r="F1089" t="str">
        <f>""</f>
        <v/>
      </c>
      <c r="H1089" t="str">
        <f>"Ord# 399060289001"</f>
        <v>Ord# 399060289001</v>
      </c>
    </row>
    <row r="1090" spans="1:8" x14ac:dyDescent="0.25">
      <c r="E1090" t="str">
        <f>""</f>
        <v/>
      </c>
      <c r="F1090" t="str">
        <f>""</f>
        <v/>
      </c>
      <c r="H1090" t="str">
        <f>"Ord# 403054796001"</f>
        <v>Ord# 403054796001</v>
      </c>
    </row>
    <row r="1091" spans="1:8" x14ac:dyDescent="0.25">
      <c r="E1091" t="str">
        <f>""</f>
        <v/>
      </c>
      <c r="F1091" t="str">
        <f>""</f>
        <v/>
      </c>
      <c r="H1091" t="str">
        <f>"Ord# 397549055001"</f>
        <v>Ord# 397549055001</v>
      </c>
    </row>
    <row r="1092" spans="1:8" x14ac:dyDescent="0.25">
      <c r="E1092" t="str">
        <f>""</f>
        <v/>
      </c>
      <c r="F1092" t="str">
        <f>""</f>
        <v/>
      </c>
      <c r="H1092" t="str">
        <f>"Ord# 397549232001"</f>
        <v>Ord# 397549232001</v>
      </c>
    </row>
    <row r="1093" spans="1:8" x14ac:dyDescent="0.25">
      <c r="E1093" t="str">
        <f>""</f>
        <v/>
      </c>
      <c r="F1093" t="str">
        <f>""</f>
        <v/>
      </c>
      <c r="H1093" t="str">
        <f>"Ord# 403244075001"</f>
        <v>Ord# 403244075001</v>
      </c>
    </row>
    <row r="1094" spans="1:8" x14ac:dyDescent="0.25">
      <c r="E1094" t="str">
        <f>""</f>
        <v/>
      </c>
      <c r="F1094" t="str">
        <f>""</f>
        <v/>
      </c>
      <c r="H1094" t="str">
        <f>"Ord# 403618084001"</f>
        <v>Ord# 403618084001</v>
      </c>
    </row>
    <row r="1095" spans="1:8" x14ac:dyDescent="0.25">
      <c r="E1095" t="str">
        <f>""</f>
        <v/>
      </c>
      <c r="F1095" t="str">
        <f>""</f>
        <v/>
      </c>
      <c r="H1095" t="str">
        <f>"Ord# 403619326001"</f>
        <v>Ord# 403619326001</v>
      </c>
    </row>
    <row r="1096" spans="1:8" x14ac:dyDescent="0.25">
      <c r="A1096" t="s">
        <v>312</v>
      </c>
      <c r="B1096">
        <v>129780</v>
      </c>
      <c r="C1096" s="2">
        <v>20</v>
      </c>
      <c r="D1096" s="1">
        <v>43794</v>
      </c>
      <c r="E1096" t="str">
        <f>"286443"</f>
        <v>286443</v>
      </c>
      <c r="F1096" t="str">
        <f>"CUST ID:BASCOU/DRUG SCREENING"</f>
        <v>CUST ID:BASCOU/DRUG SCREENING</v>
      </c>
      <c r="G1096" s="2">
        <v>20</v>
      </c>
      <c r="H1096" t="str">
        <f>"CUST ID:BASCOU/DRUG SCREENING"</f>
        <v>CUST ID:BASCOU/DRUG SCREENING</v>
      </c>
    </row>
    <row r="1097" spans="1:8" x14ac:dyDescent="0.25">
      <c r="A1097" t="s">
        <v>313</v>
      </c>
      <c r="B1097">
        <v>84777</v>
      </c>
      <c r="C1097" s="2">
        <v>1458</v>
      </c>
      <c r="D1097" s="1">
        <v>43781</v>
      </c>
      <c r="E1097" t="str">
        <f>"503"</f>
        <v>503</v>
      </c>
      <c r="F1097" t="str">
        <f>"SEWER ISSUE AT PCT#3"</f>
        <v>SEWER ISSUE AT PCT#3</v>
      </c>
      <c r="G1097" s="2">
        <v>1240</v>
      </c>
      <c r="H1097" t="str">
        <f>"SEWER ISSUE AT PCT#3"</f>
        <v>SEWER ISSUE AT PCT#3</v>
      </c>
    </row>
    <row r="1098" spans="1:8" x14ac:dyDescent="0.25">
      <c r="E1098" t="str">
        <f>"537"</f>
        <v>537</v>
      </c>
      <c r="F1098" t="str">
        <f>"TOILET ISSUES/589 COOL WATER"</f>
        <v>TOILET ISSUES/589 COOL WATER</v>
      </c>
      <c r="G1098" s="2">
        <v>218</v>
      </c>
      <c r="H1098" t="str">
        <f>"TOILET ISSUES/589 COOL WATER"</f>
        <v>TOILET ISSUES/589 COOL WATER</v>
      </c>
    </row>
    <row r="1099" spans="1:8" x14ac:dyDescent="0.25">
      <c r="A1099" t="s">
        <v>313</v>
      </c>
      <c r="B1099">
        <v>129781</v>
      </c>
      <c r="C1099" s="2">
        <v>4469</v>
      </c>
      <c r="D1099" s="1">
        <v>43794</v>
      </c>
      <c r="E1099" t="str">
        <f>"570-1"</f>
        <v>570-1</v>
      </c>
      <c r="F1099" t="str">
        <f>"HYDRO JET/MOBILIZATION FEE"</f>
        <v>HYDRO JET/MOBILIZATION FEE</v>
      </c>
      <c r="G1099" s="2">
        <v>1545</v>
      </c>
      <c r="H1099" t="str">
        <f>"HYDRO JET/MOBILIZATION FEE"</f>
        <v>HYDRO JET/MOBILIZATION FEE</v>
      </c>
    </row>
    <row r="1100" spans="1:8" x14ac:dyDescent="0.25">
      <c r="E1100" t="str">
        <f>"586"</f>
        <v>586</v>
      </c>
      <c r="F1100" t="str">
        <f>"INV 586"</f>
        <v>INV 586</v>
      </c>
      <c r="G1100" s="2">
        <v>432</v>
      </c>
      <c r="H1100" t="str">
        <f>"INV 586"</f>
        <v>INV 586</v>
      </c>
    </row>
    <row r="1101" spans="1:8" x14ac:dyDescent="0.25">
      <c r="E1101" t="str">
        <f>"635"</f>
        <v>635</v>
      </c>
      <c r="F1101" t="str">
        <f>"REPLACE LAV FAUCETS W/T&amp;S FAUC"</f>
        <v>REPLACE LAV FAUCETS W/T&amp;S FAUC</v>
      </c>
      <c r="G1101" s="2">
        <v>2492</v>
      </c>
      <c r="H1101" t="str">
        <f>"REPLACE LAV FAUCETS W/T&amp;S FAUC"</f>
        <v>REPLACE LAV FAUCETS W/T&amp;S FAUC</v>
      </c>
    </row>
    <row r="1102" spans="1:8" x14ac:dyDescent="0.25">
      <c r="A1102" t="s">
        <v>314</v>
      </c>
      <c r="B1102">
        <v>84778</v>
      </c>
      <c r="C1102" s="2">
        <v>717.5</v>
      </c>
      <c r="D1102" s="1">
        <v>43781</v>
      </c>
      <c r="E1102" t="str">
        <f>"270499 270474"</f>
        <v>270499 270474</v>
      </c>
      <c r="F1102" t="str">
        <f>"Sign Shop Materials"</f>
        <v>Sign Shop Materials</v>
      </c>
      <c r="G1102" s="2">
        <v>717.5</v>
      </c>
      <c r="H1102" t="str">
        <f>"36 X50yds"</f>
        <v>36 X50yds</v>
      </c>
    </row>
    <row r="1103" spans="1:8" x14ac:dyDescent="0.25">
      <c r="E1103" t="str">
        <f>""</f>
        <v/>
      </c>
      <c r="F1103" t="str">
        <f>""</f>
        <v/>
      </c>
      <c r="H1103" t="str">
        <f>"24  Stop Sign"</f>
        <v>24  Stop Sign</v>
      </c>
    </row>
    <row r="1104" spans="1:8" x14ac:dyDescent="0.25">
      <c r="A1104" t="s">
        <v>315</v>
      </c>
      <c r="B1104">
        <v>129782</v>
      </c>
      <c r="C1104" s="2">
        <v>27878</v>
      </c>
      <c r="D1104" s="1">
        <v>43794</v>
      </c>
      <c r="E1104" t="str">
        <f>"201911183305"</f>
        <v>201911183305</v>
      </c>
      <c r="F1104" t="str">
        <f>"CARGO VAN"</f>
        <v>CARGO VAN</v>
      </c>
      <c r="G1104" s="2">
        <v>27878</v>
      </c>
      <c r="H1104" t="str">
        <f>"2019 DODGE PROMASTER"</f>
        <v>2019 DODGE PROMASTER</v>
      </c>
    </row>
    <row r="1105" spans="1:8" x14ac:dyDescent="0.25">
      <c r="A1105" t="s">
        <v>316</v>
      </c>
      <c r="B1105">
        <v>84779</v>
      </c>
      <c r="C1105" s="2">
        <v>539.99</v>
      </c>
      <c r="D1105" s="1">
        <v>43781</v>
      </c>
      <c r="E1105" t="str">
        <f>"71466"</f>
        <v>71466</v>
      </c>
      <c r="F1105" t="str">
        <f>"inv# 71466"</f>
        <v>inv# 71466</v>
      </c>
      <c r="G1105" s="2">
        <v>539.99</v>
      </c>
      <c r="H1105" t="str">
        <f>"16  CHainsaw Stihl M"</f>
        <v>16  CHainsaw Stihl M</v>
      </c>
    </row>
    <row r="1106" spans="1:8" x14ac:dyDescent="0.25">
      <c r="E1106" t="str">
        <f>""</f>
        <v/>
      </c>
      <c r="F1106" t="str">
        <f>""</f>
        <v/>
      </c>
      <c r="H1106" t="str">
        <f>"Discount"</f>
        <v>Discount</v>
      </c>
    </row>
    <row r="1107" spans="1:8" x14ac:dyDescent="0.25">
      <c r="A1107" t="s">
        <v>316</v>
      </c>
      <c r="B1107">
        <v>129783</v>
      </c>
      <c r="C1107" s="2">
        <v>407.9</v>
      </c>
      <c r="D1107" s="1">
        <v>43794</v>
      </c>
      <c r="E1107" t="str">
        <f>"71468"</f>
        <v>71468</v>
      </c>
      <c r="F1107" t="str">
        <f>"STIHL CHAIN SAW/PCT#2"</f>
        <v>STIHL CHAIN SAW/PCT#2</v>
      </c>
      <c r="G1107" s="2">
        <v>407.9</v>
      </c>
      <c r="H1107" t="str">
        <f>"STIHL CHAIN SAW/PCT#2"</f>
        <v>STIHL CHAIN SAW/PCT#2</v>
      </c>
    </row>
    <row r="1108" spans="1:8" x14ac:dyDescent="0.25">
      <c r="A1108" t="s">
        <v>317</v>
      </c>
      <c r="B1108">
        <v>84780</v>
      </c>
      <c r="C1108" s="2">
        <v>261.20999999999998</v>
      </c>
      <c r="D1108" s="1">
        <v>43781</v>
      </c>
      <c r="E1108" t="str">
        <f>"201911052893"</f>
        <v>201911052893</v>
      </c>
      <c r="F1108" t="str">
        <f>"ACCT#1137/PCT#4"</f>
        <v>ACCT#1137/PCT#4</v>
      </c>
      <c r="G1108" s="2">
        <v>261.20999999999998</v>
      </c>
      <c r="H1108" t="str">
        <f>"ACCT#1137/PCT#4"</f>
        <v>ACCT#1137/PCT#4</v>
      </c>
    </row>
    <row r="1109" spans="1:8" x14ac:dyDescent="0.25">
      <c r="A1109" t="s">
        <v>318</v>
      </c>
      <c r="B1109">
        <v>1762</v>
      </c>
      <c r="C1109" s="2">
        <v>2019.3</v>
      </c>
      <c r="D1109" s="1">
        <v>43795</v>
      </c>
      <c r="E1109" t="str">
        <f>"2008401"</f>
        <v>2008401</v>
      </c>
      <c r="F1109" t="str">
        <f>"200 AMP METER LOOP/LABOR"</f>
        <v>200 AMP METER LOOP/LABOR</v>
      </c>
      <c r="G1109" s="2">
        <v>2019.3</v>
      </c>
      <c r="H1109" t="str">
        <f>"200 AMP METER LOOP/LABOR"</f>
        <v>200 AMP METER LOOP/LABOR</v>
      </c>
    </row>
    <row r="1110" spans="1:8" x14ac:dyDescent="0.25">
      <c r="A1110" t="s">
        <v>319</v>
      </c>
      <c r="B1110">
        <v>84781</v>
      </c>
      <c r="C1110" s="2">
        <v>1811.39</v>
      </c>
      <c r="D1110" s="1">
        <v>43781</v>
      </c>
      <c r="E1110" t="str">
        <f>"201911052984"</f>
        <v>201911052984</v>
      </c>
      <c r="F1110" t="str">
        <f>"ACCT#0200140783"</f>
        <v>ACCT#0200140783</v>
      </c>
      <c r="G1110" s="2">
        <v>1811.39</v>
      </c>
      <c r="H1110" t="str">
        <f>"ACCT#0200140783"</f>
        <v>ACCT#0200140783</v>
      </c>
    </row>
    <row r="1111" spans="1:8" x14ac:dyDescent="0.25">
      <c r="E1111" t="str">
        <f>""</f>
        <v/>
      </c>
      <c r="F1111" t="str">
        <f>""</f>
        <v/>
      </c>
      <c r="H1111" t="str">
        <f>"ACCT#0200140783"</f>
        <v>ACCT#0200140783</v>
      </c>
    </row>
    <row r="1112" spans="1:8" x14ac:dyDescent="0.25">
      <c r="A1112" t="s">
        <v>320</v>
      </c>
      <c r="B1112">
        <v>129784</v>
      </c>
      <c r="C1112" s="2">
        <v>9000</v>
      </c>
      <c r="D1112" s="1">
        <v>43794</v>
      </c>
      <c r="E1112" t="str">
        <f>"410141"</f>
        <v>410141</v>
      </c>
      <c r="F1112" t="str">
        <f>"CLIENT#20442/INTERIM BILLING"</f>
        <v>CLIENT#20442/INTERIM BILLING</v>
      </c>
      <c r="G1112" s="2">
        <v>9000</v>
      </c>
      <c r="H1112" t="str">
        <f>"CLIENT#20442/INTERIM BILLING"</f>
        <v>CLIENT#20442/INTERIM BILLING</v>
      </c>
    </row>
    <row r="1113" spans="1:8" x14ac:dyDescent="0.25">
      <c r="A1113" t="s">
        <v>321</v>
      </c>
      <c r="B1113">
        <v>1732</v>
      </c>
      <c r="C1113" s="2">
        <v>1187</v>
      </c>
      <c r="D1113" s="1">
        <v>43782</v>
      </c>
      <c r="E1113" t="str">
        <f>"201911052919"</f>
        <v>201911052919</v>
      </c>
      <c r="F1113" t="str">
        <f>"57088"</f>
        <v>57088</v>
      </c>
      <c r="G1113" s="2">
        <v>250</v>
      </c>
      <c r="H1113" t="str">
        <f>"57088"</f>
        <v>57088</v>
      </c>
    </row>
    <row r="1114" spans="1:8" x14ac:dyDescent="0.25">
      <c r="E1114" t="str">
        <f>"201911052920"</f>
        <v>201911052920</v>
      </c>
      <c r="F1114" t="str">
        <f>"57193"</f>
        <v>57193</v>
      </c>
      <c r="G1114" s="2">
        <v>250</v>
      </c>
      <c r="H1114" t="str">
        <f>"57193"</f>
        <v>57193</v>
      </c>
    </row>
    <row r="1115" spans="1:8" x14ac:dyDescent="0.25">
      <c r="E1115" t="str">
        <f>"201911052921"</f>
        <v>201911052921</v>
      </c>
      <c r="F1115" t="str">
        <f>"UNFILED-JUVENILE"</f>
        <v>UNFILED-JUVENILE</v>
      </c>
      <c r="G1115" s="2">
        <v>100</v>
      </c>
      <c r="H1115" t="str">
        <f>"UNFILED-JUVENILE"</f>
        <v>UNFILED-JUVENILE</v>
      </c>
    </row>
    <row r="1116" spans="1:8" x14ac:dyDescent="0.25">
      <c r="E1116" t="str">
        <f>"201911052922"</f>
        <v>201911052922</v>
      </c>
      <c r="F1116" t="str">
        <f>"18-19392"</f>
        <v>18-19392</v>
      </c>
      <c r="G1116" s="2">
        <v>262</v>
      </c>
      <c r="H1116" t="str">
        <f>"18-19392"</f>
        <v>18-19392</v>
      </c>
    </row>
    <row r="1117" spans="1:8" x14ac:dyDescent="0.25">
      <c r="E1117" t="str">
        <f>"201911052923"</f>
        <v>201911052923</v>
      </c>
      <c r="F1117" t="str">
        <f>"19-19418"</f>
        <v>19-19418</v>
      </c>
      <c r="G1117" s="2">
        <v>325</v>
      </c>
      <c r="H1117" t="str">
        <f>"19-19418"</f>
        <v>19-19418</v>
      </c>
    </row>
    <row r="1118" spans="1:8" x14ac:dyDescent="0.25">
      <c r="A1118" t="s">
        <v>321</v>
      </c>
      <c r="B1118">
        <v>1805</v>
      </c>
      <c r="C1118" s="2">
        <v>2982</v>
      </c>
      <c r="D1118" s="1">
        <v>43795</v>
      </c>
      <c r="E1118" t="str">
        <f>"201911193422"</f>
        <v>201911193422</v>
      </c>
      <c r="F1118" t="str">
        <f>"17-18617"</f>
        <v>17-18617</v>
      </c>
      <c r="G1118" s="2">
        <v>542</v>
      </c>
      <c r="H1118" t="str">
        <f>"17-18617"</f>
        <v>17-18617</v>
      </c>
    </row>
    <row r="1119" spans="1:8" x14ac:dyDescent="0.25">
      <c r="E1119" t="str">
        <f>"201911193423"</f>
        <v>201911193423</v>
      </c>
      <c r="F1119" t="str">
        <f>"19-19638"</f>
        <v>19-19638</v>
      </c>
      <c r="G1119" s="2">
        <v>415</v>
      </c>
      <c r="H1119" t="str">
        <f>"19-19638"</f>
        <v>19-19638</v>
      </c>
    </row>
    <row r="1120" spans="1:8" x14ac:dyDescent="0.25">
      <c r="E1120" t="str">
        <f>"201911193424"</f>
        <v>201911193424</v>
      </c>
      <c r="F1120" t="str">
        <f>"18-19166"</f>
        <v>18-19166</v>
      </c>
      <c r="G1120" s="2">
        <v>918</v>
      </c>
      <c r="H1120" t="str">
        <f>"18-19166"</f>
        <v>18-19166</v>
      </c>
    </row>
    <row r="1121" spans="1:8" x14ac:dyDescent="0.25">
      <c r="E1121" t="str">
        <f>"201911193425"</f>
        <v>201911193425</v>
      </c>
      <c r="F1121" t="str">
        <f>"19-19558"</f>
        <v>19-19558</v>
      </c>
      <c r="G1121" s="2">
        <v>460</v>
      </c>
      <c r="H1121" t="str">
        <f>"19-19558"</f>
        <v>19-19558</v>
      </c>
    </row>
    <row r="1122" spans="1:8" x14ac:dyDescent="0.25">
      <c r="E1122" t="str">
        <f>"201911203465"</f>
        <v>201911203465</v>
      </c>
      <c r="F1122" t="str">
        <f>"18-19166"</f>
        <v>18-19166</v>
      </c>
      <c r="G1122" s="2">
        <v>465</v>
      </c>
      <c r="H1122" t="str">
        <f>"18-19166"</f>
        <v>18-19166</v>
      </c>
    </row>
    <row r="1123" spans="1:8" x14ac:dyDescent="0.25">
      <c r="E1123" t="str">
        <f>"201911203466"</f>
        <v>201911203466</v>
      </c>
      <c r="F1123" t="str">
        <f>"18-18992"</f>
        <v>18-18992</v>
      </c>
      <c r="G1123" s="2">
        <v>182</v>
      </c>
      <c r="H1123" t="str">
        <f>"18-18992"</f>
        <v>18-18992</v>
      </c>
    </row>
    <row r="1124" spans="1:8" x14ac:dyDescent="0.25">
      <c r="A1124" t="s">
        <v>322</v>
      </c>
      <c r="B1124">
        <v>1804</v>
      </c>
      <c r="C1124" s="2">
        <v>587.88</v>
      </c>
      <c r="D1124" s="1">
        <v>43795</v>
      </c>
      <c r="E1124" t="str">
        <f>"3308216600"</f>
        <v>3308216600</v>
      </c>
      <c r="F1124" t="str">
        <f>"ACCT#0010366024/POSTAGE"</f>
        <v>ACCT#0010366024/POSTAGE</v>
      </c>
      <c r="G1124" s="2">
        <v>195.96</v>
      </c>
      <c r="H1124" t="str">
        <f>"ACCT#0010366024/POSTAGE"</f>
        <v>ACCT#0010366024/POSTAGE</v>
      </c>
    </row>
    <row r="1125" spans="1:8" x14ac:dyDescent="0.25">
      <c r="E1125" t="str">
        <f>"3308872976"</f>
        <v>3308872976</v>
      </c>
      <c r="F1125" t="str">
        <f>"ACCT#0010366024/POSTAGE"</f>
        <v>ACCT#0010366024/POSTAGE</v>
      </c>
      <c r="G1125" s="2">
        <v>195.96</v>
      </c>
      <c r="H1125" t="str">
        <f>"ACCT#0010366024/POSTAGE"</f>
        <v>ACCT#0010366024/POSTAGE</v>
      </c>
    </row>
    <row r="1126" spans="1:8" x14ac:dyDescent="0.25">
      <c r="E1126" t="str">
        <f>"3309509807"</f>
        <v>3309509807</v>
      </c>
      <c r="F1126" t="str">
        <f>"ACCT#0010366024/POSTAGE"</f>
        <v>ACCT#0010366024/POSTAGE</v>
      </c>
      <c r="G1126" s="2">
        <v>195.96</v>
      </c>
      <c r="H1126" t="str">
        <f>"ACCT#0010366024/POSTAGE"</f>
        <v>ACCT#0010366024/POSTAGE</v>
      </c>
    </row>
    <row r="1127" spans="1:8" x14ac:dyDescent="0.25">
      <c r="A1127" t="s">
        <v>323</v>
      </c>
      <c r="B1127">
        <v>1703</v>
      </c>
      <c r="C1127" s="2">
        <v>250</v>
      </c>
      <c r="D1127" s="1">
        <v>43782</v>
      </c>
      <c r="E1127" t="str">
        <f>"201911052897"</f>
        <v>201911052897</v>
      </c>
      <c r="F1127" t="str">
        <f>"55 274"</f>
        <v>55 274</v>
      </c>
      <c r="G1127" s="2">
        <v>250</v>
      </c>
      <c r="H1127" t="str">
        <f>"55 274"</f>
        <v>55 274</v>
      </c>
    </row>
    <row r="1128" spans="1:8" x14ac:dyDescent="0.25">
      <c r="A1128" t="s">
        <v>323</v>
      </c>
      <c r="B1128">
        <v>1766</v>
      </c>
      <c r="C1128" s="2">
        <v>750</v>
      </c>
      <c r="D1128" s="1">
        <v>43795</v>
      </c>
      <c r="E1128" t="str">
        <f>"201911193388"</f>
        <v>201911193388</v>
      </c>
      <c r="F1128" t="str">
        <f>"56888"</f>
        <v>56888</v>
      </c>
      <c r="G1128" s="2">
        <v>500</v>
      </c>
      <c r="H1128" t="str">
        <f>"56888"</f>
        <v>56888</v>
      </c>
    </row>
    <row r="1129" spans="1:8" x14ac:dyDescent="0.25">
      <c r="E1129" t="str">
        <f>"201911193389"</f>
        <v>201911193389</v>
      </c>
      <c r="F1129" t="str">
        <f>"55 703"</f>
        <v>55 703</v>
      </c>
      <c r="G1129" s="2">
        <v>250</v>
      </c>
      <c r="H1129" t="str">
        <f>"55 703"</f>
        <v>55 703</v>
      </c>
    </row>
    <row r="1130" spans="1:8" x14ac:dyDescent="0.25">
      <c r="A1130" t="s">
        <v>324</v>
      </c>
      <c r="B1130">
        <v>1711</v>
      </c>
      <c r="C1130" s="2">
        <v>966.36</v>
      </c>
      <c r="D1130" s="1">
        <v>43782</v>
      </c>
      <c r="E1130" t="str">
        <f>"201911052997"</f>
        <v>201911052997</v>
      </c>
      <c r="F1130" t="str">
        <f>"ACCT#0005/PCT#4"</f>
        <v>ACCT#0005/PCT#4</v>
      </c>
      <c r="G1130" s="2">
        <v>966.36</v>
      </c>
      <c r="H1130" t="str">
        <f>"ACCT#0005/PCT#4"</f>
        <v>ACCT#0005/PCT#4</v>
      </c>
    </row>
    <row r="1131" spans="1:8" x14ac:dyDescent="0.25">
      <c r="A1131" t="s">
        <v>325</v>
      </c>
      <c r="B1131">
        <v>84782</v>
      </c>
      <c r="C1131" s="2">
        <v>710</v>
      </c>
      <c r="D1131" s="1">
        <v>43781</v>
      </c>
      <c r="E1131" t="str">
        <f>"201911042872"</f>
        <v>201911042872</v>
      </c>
      <c r="F1131" t="str">
        <f>"BRM ANN MAINT/PERMIT#4511526"</f>
        <v>BRM ANN MAINT/PERMIT#4511526</v>
      </c>
      <c r="G1131" s="2">
        <v>710</v>
      </c>
      <c r="H1131" t="str">
        <f>"BRM ANN MAINT/PERMIT#4511526"</f>
        <v>BRM ANN MAINT/PERMIT#4511526</v>
      </c>
    </row>
    <row r="1132" spans="1:8" x14ac:dyDescent="0.25">
      <c r="A1132" t="s">
        <v>326</v>
      </c>
      <c r="B1132">
        <v>84783</v>
      </c>
      <c r="C1132" s="2">
        <v>71.22</v>
      </c>
      <c r="D1132" s="1">
        <v>43781</v>
      </c>
      <c r="E1132" t="str">
        <f>"30694"</f>
        <v>30694</v>
      </c>
      <c r="F1132" t="str">
        <f>"Bowie Gaskets"</f>
        <v>Bowie Gaskets</v>
      </c>
      <c r="G1132" s="2">
        <v>71.22</v>
      </c>
      <c r="H1132" t="str">
        <f>"Part# 306"</f>
        <v>Part# 306</v>
      </c>
    </row>
    <row r="1133" spans="1:8" x14ac:dyDescent="0.25">
      <c r="E1133" t="str">
        <f>""</f>
        <v/>
      </c>
      <c r="F1133" t="str">
        <f>""</f>
        <v/>
      </c>
      <c r="H1133" t="str">
        <f>"Freight"</f>
        <v>Freight</v>
      </c>
    </row>
    <row r="1134" spans="1:8" x14ac:dyDescent="0.25">
      <c r="A1134" t="s">
        <v>327</v>
      </c>
      <c r="B1134">
        <v>129785</v>
      </c>
      <c r="C1134" s="2">
        <v>2180.44</v>
      </c>
      <c r="D1134" s="1">
        <v>43794</v>
      </c>
      <c r="E1134" t="str">
        <f>"13005"</f>
        <v>13005</v>
      </c>
      <c r="F1134" t="str">
        <f>"MYRON L  ULTRAMETER III"</f>
        <v>MYRON L  ULTRAMETER III</v>
      </c>
      <c r="G1134" s="2">
        <v>2180.44</v>
      </c>
      <c r="H1134" t="str">
        <f>"TK9A/B"</f>
        <v>TK9A/B</v>
      </c>
    </row>
    <row r="1135" spans="1:8" x14ac:dyDescent="0.25">
      <c r="E1135" t="str">
        <f>""</f>
        <v/>
      </c>
      <c r="F1135" t="str">
        <f>""</f>
        <v/>
      </c>
      <c r="H1135" t="str">
        <f>"9PTKB"</f>
        <v>9PTKB</v>
      </c>
    </row>
    <row r="1136" spans="1:8" x14ac:dyDescent="0.25">
      <c r="E1136" t="str">
        <f>""</f>
        <v/>
      </c>
      <c r="F1136" t="str">
        <f>""</f>
        <v/>
      </c>
      <c r="H1136" t="str">
        <f>"SHIPPING"</f>
        <v>SHIPPING</v>
      </c>
    </row>
    <row r="1137" spans="1:8" x14ac:dyDescent="0.25">
      <c r="A1137" t="s">
        <v>328</v>
      </c>
      <c r="B1137">
        <v>129786</v>
      </c>
      <c r="C1137" s="2">
        <v>3265</v>
      </c>
      <c r="D1137" s="1">
        <v>43794</v>
      </c>
      <c r="E1137" t="str">
        <f>"2019101"</f>
        <v>2019101</v>
      </c>
      <c r="F1137" t="str">
        <f>"TRANSPORT-M. RODRIGUEZ"</f>
        <v>TRANSPORT-M. RODRIGUEZ</v>
      </c>
      <c r="G1137" s="2">
        <v>495</v>
      </c>
      <c r="H1137" t="str">
        <f>"TRANSPORT-M. RODRIGUEZ"</f>
        <v>TRANSPORT-M. RODRIGUEZ</v>
      </c>
    </row>
    <row r="1138" spans="1:8" x14ac:dyDescent="0.25">
      <c r="E1138" t="str">
        <f>"2019107"</f>
        <v>2019107</v>
      </c>
      <c r="F1138" t="str">
        <f>"TRANSPORT-R. FLORESTA"</f>
        <v>TRANSPORT-R. FLORESTA</v>
      </c>
      <c r="G1138" s="2">
        <v>495</v>
      </c>
      <c r="H1138" t="str">
        <f>"TRANSPORT-R. FLORESTA"</f>
        <v>TRANSPORT-R. FLORESTA</v>
      </c>
    </row>
    <row r="1139" spans="1:8" x14ac:dyDescent="0.25">
      <c r="E1139" t="str">
        <f>"2019121"</f>
        <v>2019121</v>
      </c>
      <c r="F1139" t="str">
        <f>"TRANSPORT-R.C. PEEBLES"</f>
        <v>TRANSPORT-R.C. PEEBLES</v>
      </c>
      <c r="G1139" s="2">
        <v>445</v>
      </c>
      <c r="H1139" t="str">
        <f>"TRANSPORT-R.C. PEEBLES"</f>
        <v>TRANSPORT-R.C. PEEBLES</v>
      </c>
    </row>
    <row r="1140" spans="1:8" x14ac:dyDescent="0.25">
      <c r="E1140" t="str">
        <f>"2019126"</f>
        <v>2019126</v>
      </c>
      <c r="F1140" t="str">
        <f>"TRANSPORT-L. GARCIA"</f>
        <v>TRANSPORT-L. GARCIA</v>
      </c>
      <c r="G1140" s="2">
        <v>295</v>
      </c>
      <c r="H1140" t="str">
        <f>"TRANSPORT-L. GARCIA"</f>
        <v>TRANSPORT-L. GARCIA</v>
      </c>
    </row>
    <row r="1141" spans="1:8" x14ac:dyDescent="0.25">
      <c r="E1141" t="str">
        <f>"2019129"</f>
        <v>2019129</v>
      </c>
      <c r="F1141" t="str">
        <f>"TRANSPORT-J. RYAN"</f>
        <v>TRANSPORT-J. RYAN</v>
      </c>
      <c r="G1141" s="2">
        <v>495</v>
      </c>
      <c r="H1141" t="str">
        <f>"TRANSPORT-J. RYAN"</f>
        <v>TRANSPORT-J. RYAN</v>
      </c>
    </row>
    <row r="1142" spans="1:8" x14ac:dyDescent="0.25">
      <c r="E1142" t="str">
        <f>"2019130"</f>
        <v>2019130</v>
      </c>
      <c r="F1142" t="str">
        <f>"TRANSPORT-K. LUKERT"</f>
        <v>TRANSPORT-K. LUKERT</v>
      </c>
      <c r="G1142" s="2">
        <v>695</v>
      </c>
      <c r="H1142" t="str">
        <f>"TRANSPORT-K. LUKERT"</f>
        <v>TRANSPORT-K. LUKERT</v>
      </c>
    </row>
    <row r="1143" spans="1:8" x14ac:dyDescent="0.25">
      <c r="E1143" t="str">
        <f>"2019136"</f>
        <v>2019136</v>
      </c>
      <c r="F1143" t="str">
        <f>"TRANSPORT-D. MARTINEZ"</f>
        <v>TRANSPORT-D. MARTINEZ</v>
      </c>
      <c r="G1143" s="2">
        <v>345</v>
      </c>
      <c r="H1143" t="str">
        <f>"TRANSPORT-D. MARTINEZ"</f>
        <v>TRANSPORT-D. MARTINEZ</v>
      </c>
    </row>
    <row r="1144" spans="1:8" x14ac:dyDescent="0.25">
      <c r="A1144" t="s">
        <v>329</v>
      </c>
      <c r="B1144">
        <v>84784</v>
      </c>
      <c r="C1144" s="2">
        <v>2640</v>
      </c>
      <c r="D1144" s="1">
        <v>43781</v>
      </c>
      <c r="E1144" t="str">
        <f>"2019-CONTRACT-1"</f>
        <v>2019-CONTRACT-1</v>
      </c>
      <c r="F1144" t="str">
        <f>"inv# Dec 2019"</f>
        <v>inv# Dec 2019</v>
      </c>
      <c r="G1144" s="2">
        <v>2640</v>
      </c>
      <c r="H1144" t="str">
        <f>"Public Contract Renewal"</f>
        <v>Public Contract Renewal</v>
      </c>
    </row>
    <row r="1145" spans="1:8" x14ac:dyDescent="0.25">
      <c r="A1145" t="s">
        <v>330</v>
      </c>
      <c r="B1145">
        <v>129787</v>
      </c>
      <c r="C1145" s="2">
        <v>16385</v>
      </c>
      <c r="D1145" s="1">
        <v>43794</v>
      </c>
      <c r="E1145" t="str">
        <f>"201911183306"</f>
        <v>201911183306</v>
      </c>
      <c r="F1145" t="str">
        <f>"Qualys renewal"</f>
        <v>Qualys renewal</v>
      </c>
      <c r="G1145" s="2">
        <v>16385</v>
      </c>
      <c r="H1145" t="str">
        <f>"Quote #: Q-117642-1"</f>
        <v>Quote #: Q-117642-1</v>
      </c>
    </row>
    <row r="1146" spans="1:8" x14ac:dyDescent="0.25">
      <c r="A1146" t="s">
        <v>331</v>
      </c>
      <c r="B1146">
        <v>129788</v>
      </c>
      <c r="C1146" s="2">
        <v>15.08</v>
      </c>
      <c r="D1146" s="1">
        <v>43794</v>
      </c>
      <c r="E1146" t="str">
        <f>"201911203489"</f>
        <v>201911203489</v>
      </c>
      <c r="F1146" t="str">
        <f>"INDIGENT HEALTH"</f>
        <v>INDIGENT HEALTH</v>
      </c>
      <c r="G1146" s="2">
        <v>15.08</v>
      </c>
      <c r="H1146" t="str">
        <f>"INDIGENT HEALTH"</f>
        <v>INDIGENT HEALTH</v>
      </c>
    </row>
    <row r="1147" spans="1:8" x14ac:dyDescent="0.25">
      <c r="A1147" t="s">
        <v>332</v>
      </c>
      <c r="B1147">
        <v>129789</v>
      </c>
      <c r="C1147" s="2">
        <v>84</v>
      </c>
      <c r="D1147" s="1">
        <v>43794</v>
      </c>
      <c r="E1147" t="str">
        <f>"INV-004716"</f>
        <v>INV-004716</v>
      </c>
      <c r="F1147" t="str">
        <f>"INV-004716"</f>
        <v>INV-004716</v>
      </c>
      <c r="G1147" s="2">
        <v>84</v>
      </c>
      <c r="H1147" t="str">
        <f>"INV-004716"</f>
        <v>INV-004716</v>
      </c>
    </row>
    <row r="1148" spans="1:8" x14ac:dyDescent="0.25">
      <c r="A1148" t="s">
        <v>333</v>
      </c>
      <c r="B1148">
        <v>1752</v>
      </c>
      <c r="C1148" s="2">
        <v>189.78</v>
      </c>
      <c r="D1148" s="1">
        <v>43795</v>
      </c>
      <c r="E1148" t="str">
        <f>"19K0121569859"</f>
        <v>19K0121569859</v>
      </c>
      <c r="F1148" t="str">
        <f>"ACCT#0121569859/JP#4"</f>
        <v>ACCT#0121569859/JP#4</v>
      </c>
      <c r="G1148" s="2">
        <v>61.91</v>
      </c>
      <c r="H1148" t="str">
        <f>"ACCT#0121569859/JP#4"</f>
        <v>ACCT#0121569859/JP#4</v>
      </c>
    </row>
    <row r="1149" spans="1:8" x14ac:dyDescent="0.25">
      <c r="E1149" t="str">
        <f>"19K0121587851"</f>
        <v>19K0121587851</v>
      </c>
      <c r="F1149" t="str">
        <f>"ACCT#0121587851/PCT#4"</f>
        <v>ACCT#0121587851/PCT#4</v>
      </c>
      <c r="G1149" s="2">
        <v>127.87</v>
      </c>
      <c r="H1149" t="str">
        <f>"ACCT#0121587851/PCT#4"</f>
        <v>ACCT#0121587851/PCT#4</v>
      </c>
    </row>
    <row r="1150" spans="1:8" x14ac:dyDescent="0.25">
      <c r="A1150" t="s">
        <v>334</v>
      </c>
      <c r="B1150">
        <v>129790</v>
      </c>
      <c r="C1150" s="2">
        <v>2000</v>
      </c>
      <c r="D1150" s="1">
        <v>43794</v>
      </c>
      <c r="E1150" t="str">
        <f>"32-19"</f>
        <v>32-19</v>
      </c>
      <c r="F1150" t="str">
        <f>"Apprasial"</f>
        <v>Apprasial</v>
      </c>
      <c r="G1150" s="2">
        <v>2000</v>
      </c>
      <c r="H1150" t="str">
        <f>"Payment"</f>
        <v>Payment</v>
      </c>
    </row>
    <row r="1151" spans="1:8" x14ac:dyDescent="0.25">
      <c r="A1151" t="s">
        <v>335</v>
      </c>
      <c r="B1151">
        <v>84785</v>
      </c>
      <c r="C1151" s="2">
        <v>471.15</v>
      </c>
      <c r="D1151" s="1">
        <v>43781</v>
      </c>
      <c r="E1151" t="str">
        <f>"0794-44"</f>
        <v>0794-44</v>
      </c>
      <c r="F1151" t="str">
        <f>"ACCOUNT CHARGES PRECINCT 3"</f>
        <v>ACCOUNT CHARGES PRECINCT 3</v>
      </c>
      <c r="G1151" s="2">
        <v>405.15</v>
      </c>
      <c r="H1151" t="str">
        <f>"ACCOUNT CHARGES PRECINCT 3"</f>
        <v>ACCOUNT CHARGES PRECINCT 3</v>
      </c>
    </row>
    <row r="1152" spans="1:8" x14ac:dyDescent="0.25">
      <c r="E1152" t="str">
        <f>"0794-44 A"</f>
        <v>0794-44 A</v>
      </c>
      <c r="F1152" t="str">
        <f>"ACCOUNT CHARGES PRECINCT 3"</f>
        <v>ACCOUNT CHARGES PRECINCT 3</v>
      </c>
      <c r="G1152" s="2">
        <v>66</v>
      </c>
      <c r="H1152" t="str">
        <f>"ACCOUNT CHARGES PRECINCT 3"</f>
        <v>ACCOUNT CHARGES PRECINCT 3</v>
      </c>
    </row>
    <row r="1153" spans="1:8" x14ac:dyDescent="0.25">
      <c r="A1153" t="s">
        <v>336</v>
      </c>
      <c r="B1153">
        <v>129791</v>
      </c>
      <c r="C1153" s="2">
        <v>4307.78</v>
      </c>
      <c r="D1153" s="1">
        <v>43794</v>
      </c>
      <c r="E1153" t="str">
        <f>"201911143271"</f>
        <v>201911143271</v>
      </c>
      <c r="F1153" t="str">
        <f>"CUST#19610/BOOTS"</f>
        <v>CUST#19610/BOOTS</v>
      </c>
      <c r="G1153" s="2">
        <v>377.11</v>
      </c>
      <c r="H1153" t="str">
        <f>"CUST#19610/BOOTS"</f>
        <v>CUST#19610/BOOTS</v>
      </c>
    </row>
    <row r="1154" spans="1:8" x14ac:dyDescent="0.25">
      <c r="E1154" t="str">
        <f>"201911143281"</f>
        <v>201911143281</v>
      </c>
      <c r="F1154" t="str">
        <f>"CUST#19610/PCT#2"</f>
        <v>CUST#19610/PCT#2</v>
      </c>
      <c r="G1154" s="2">
        <v>1893.78</v>
      </c>
      <c r="H1154" t="str">
        <f>"CUST#19610/PCT#2"</f>
        <v>CUST#19610/PCT#2</v>
      </c>
    </row>
    <row r="1155" spans="1:8" x14ac:dyDescent="0.25">
      <c r="E1155" t="str">
        <f>"201911143284"</f>
        <v>201911143284</v>
      </c>
      <c r="F1155" t="str">
        <f>"CUST#19610/PCT#3"</f>
        <v>CUST#19610/PCT#3</v>
      </c>
      <c r="G1155" s="2">
        <v>1786.89</v>
      </c>
      <c r="H1155" t="str">
        <f>"CUST#19610/PCT#3"</f>
        <v>CUST#19610/PCT#3</v>
      </c>
    </row>
    <row r="1156" spans="1:8" x14ac:dyDescent="0.25">
      <c r="E1156" t="str">
        <f>"201911143289"</f>
        <v>201911143289</v>
      </c>
      <c r="F1156" t="str">
        <f>"CUST#19610/PCT#4"</f>
        <v>CUST#19610/PCT#4</v>
      </c>
      <c r="G1156" s="2">
        <v>250</v>
      </c>
      <c r="H1156" t="str">
        <f>"CUST#19610/PCT#4"</f>
        <v>CUST#19610/PCT#4</v>
      </c>
    </row>
    <row r="1157" spans="1:8" x14ac:dyDescent="0.25">
      <c r="A1157" t="s">
        <v>337</v>
      </c>
      <c r="B1157">
        <v>84652</v>
      </c>
      <c r="C1157" s="2">
        <v>1742.11</v>
      </c>
      <c r="D1157" s="1">
        <v>43777</v>
      </c>
      <c r="E1157" t="str">
        <f>"135 004 567 152 4"</f>
        <v>135 004 567 152 4</v>
      </c>
      <c r="F1157" t="str">
        <f>"ACCT#15 070 713-1 / 11012019"</f>
        <v>ACCT#15 070 713-1 / 11012019</v>
      </c>
      <c r="G1157" s="2">
        <v>21.59</v>
      </c>
      <c r="H1157" t="str">
        <f>"ACCT#15 070 713-1 / 11012019"</f>
        <v>ACCT#15 070 713-1 / 11012019</v>
      </c>
    </row>
    <row r="1158" spans="1:8" x14ac:dyDescent="0.25">
      <c r="E1158" t="str">
        <f>"135 004 567 153 2"</f>
        <v>135 004 567 153 2</v>
      </c>
      <c r="F1158" t="str">
        <f>"ACCT#15 072 199-1 / 11012019"</f>
        <v>ACCT#15 072 199-1 / 11012019</v>
      </c>
      <c r="G1158" s="2">
        <v>49.28</v>
      </c>
      <c r="H1158" t="str">
        <f>"ACCT#15 072 199-1 / 11012019"</f>
        <v>ACCT#15 072 199-1 / 11012019</v>
      </c>
    </row>
    <row r="1159" spans="1:8" x14ac:dyDescent="0.25">
      <c r="E1159" t="str">
        <f>"135 004 567 154 0"</f>
        <v>135 004 567 154 0</v>
      </c>
      <c r="F1159" t="str">
        <f>"ACCT#15 072 200-7 / 11012019"</f>
        <v>ACCT#15 072 200-7 / 11012019</v>
      </c>
      <c r="G1159" s="2">
        <v>270.06</v>
      </c>
      <c r="H1159" t="str">
        <f>"ACCT#15 072 200-7 / 11012019"</f>
        <v>ACCT#15 072 200-7 / 11012019</v>
      </c>
    </row>
    <row r="1160" spans="1:8" x14ac:dyDescent="0.25">
      <c r="E1160" t="str">
        <f>"135 004 567 155 7"</f>
        <v>135 004 567 155 7</v>
      </c>
      <c r="F1160" t="str">
        <f>"ACCT#15 072 201-5 / 11012019"</f>
        <v>ACCT#15 072 201-5 / 11012019</v>
      </c>
      <c r="G1160" s="2">
        <v>541.07000000000005</v>
      </c>
      <c r="H1160" t="str">
        <f>"ACCT#15 072 201-5 / 11012019"</f>
        <v>ACCT#15 072 201-5 / 11012019</v>
      </c>
    </row>
    <row r="1161" spans="1:8" x14ac:dyDescent="0.25">
      <c r="E1161" t="str">
        <f>"135 004 567 156 5"</f>
        <v>135 004 567 156 5</v>
      </c>
      <c r="F1161" t="str">
        <f>"ACCT#15 072 202-3 / 11012019"</f>
        <v>ACCT#15 072 202-3 / 11012019</v>
      </c>
      <c r="G1161" s="2">
        <v>36.68</v>
      </c>
      <c r="H1161" t="str">
        <f>"ACCT#15 072 202-3 / 11012019"</f>
        <v>ACCT#15 072 202-3 / 11012019</v>
      </c>
    </row>
    <row r="1162" spans="1:8" x14ac:dyDescent="0.25">
      <c r="E1162" t="str">
        <f>"135 004 567 157 3"</f>
        <v>135 004 567 157 3</v>
      </c>
      <c r="F1162" t="str">
        <f>"ACCT#15 072 203-1 / 11012019"</f>
        <v>ACCT#15 072 203-1 / 11012019</v>
      </c>
      <c r="G1162" s="2">
        <v>25.65</v>
      </c>
      <c r="H1162" t="str">
        <f>"ACCT#15 072 203-1 / 11012019"</f>
        <v>ACCT#15 072 203-1 / 11012019</v>
      </c>
    </row>
    <row r="1163" spans="1:8" x14ac:dyDescent="0.25">
      <c r="E1163" t="str">
        <f>"135 004 567 158 1"</f>
        <v>135 004 567 158 1</v>
      </c>
      <c r="F1163" t="str">
        <f>"ACCT#15 072 204-9 / 11012019"</f>
        <v>ACCT#15 072 204-9 / 11012019</v>
      </c>
      <c r="G1163" s="2">
        <v>365.33</v>
      </c>
      <c r="H1163" t="str">
        <f>"ACCT#15 072 204-9 / 11012019"</f>
        <v>ACCT#15 072 204-9 / 11012019</v>
      </c>
    </row>
    <row r="1164" spans="1:8" x14ac:dyDescent="0.25">
      <c r="E1164" t="str">
        <f>"344 000 294 054 7"</f>
        <v>344 000 294 054 7</v>
      </c>
      <c r="F1164" t="str">
        <f>"ACCT#15 070 712-3 / 11012019"</f>
        <v>ACCT#15 070 712-3 / 11012019</v>
      </c>
      <c r="G1164" s="2">
        <v>18</v>
      </c>
      <c r="H1164" t="str">
        <f>"ACCT#15 070 712-3 / 11012019"</f>
        <v>ACCT#15 070 712-3 / 11012019</v>
      </c>
    </row>
    <row r="1165" spans="1:8" x14ac:dyDescent="0.25">
      <c r="E1165" t="str">
        <f>"346 000 288 138 4"</f>
        <v>346 000 288 138 4</v>
      </c>
      <c r="F1165" t="str">
        <f>"ACCT#15 069 451-1 / 11012019"</f>
        <v>ACCT#15 069 451-1 / 11012019</v>
      </c>
      <c r="G1165" s="2">
        <v>414.45</v>
      </c>
      <c r="H1165" t="str">
        <f>"ACCT#15 069 451-1 / 11012019"</f>
        <v>ACCT#15 069 451-1 / 11012019</v>
      </c>
    </row>
    <row r="1166" spans="1:8" x14ac:dyDescent="0.25">
      <c r="A1166" t="s">
        <v>338</v>
      </c>
      <c r="B1166">
        <v>1777</v>
      </c>
      <c r="C1166" s="2">
        <v>127</v>
      </c>
      <c r="D1166" s="1">
        <v>43795</v>
      </c>
      <c r="E1166" t="str">
        <f>"13554"</f>
        <v>13554</v>
      </c>
      <c r="F1166" t="str">
        <f>"ORD#14233/PCT#4"</f>
        <v>ORD#14233/PCT#4</v>
      </c>
      <c r="G1166" s="2">
        <v>127</v>
      </c>
      <c r="H1166" t="str">
        <f>"ORD#14233/PCT#4"</f>
        <v>ORD#14233/PCT#4</v>
      </c>
    </row>
    <row r="1167" spans="1:8" x14ac:dyDescent="0.25">
      <c r="A1167" t="s">
        <v>339</v>
      </c>
      <c r="B1167">
        <v>84786</v>
      </c>
      <c r="C1167" s="2">
        <v>2500</v>
      </c>
      <c r="D1167" s="1">
        <v>43781</v>
      </c>
      <c r="E1167" t="str">
        <f>"201911052979"</f>
        <v>201911052979</v>
      </c>
      <c r="F1167" t="str">
        <f>"ACCT. 36251536"</f>
        <v>ACCT. 36251536</v>
      </c>
      <c r="G1167" s="2">
        <v>2500</v>
      </c>
      <c r="H1167" t="str">
        <f>"ACCT. 36251536"</f>
        <v>ACCT. 36251536</v>
      </c>
    </row>
    <row r="1168" spans="1:8" x14ac:dyDescent="0.25">
      <c r="A1168" t="s">
        <v>339</v>
      </c>
      <c r="B1168">
        <v>129792</v>
      </c>
      <c r="C1168" s="2">
        <v>9000</v>
      </c>
      <c r="D1168" s="1">
        <v>43794</v>
      </c>
      <c r="E1168" t="str">
        <f>"201911143276"</f>
        <v>201911143276</v>
      </c>
      <c r="F1168" t="str">
        <f>"ACCT#34549337"</f>
        <v>ACCT#34549337</v>
      </c>
      <c r="G1168" s="2">
        <v>9000</v>
      </c>
      <c r="H1168" t="str">
        <f>"ACCT#34549337"</f>
        <v>ACCT#34549337</v>
      </c>
    </row>
    <row r="1169" spans="1:8" x14ac:dyDescent="0.25">
      <c r="A1169" t="s">
        <v>340</v>
      </c>
      <c r="B1169">
        <v>1734</v>
      </c>
      <c r="C1169" s="2">
        <v>352.95</v>
      </c>
      <c r="D1169" s="1">
        <v>43782</v>
      </c>
      <c r="E1169" t="str">
        <f>"201911052898"</f>
        <v>201911052898</v>
      </c>
      <c r="F1169" t="str">
        <f>"19-19911"</f>
        <v>19-19911</v>
      </c>
      <c r="G1169" s="2">
        <v>102.95</v>
      </c>
      <c r="H1169" t="str">
        <f>"19-19911"</f>
        <v>19-19911</v>
      </c>
    </row>
    <row r="1170" spans="1:8" x14ac:dyDescent="0.25">
      <c r="E1170" t="str">
        <f>"201911052899"</f>
        <v>201911052899</v>
      </c>
      <c r="F1170" t="str">
        <f>"309142019B"</f>
        <v>309142019B</v>
      </c>
      <c r="G1170" s="2">
        <v>250</v>
      </c>
      <c r="H1170" t="str">
        <f>"309142019B"</f>
        <v>309142019B</v>
      </c>
    </row>
    <row r="1171" spans="1:8" x14ac:dyDescent="0.25">
      <c r="A1171" t="s">
        <v>340</v>
      </c>
      <c r="B1171">
        <v>1808</v>
      </c>
      <c r="C1171" s="2">
        <v>250</v>
      </c>
      <c r="D1171" s="1">
        <v>43795</v>
      </c>
      <c r="E1171" t="str">
        <f>"201911193420"</f>
        <v>201911193420</v>
      </c>
      <c r="F1171" t="str">
        <f>"410047-7"</f>
        <v>410047-7</v>
      </c>
      <c r="G1171" s="2">
        <v>250</v>
      </c>
      <c r="H1171" t="str">
        <f>"410047-7"</f>
        <v>410047-7</v>
      </c>
    </row>
    <row r="1172" spans="1:8" x14ac:dyDescent="0.25">
      <c r="A1172" t="s">
        <v>341</v>
      </c>
      <c r="B1172">
        <v>84787</v>
      </c>
      <c r="C1172" s="2">
        <v>2000</v>
      </c>
      <c r="D1172" s="1">
        <v>43781</v>
      </c>
      <c r="E1172" t="str">
        <f>"201911052882"</f>
        <v>201911052882</v>
      </c>
      <c r="F1172" t="str">
        <f>"16 809"</f>
        <v>16 809</v>
      </c>
      <c r="G1172" s="2">
        <v>1000</v>
      </c>
      <c r="H1172" t="str">
        <f>"16 809"</f>
        <v>16 809</v>
      </c>
    </row>
    <row r="1173" spans="1:8" x14ac:dyDescent="0.25">
      <c r="E1173" t="str">
        <f>"201911052883"</f>
        <v>201911052883</v>
      </c>
      <c r="F1173" t="str">
        <f>"16 707"</f>
        <v>16 707</v>
      </c>
      <c r="G1173" s="2">
        <v>1000</v>
      </c>
      <c r="H1173" t="str">
        <f>"16 707"</f>
        <v>16 707</v>
      </c>
    </row>
    <row r="1174" spans="1:8" x14ac:dyDescent="0.25">
      <c r="A1174" t="s">
        <v>342</v>
      </c>
      <c r="B1174">
        <v>1754</v>
      </c>
      <c r="C1174" s="2">
        <v>6823.13</v>
      </c>
      <c r="D1174" s="1">
        <v>43795</v>
      </c>
      <c r="E1174" t="str">
        <f>"5057952274"</f>
        <v>5057952274</v>
      </c>
      <c r="F1174" t="str">
        <f>"CONTRACT#4746243"</f>
        <v>CONTRACT#4746243</v>
      </c>
      <c r="G1174" s="2">
        <v>3357.98</v>
      </c>
      <c r="H1174" t="str">
        <f t="shared" ref="H1174:H1214" si="18">"CONTRACT#4746243"</f>
        <v>CONTRACT#4746243</v>
      </c>
    </row>
    <row r="1175" spans="1:8" x14ac:dyDescent="0.25">
      <c r="E1175" t="str">
        <f>""</f>
        <v/>
      </c>
      <c r="F1175" t="str">
        <f>""</f>
        <v/>
      </c>
      <c r="H1175" t="str">
        <f t="shared" si="18"/>
        <v>CONTRACT#4746243</v>
      </c>
    </row>
    <row r="1176" spans="1:8" x14ac:dyDescent="0.25">
      <c r="E1176" t="str">
        <f>""</f>
        <v/>
      </c>
      <c r="F1176" t="str">
        <f>""</f>
        <v/>
      </c>
      <c r="H1176" t="str">
        <f t="shared" si="18"/>
        <v>CONTRACT#4746243</v>
      </c>
    </row>
    <row r="1177" spans="1:8" x14ac:dyDescent="0.25">
      <c r="E1177" t="str">
        <f>""</f>
        <v/>
      </c>
      <c r="F1177" t="str">
        <f>""</f>
        <v/>
      </c>
      <c r="H1177" t="str">
        <f t="shared" si="18"/>
        <v>CONTRACT#4746243</v>
      </c>
    </row>
    <row r="1178" spans="1:8" x14ac:dyDescent="0.25">
      <c r="E1178" t="str">
        <f>""</f>
        <v/>
      </c>
      <c r="F1178" t="str">
        <f>""</f>
        <v/>
      </c>
      <c r="H1178" t="str">
        <f t="shared" si="18"/>
        <v>CONTRACT#4746243</v>
      </c>
    </row>
    <row r="1179" spans="1:8" x14ac:dyDescent="0.25">
      <c r="E1179" t="str">
        <f>""</f>
        <v/>
      </c>
      <c r="F1179" t="str">
        <f>""</f>
        <v/>
      </c>
      <c r="H1179" t="str">
        <f t="shared" si="18"/>
        <v>CONTRACT#4746243</v>
      </c>
    </row>
    <row r="1180" spans="1:8" x14ac:dyDescent="0.25">
      <c r="E1180" t="str">
        <f>""</f>
        <v/>
      </c>
      <c r="F1180" t="str">
        <f>""</f>
        <v/>
      </c>
      <c r="H1180" t="str">
        <f t="shared" si="18"/>
        <v>CONTRACT#4746243</v>
      </c>
    </row>
    <row r="1181" spans="1:8" x14ac:dyDescent="0.25">
      <c r="E1181" t="str">
        <f>""</f>
        <v/>
      </c>
      <c r="F1181" t="str">
        <f>""</f>
        <v/>
      </c>
      <c r="H1181" t="str">
        <f t="shared" si="18"/>
        <v>CONTRACT#4746243</v>
      </c>
    </row>
    <row r="1182" spans="1:8" x14ac:dyDescent="0.25">
      <c r="E1182" t="str">
        <f>""</f>
        <v/>
      </c>
      <c r="F1182" t="str">
        <f>""</f>
        <v/>
      </c>
      <c r="H1182" t="str">
        <f t="shared" si="18"/>
        <v>CONTRACT#4746243</v>
      </c>
    </row>
    <row r="1183" spans="1:8" x14ac:dyDescent="0.25">
      <c r="E1183" t="str">
        <f>""</f>
        <v/>
      </c>
      <c r="F1183" t="str">
        <f>""</f>
        <v/>
      </c>
      <c r="H1183" t="str">
        <f t="shared" si="18"/>
        <v>CONTRACT#4746243</v>
      </c>
    </row>
    <row r="1184" spans="1:8" x14ac:dyDescent="0.25">
      <c r="E1184" t="str">
        <f>""</f>
        <v/>
      </c>
      <c r="F1184" t="str">
        <f>""</f>
        <v/>
      </c>
      <c r="H1184" t="str">
        <f t="shared" si="18"/>
        <v>CONTRACT#4746243</v>
      </c>
    </row>
    <row r="1185" spans="5:8" x14ac:dyDescent="0.25">
      <c r="E1185" t="str">
        <f>""</f>
        <v/>
      </c>
      <c r="F1185" t="str">
        <f>""</f>
        <v/>
      </c>
      <c r="H1185" t="str">
        <f t="shared" si="18"/>
        <v>CONTRACT#4746243</v>
      </c>
    </row>
    <row r="1186" spans="5:8" x14ac:dyDescent="0.25">
      <c r="E1186" t="str">
        <f>""</f>
        <v/>
      </c>
      <c r="F1186" t="str">
        <f>""</f>
        <v/>
      </c>
      <c r="H1186" t="str">
        <f t="shared" si="18"/>
        <v>CONTRACT#4746243</v>
      </c>
    </row>
    <row r="1187" spans="5:8" x14ac:dyDescent="0.25">
      <c r="E1187" t="str">
        <f>""</f>
        <v/>
      </c>
      <c r="F1187" t="str">
        <f>""</f>
        <v/>
      </c>
      <c r="H1187" t="str">
        <f t="shared" si="18"/>
        <v>CONTRACT#4746243</v>
      </c>
    </row>
    <row r="1188" spans="5:8" x14ac:dyDescent="0.25">
      <c r="E1188" t="str">
        <f>""</f>
        <v/>
      </c>
      <c r="F1188" t="str">
        <f>""</f>
        <v/>
      </c>
      <c r="H1188" t="str">
        <f t="shared" si="18"/>
        <v>CONTRACT#4746243</v>
      </c>
    </row>
    <row r="1189" spans="5:8" x14ac:dyDescent="0.25">
      <c r="E1189" t="str">
        <f>""</f>
        <v/>
      </c>
      <c r="F1189" t="str">
        <f>""</f>
        <v/>
      </c>
      <c r="H1189" t="str">
        <f t="shared" si="18"/>
        <v>CONTRACT#4746243</v>
      </c>
    </row>
    <row r="1190" spans="5:8" x14ac:dyDescent="0.25">
      <c r="E1190" t="str">
        <f>""</f>
        <v/>
      </c>
      <c r="F1190" t="str">
        <f>""</f>
        <v/>
      </c>
      <c r="H1190" t="str">
        <f t="shared" si="18"/>
        <v>CONTRACT#4746243</v>
      </c>
    </row>
    <row r="1191" spans="5:8" x14ac:dyDescent="0.25">
      <c r="E1191" t="str">
        <f>""</f>
        <v/>
      </c>
      <c r="F1191" t="str">
        <f>""</f>
        <v/>
      </c>
      <c r="H1191" t="str">
        <f t="shared" si="18"/>
        <v>CONTRACT#4746243</v>
      </c>
    </row>
    <row r="1192" spans="5:8" x14ac:dyDescent="0.25">
      <c r="E1192" t="str">
        <f>""</f>
        <v/>
      </c>
      <c r="F1192" t="str">
        <f>""</f>
        <v/>
      </c>
      <c r="H1192" t="str">
        <f t="shared" si="18"/>
        <v>CONTRACT#4746243</v>
      </c>
    </row>
    <row r="1193" spans="5:8" x14ac:dyDescent="0.25">
      <c r="E1193" t="str">
        <f>""</f>
        <v/>
      </c>
      <c r="F1193" t="str">
        <f>""</f>
        <v/>
      </c>
      <c r="H1193" t="str">
        <f t="shared" si="18"/>
        <v>CONTRACT#4746243</v>
      </c>
    </row>
    <row r="1194" spans="5:8" x14ac:dyDescent="0.25">
      <c r="E1194" t="str">
        <f>""</f>
        <v/>
      </c>
      <c r="F1194" t="str">
        <f>""</f>
        <v/>
      </c>
      <c r="H1194" t="str">
        <f t="shared" si="18"/>
        <v>CONTRACT#4746243</v>
      </c>
    </row>
    <row r="1195" spans="5:8" x14ac:dyDescent="0.25">
      <c r="E1195" t="str">
        <f>""</f>
        <v/>
      </c>
      <c r="F1195" t="str">
        <f>""</f>
        <v/>
      </c>
      <c r="H1195" t="str">
        <f t="shared" si="18"/>
        <v>CONTRACT#4746243</v>
      </c>
    </row>
    <row r="1196" spans="5:8" x14ac:dyDescent="0.25">
      <c r="E1196" t="str">
        <f>""</f>
        <v/>
      </c>
      <c r="F1196" t="str">
        <f>""</f>
        <v/>
      </c>
      <c r="H1196" t="str">
        <f t="shared" si="18"/>
        <v>CONTRACT#4746243</v>
      </c>
    </row>
    <row r="1197" spans="5:8" x14ac:dyDescent="0.25">
      <c r="E1197" t="str">
        <f>""</f>
        <v/>
      </c>
      <c r="F1197" t="str">
        <f>""</f>
        <v/>
      </c>
      <c r="H1197" t="str">
        <f t="shared" si="18"/>
        <v>CONTRACT#4746243</v>
      </c>
    </row>
    <row r="1198" spans="5:8" x14ac:dyDescent="0.25">
      <c r="E1198" t="str">
        <f>""</f>
        <v/>
      </c>
      <c r="F1198" t="str">
        <f>""</f>
        <v/>
      </c>
      <c r="H1198" t="str">
        <f t="shared" si="18"/>
        <v>CONTRACT#4746243</v>
      </c>
    </row>
    <row r="1199" spans="5:8" x14ac:dyDescent="0.25">
      <c r="E1199" t="str">
        <f>""</f>
        <v/>
      </c>
      <c r="F1199" t="str">
        <f>""</f>
        <v/>
      </c>
      <c r="H1199" t="str">
        <f t="shared" si="18"/>
        <v>CONTRACT#4746243</v>
      </c>
    </row>
    <row r="1200" spans="5:8" x14ac:dyDescent="0.25">
      <c r="E1200" t="str">
        <f>""</f>
        <v/>
      </c>
      <c r="F1200" t="str">
        <f>""</f>
        <v/>
      </c>
      <c r="H1200" t="str">
        <f t="shared" si="18"/>
        <v>CONTRACT#4746243</v>
      </c>
    </row>
    <row r="1201" spans="5:8" x14ac:dyDescent="0.25">
      <c r="E1201" t="str">
        <f>""</f>
        <v/>
      </c>
      <c r="F1201" t="str">
        <f>""</f>
        <v/>
      </c>
      <c r="H1201" t="str">
        <f t="shared" si="18"/>
        <v>CONTRACT#4746243</v>
      </c>
    </row>
    <row r="1202" spans="5:8" x14ac:dyDescent="0.25">
      <c r="E1202" t="str">
        <f>""</f>
        <v/>
      </c>
      <c r="F1202" t="str">
        <f>""</f>
        <v/>
      </c>
      <c r="H1202" t="str">
        <f t="shared" si="18"/>
        <v>CONTRACT#4746243</v>
      </c>
    </row>
    <row r="1203" spans="5:8" x14ac:dyDescent="0.25">
      <c r="E1203" t="str">
        <f>""</f>
        <v/>
      </c>
      <c r="F1203" t="str">
        <f>""</f>
        <v/>
      </c>
      <c r="H1203" t="str">
        <f t="shared" si="18"/>
        <v>CONTRACT#4746243</v>
      </c>
    </row>
    <row r="1204" spans="5:8" x14ac:dyDescent="0.25">
      <c r="E1204" t="str">
        <f>""</f>
        <v/>
      </c>
      <c r="F1204" t="str">
        <f>""</f>
        <v/>
      </c>
      <c r="H1204" t="str">
        <f t="shared" si="18"/>
        <v>CONTRACT#4746243</v>
      </c>
    </row>
    <row r="1205" spans="5:8" x14ac:dyDescent="0.25">
      <c r="E1205" t="str">
        <f>""</f>
        <v/>
      </c>
      <c r="F1205" t="str">
        <f>""</f>
        <v/>
      </c>
      <c r="H1205" t="str">
        <f t="shared" si="18"/>
        <v>CONTRACT#4746243</v>
      </c>
    </row>
    <row r="1206" spans="5:8" x14ac:dyDescent="0.25">
      <c r="E1206" t="str">
        <f>"5058008574"</f>
        <v>5058008574</v>
      </c>
      <c r="F1206" t="str">
        <f>"CONTRACT#4746243"</f>
        <v>CONTRACT#4746243</v>
      </c>
      <c r="G1206" s="2">
        <v>671.2</v>
      </c>
      <c r="H1206" t="str">
        <f t="shared" si="18"/>
        <v>CONTRACT#4746243</v>
      </c>
    </row>
    <row r="1207" spans="5:8" x14ac:dyDescent="0.25">
      <c r="E1207" t="str">
        <f>""</f>
        <v/>
      </c>
      <c r="F1207" t="str">
        <f>""</f>
        <v/>
      </c>
      <c r="H1207" t="str">
        <f t="shared" si="18"/>
        <v>CONTRACT#4746243</v>
      </c>
    </row>
    <row r="1208" spans="5:8" x14ac:dyDescent="0.25">
      <c r="E1208" t="str">
        <f>""</f>
        <v/>
      </c>
      <c r="F1208" t="str">
        <f>""</f>
        <v/>
      </c>
      <c r="H1208" t="str">
        <f t="shared" si="18"/>
        <v>CONTRACT#4746243</v>
      </c>
    </row>
    <row r="1209" spans="5:8" x14ac:dyDescent="0.25">
      <c r="E1209" t="str">
        <f>""</f>
        <v/>
      </c>
      <c r="F1209" t="str">
        <f>""</f>
        <v/>
      </c>
      <c r="H1209" t="str">
        <f t="shared" si="18"/>
        <v>CONTRACT#4746243</v>
      </c>
    </row>
    <row r="1210" spans="5:8" x14ac:dyDescent="0.25">
      <c r="E1210" t="str">
        <f>""</f>
        <v/>
      </c>
      <c r="F1210" t="str">
        <f>""</f>
        <v/>
      </c>
      <c r="H1210" t="str">
        <f t="shared" si="18"/>
        <v>CONTRACT#4746243</v>
      </c>
    </row>
    <row r="1211" spans="5:8" x14ac:dyDescent="0.25">
      <c r="E1211" t="str">
        <f>""</f>
        <v/>
      </c>
      <c r="F1211" t="str">
        <f>""</f>
        <v/>
      </c>
      <c r="H1211" t="str">
        <f t="shared" si="18"/>
        <v>CONTRACT#4746243</v>
      </c>
    </row>
    <row r="1212" spans="5:8" x14ac:dyDescent="0.25">
      <c r="E1212" t="str">
        <f>""</f>
        <v/>
      </c>
      <c r="F1212" t="str">
        <f>""</f>
        <v/>
      </c>
      <c r="H1212" t="str">
        <f t="shared" si="18"/>
        <v>CONTRACT#4746243</v>
      </c>
    </row>
    <row r="1213" spans="5:8" x14ac:dyDescent="0.25">
      <c r="E1213" t="str">
        <f>""</f>
        <v/>
      </c>
      <c r="F1213" t="str">
        <f>""</f>
        <v/>
      </c>
      <c r="H1213" t="str">
        <f t="shared" si="18"/>
        <v>CONTRACT#4746243</v>
      </c>
    </row>
    <row r="1214" spans="5:8" x14ac:dyDescent="0.25">
      <c r="E1214" t="str">
        <f>""</f>
        <v/>
      </c>
      <c r="F1214" t="str">
        <f>""</f>
        <v/>
      </c>
      <c r="H1214" t="str">
        <f t="shared" si="18"/>
        <v>CONTRACT#4746243</v>
      </c>
    </row>
    <row r="1215" spans="5:8" x14ac:dyDescent="0.25">
      <c r="E1215" t="str">
        <f>"5058008574-P2"</f>
        <v>5058008574-P2</v>
      </c>
      <c r="F1215" t="str">
        <f>"CUST #12847097 / P2-FLOOD"</f>
        <v>CUST #12847097 / P2-FLOOD</v>
      </c>
      <c r="G1215" s="2">
        <v>311.14</v>
      </c>
      <c r="H1215" t="str">
        <f>"CUST #12847097 / P2-FLOOD"</f>
        <v>CUST #12847097 / P2-FLOOD</v>
      </c>
    </row>
    <row r="1216" spans="5:8" x14ac:dyDescent="0.25">
      <c r="E1216" t="str">
        <f>"5058014437"</f>
        <v>5058014437</v>
      </c>
      <c r="F1216" t="str">
        <f>"CONTRACT#4746243"</f>
        <v>CONTRACT#4746243</v>
      </c>
      <c r="G1216" s="2">
        <v>514.57000000000005</v>
      </c>
      <c r="H1216" t="str">
        <f t="shared" ref="H1216:H1230" si="19">"CONTRACT#4746243"</f>
        <v>CONTRACT#4746243</v>
      </c>
    </row>
    <row r="1217" spans="5:8" x14ac:dyDescent="0.25">
      <c r="E1217" t="str">
        <f>""</f>
        <v/>
      </c>
      <c r="F1217" t="str">
        <f>""</f>
        <v/>
      </c>
      <c r="H1217" t="str">
        <f t="shared" si="19"/>
        <v>CONTRACT#4746243</v>
      </c>
    </row>
    <row r="1218" spans="5:8" x14ac:dyDescent="0.25">
      <c r="E1218" t="str">
        <f>""</f>
        <v/>
      </c>
      <c r="F1218" t="str">
        <f>""</f>
        <v/>
      </c>
      <c r="H1218" t="str">
        <f t="shared" si="19"/>
        <v>CONTRACT#4746243</v>
      </c>
    </row>
    <row r="1219" spans="5:8" x14ac:dyDescent="0.25">
      <c r="E1219" t="str">
        <f>""</f>
        <v/>
      </c>
      <c r="F1219" t="str">
        <f>""</f>
        <v/>
      </c>
      <c r="H1219" t="str">
        <f t="shared" si="19"/>
        <v>CONTRACT#4746243</v>
      </c>
    </row>
    <row r="1220" spans="5:8" x14ac:dyDescent="0.25">
      <c r="E1220" t="str">
        <f>""</f>
        <v/>
      </c>
      <c r="F1220" t="str">
        <f>""</f>
        <v/>
      </c>
      <c r="H1220" t="str">
        <f t="shared" si="19"/>
        <v>CONTRACT#4746243</v>
      </c>
    </row>
    <row r="1221" spans="5:8" x14ac:dyDescent="0.25">
      <c r="E1221" t="str">
        <f>""</f>
        <v/>
      </c>
      <c r="F1221" t="str">
        <f>""</f>
        <v/>
      </c>
      <c r="H1221" t="str">
        <f t="shared" si="19"/>
        <v>CONTRACT#4746243</v>
      </c>
    </row>
    <row r="1222" spans="5:8" x14ac:dyDescent="0.25">
      <c r="E1222" t="str">
        <f>""</f>
        <v/>
      </c>
      <c r="F1222" t="str">
        <f>""</f>
        <v/>
      </c>
      <c r="H1222" t="str">
        <f t="shared" si="19"/>
        <v>CONTRACT#4746243</v>
      </c>
    </row>
    <row r="1223" spans="5:8" x14ac:dyDescent="0.25">
      <c r="E1223" t="str">
        <f>""</f>
        <v/>
      </c>
      <c r="F1223" t="str">
        <f>""</f>
        <v/>
      </c>
      <c r="H1223" t="str">
        <f t="shared" si="19"/>
        <v>CONTRACT#4746243</v>
      </c>
    </row>
    <row r="1224" spans="5:8" x14ac:dyDescent="0.25">
      <c r="E1224" t="str">
        <f>""</f>
        <v/>
      </c>
      <c r="F1224" t="str">
        <f>""</f>
        <v/>
      </c>
      <c r="H1224" t="str">
        <f t="shared" si="19"/>
        <v>CONTRACT#4746243</v>
      </c>
    </row>
    <row r="1225" spans="5:8" x14ac:dyDescent="0.25">
      <c r="E1225" t="str">
        <f>""</f>
        <v/>
      </c>
      <c r="F1225" t="str">
        <f>""</f>
        <v/>
      </c>
      <c r="H1225" t="str">
        <f t="shared" si="19"/>
        <v>CONTRACT#4746243</v>
      </c>
    </row>
    <row r="1226" spans="5:8" x14ac:dyDescent="0.25">
      <c r="E1226" t="str">
        <f>""</f>
        <v/>
      </c>
      <c r="F1226" t="str">
        <f>""</f>
        <v/>
      </c>
      <c r="H1226" t="str">
        <f t="shared" si="19"/>
        <v>CONTRACT#4746243</v>
      </c>
    </row>
    <row r="1227" spans="5:8" x14ac:dyDescent="0.25">
      <c r="E1227" t="str">
        <f>""</f>
        <v/>
      </c>
      <c r="F1227" t="str">
        <f>""</f>
        <v/>
      </c>
      <c r="H1227" t="str">
        <f t="shared" si="19"/>
        <v>CONTRACT#4746243</v>
      </c>
    </row>
    <row r="1228" spans="5:8" x14ac:dyDescent="0.25">
      <c r="E1228" t="str">
        <f>""</f>
        <v/>
      </c>
      <c r="F1228" t="str">
        <f>""</f>
        <v/>
      </c>
      <c r="H1228" t="str">
        <f t="shared" si="19"/>
        <v>CONTRACT#4746243</v>
      </c>
    </row>
    <row r="1229" spans="5:8" x14ac:dyDescent="0.25">
      <c r="E1229" t="str">
        <f>""</f>
        <v/>
      </c>
      <c r="F1229" t="str">
        <f>""</f>
        <v/>
      </c>
      <c r="H1229" t="str">
        <f t="shared" si="19"/>
        <v>CONTRACT#4746243</v>
      </c>
    </row>
    <row r="1230" spans="5:8" x14ac:dyDescent="0.25">
      <c r="E1230" t="str">
        <f>""</f>
        <v/>
      </c>
      <c r="F1230" t="str">
        <f>""</f>
        <v/>
      </c>
      <c r="H1230" t="str">
        <f t="shared" si="19"/>
        <v>CONTRACT#4746243</v>
      </c>
    </row>
    <row r="1231" spans="5:8" x14ac:dyDescent="0.25">
      <c r="E1231" t="str">
        <f>"5058014437-P2"</f>
        <v>5058014437-P2</v>
      </c>
      <c r="F1231" t="str">
        <f>"CUST #12847097 / P2-FLOOD"</f>
        <v>CUST #12847097 / P2-FLOOD</v>
      </c>
      <c r="G1231" s="2">
        <v>88.37</v>
      </c>
      <c r="H1231" t="str">
        <f>"CUST #12847097 / P2-FLOOD"</f>
        <v>CUST #12847097 / P2-FLOOD</v>
      </c>
    </row>
    <row r="1232" spans="5:8" x14ac:dyDescent="0.25">
      <c r="E1232" t="str">
        <f>"5058014463"</f>
        <v>5058014463</v>
      </c>
      <c r="F1232" t="str">
        <f>"CONTRACT#4746243"</f>
        <v>CONTRACT#4746243</v>
      </c>
      <c r="G1232" s="2">
        <v>1757.79</v>
      </c>
      <c r="H1232" t="str">
        <f t="shared" ref="H1232:H1266" si="20">"CONTRACT#4746243"</f>
        <v>CONTRACT#4746243</v>
      </c>
    </row>
    <row r="1233" spans="5:8" x14ac:dyDescent="0.25">
      <c r="E1233" t="str">
        <f>""</f>
        <v/>
      </c>
      <c r="F1233" t="str">
        <f>""</f>
        <v/>
      </c>
      <c r="H1233" t="str">
        <f t="shared" si="20"/>
        <v>CONTRACT#4746243</v>
      </c>
    </row>
    <row r="1234" spans="5:8" x14ac:dyDescent="0.25">
      <c r="E1234" t="str">
        <f>""</f>
        <v/>
      </c>
      <c r="F1234" t="str">
        <f>""</f>
        <v/>
      </c>
      <c r="H1234" t="str">
        <f t="shared" si="20"/>
        <v>CONTRACT#4746243</v>
      </c>
    </row>
    <row r="1235" spans="5:8" x14ac:dyDescent="0.25">
      <c r="E1235" t="str">
        <f>""</f>
        <v/>
      </c>
      <c r="F1235" t="str">
        <f>""</f>
        <v/>
      </c>
      <c r="H1235" t="str">
        <f t="shared" si="20"/>
        <v>CONTRACT#4746243</v>
      </c>
    </row>
    <row r="1236" spans="5:8" x14ac:dyDescent="0.25">
      <c r="E1236" t="str">
        <f>""</f>
        <v/>
      </c>
      <c r="F1236" t="str">
        <f>""</f>
        <v/>
      </c>
      <c r="H1236" t="str">
        <f t="shared" si="20"/>
        <v>CONTRACT#4746243</v>
      </c>
    </row>
    <row r="1237" spans="5:8" x14ac:dyDescent="0.25">
      <c r="E1237" t="str">
        <f>""</f>
        <v/>
      </c>
      <c r="F1237" t="str">
        <f>""</f>
        <v/>
      </c>
      <c r="H1237" t="str">
        <f t="shared" si="20"/>
        <v>CONTRACT#4746243</v>
      </c>
    </row>
    <row r="1238" spans="5:8" x14ac:dyDescent="0.25">
      <c r="E1238" t="str">
        <f>""</f>
        <v/>
      </c>
      <c r="F1238" t="str">
        <f>""</f>
        <v/>
      </c>
      <c r="H1238" t="str">
        <f t="shared" si="20"/>
        <v>CONTRACT#4746243</v>
      </c>
    </row>
    <row r="1239" spans="5:8" x14ac:dyDescent="0.25">
      <c r="E1239" t="str">
        <f>""</f>
        <v/>
      </c>
      <c r="F1239" t="str">
        <f>""</f>
        <v/>
      </c>
      <c r="H1239" t="str">
        <f t="shared" si="20"/>
        <v>CONTRACT#4746243</v>
      </c>
    </row>
    <row r="1240" spans="5:8" x14ac:dyDescent="0.25">
      <c r="E1240" t="str">
        <f>""</f>
        <v/>
      </c>
      <c r="F1240" t="str">
        <f>""</f>
        <v/>
      </c>
      <c r="H1240" t="str">
        <f t="shared" si="20"/>
        <v>CONTRACT#4746243</v>
      </c>
    </row>
    <row r="1241" spans="5:8" x14ac:dyDescent="0.25">
      <c r="E1241" t="str">
        <f>""</f>
        <v/>
      </c>
      <c r="F1241" t="str">
        <f>""</f>
        <v/>
      </c>
      <c r="H1241" t="str">
        <f t="shared" si="20"/>
        <v>CONTRACT#4746243</v>
      </c>
    </row>
    <row r="1242" spans="5:8" x14ac:dyDescent="0.25">
      <c r="E1242" t="str">
        <f>""</f>
        <v/>
      </c>
      <c r="F1242" t="str">
        <f>""</f>
        <v/>
      </c>
      <c r="H1242" t="str">
        <f t="shared" si="20"/>
        <v>CONTRACT#4746243</v>
      </c>
    </row>
    <row r="1243" spans="5:8" x14ac:dyDescent="0.25">
      <c r="E1243" t="str">
        <f>""</f>
        <v/>
      </c>
      <c r="F1243" t="str">
        <f>""</f>
        <v/>
      </c>
      <c r="H1243" t="str">
        <f t="shared" si="20"/>
        <v>CONTRACT#4746243</v>
      </c>
    </row>
    <row r="1244" spans="5:8" x14ac:dyDescent="0.25">
      <c r="E1244" t="str">
        <f>""</f>
        <v/>
      </c>
      <c r="F1244" t="str">
        <f>""</f>
        <v/>
      </c>
      <c r="H1244" t="str">
        <f t="shared" si="20"/>
        <v>CONTRACT#4746243</v>
      </c>
    </row>
    <row r="1245" spans="5:8" x14ac:dyDescent="0.25">
      <c r="E1245" t="str">
        <f>""</f>
        <v/>
      </c>
      <c r="F1245" t="str">
        <f>""</f>
        <v/>
      </c>
      <c r="H1245" t="str">
        <f t="shared" si="20"/>
        <v>CONTRACT#4746243</v>
      </c>
    </row>
    <row r="1246" spans="5:8" x14ac:dyDescent="0.25">
      <c r="E1246" t="str">
        <f>""</f>
        <v/>
      </c>
      <c r="F1246" t="str">
        <f>""</f>
        <v/>
      </c>
      <c r="H1246" t="str">
        <f t="shared" si="20"/>
        <v>CONTRACT#4746243</v>
      </c>
    </row>
    <row r="1247" spans="5:8" x14ac:dyDescent="0.25">
      <c r="E1247" t="str">
        <f>""</f>
        <v/>
      </c>
      <c r="F1247" t="str">
        <f>""</f>
        <v/>
      </c>
      <c r="H1247" t="str">
        <f t="shared" si="20"/>
        <v>CONTRACT#4746243</v>
      </c>
    </row>
    <row r="1248" spans="5:8" x14ac:dyDescent="0.25">
      <c r="E1248" t="str">
        <f>""</f>
        <v/>
      </c>
      <c r="F1248" t="str">
        <f>""</f>
        <v/>
      </c>
      <c r="H1248" t="str">
        <f t="shared" si="20"/>
        <v>CONTRACT#4746243</v>
      </c>
    </row>
    <row r="1249" spans="5:8" x14ac:dyDescent="0.25">
      <c r="E1249" t="str">
        <f>""</f>
        <v/>
      </c>
      <c r="F1249" t="str">
        <f>""</f>
        <v/>
      </c>
      <c r="H1249" t="str">
        <f t="shared" si="20"/>
        <v>CONTRACT#4746243</v>
      </c>
    </row>
    <row r="1250" spans="5:8" x14ac:dyDescent="0.25">
      <c r="E1250" t="str">
        <f>""</f>
        <v/>
      </c>
      <c r="F1250" t="str">
        <f>""</f>
        <v/>
      </c>
      <c r="H1250" t="str">
        <f t="shared" si="20"/>
        <v>CONTRACT#4746243</v>
      </c>
    </row>
    <row r="1251" spans="5:8" x14ac:dyDescent="0.25">
      <c r="E1251" t="str">
        <f>""</f>
        <v/>
      </c>
      <c r="F1251" t="str">
        <f>""</f>
        <v/>
      </c>
      <c r="H1251" t="str">
        <f t="shared" si="20"/>
        <v>CONTRACT#4746243</v>
      </c>
    </row>
    <row r="1252" spans="5:8" x14ac:dyDescent="0.25">
      <c r="E1252" t="str">
        <f>""</f>
        <v/>
      </c>
      <c r="F1252" t="str">
        <f>""</f>
        <v/>
      </c>
      <c r="H1252" t="str">
        <f t="shared" si="20"/>
        <v>CONTRACT#4746243</v>
      </c>
    </row>
    <row r="1253" spans="5:8" x14ac:dyDescent="0.25">
      <c r="E1253" t="str">
        <f>""</f>
        <v/>
      </c>
      <c r="F1253" t="str">
        <f>""</f>
        <v/>
      </c>
      <c r="H1253" t="str">
        <f t="shared" si="20"/>
        <v>CONTRACT#4746243</v>
      </c>
    </row>
    <row r="1254" spans="5:8" x14ac:dyDescent="0.25">
      <c r="E1254" t="str">
        <f>""</f>
        <v/>
      </c>
      <c r="F1254" t="str">
        <f>""</f>
        <v/>
      </c>
      <c r="H1254" t="str">
        <f t="shared" si="20"/>
        <v>CONTRACT#4746243</v>
      </c>
    </row>
    <row r="1255" spans="5:8" x14ac:dyDescent="0.25">
      <c r="E1255" t="str">
        <f>""</f>
        <v/>
      </c>
      <c r="F1255" t="str">
        <f>""</f>
        <v/>
      </c>
      <c r="H1255" t="str">
        <f t="shared" si="20"/>
        <v>CONTRACT#4746243</v>
      </c>
    </row>
    <row r="1256" spans="5:8" x14ac:dyDescent="0.25">
      <c r="E1256" t="str">
        <f>""</f>
        <v/>
      </c>
      <c r="F1256" t="str">
        <f>""</f>
        <v/>
      </c>
      <c r="H1256" t="str">
        <f t="shared" si="20"/>
        <v>CONTRACT#4746243</v>
      </c>
    </row>
    <row r="1257" spans="5:8" x14ac:dyDescent="0.25">
      <c r="E1257" t="str">
        <f>""</f>
        <v/>
      </c>
      <c r="F1257" t="str">
        <f>""</f>
        <v/>
      </c>
      <c r="H1257" t="str">
        <f t="shared" si="20"/>
        <v>CONTRACT#4746243</v>
      </c>
    </row>
    <row r="1258" spans="5:8" x14ac:dyDescent="0.25">
      <c r="E1258" t="str">
        <f>""</f>
        <v/>
      </c>
      <c r="F1258" t="str">
        <f>""</f>
        <v/>
      </c>
      <c r="H1258" t="str">
        <f t="shared" si="20"/>
        <v>CONTRACT#4746243</v>
      </c>
    </row>
    <row r="1259" spans="5:8" x14ac:dyDescent="0.25">
      <c r="E1259" t="str">
        <f>""</f>
        <v/>
      </c>
      <c r="F1259" t="str">
        <f>""</f>
        <v/>
      </c>
      <c r="H1259" t="str">
        <f t="shared" si="20"/>
        <v>CONTRACT#4746243</v>
      </c>
    </row>
    <row r="1260" spans="5:8" x14ac:dyDescent="0.25">
      <c r="E1260" t="str">
        <f>""</f>
        <v/>
      </c>
      <c r="F1260" t="str">
        <f>""</f>
        <v/>
      </c>
      <c r="H1260" t="str">
        <f t="shared" si="20"/>
        <v>CONTRACT#4746243</v>
      </c>
    </row>
    <row r="1261" spans="5:8" x14ac:dyDescent="0.25">
      <c r="E1261" t="str">
        <f>""</f>
        <v/>
      </c>
      <c r="F1261" t="str">
        <f>""</f>
        <v/>
      </c>
      <c r="H1261" t="str">
        <f t="shared" si="20"/>
        <v>CONTRACT#4746243</v>
      </c>
    </row>
    <row r="1262" spans="5:8" x14ac:dyDescent="0.25">
      <c r="E1262" t="str">
        <f>""</f>
        <v/>
      </c>
      <c r="F1262" t="str">
        <f>""</f>
        <v/>
      </c>
      <c r="H1262" t="str">
        <f t="shared" si="20"/>
        <v>CONTRACT#4746243</v>
      </c>
    </row>
    <row r="1263" spans="5:8" x14ac:dyDescent="0.25">
      <c r="E1263" t="str">
        <f>""</f>
        <v/>
      </c>
      <c r="F1263" t="str">
        <f>""</f>
        <v/>
      </c>
      <c r="H1263" t="str">
        <f t="shared" si="20"/>
        <v>CONTRACT#4746243</v>
      </c>
    </row>
    <row r="1264" spans="5:8" x14ac:dyDescent="0.25">
      <c r="E1264" t="str">
        <f>""</f>
        <v/>
      </c>
      <c r="F1264" t="str">
        <f>""</f>
        <v/>
      </c>
      <c r="H1264" t="str">
        <f t="shared" si="20"/>
        <v>CONTRACT#4746243</v>
      </c>
    </row>
    <row r="1265" spans="1:8" x14ac:dyDescent="0.25">
      <c r="E1265" t="str">
        <f>""</f>
        <v/>
      </c>
      <c r="F1265" t="str">
        <f>""</f>
        <v/>
      </c>
      <c r="H1265" t="str">
        <f t="shared" si="20"/>
        <v>CONTRACT#4746243</v>
      </c>
    </row>
    <row r="1266" spans="1:8" x14ac:dyDescent="0.25">
      <c r="E1266" t="str">
        <f>""</f>
        <v/>
      </c>
      <c r="F1266" t="str">
        <f>""</f>
        <v/>
      </c>
      <c r="H1266" t="str">
        <f t="shared" si="20"/>
        <v>CONTRACT#4746243</v>
      </c>
    </row>
    <row r="1267" spans="1:8" x14ac:dyDescent="0.25">
      <c r="E1267" t="str">
        <f>"5058014463-P2"</f>
        <v>5058014463-P2</v>
      </c>
      <c r="F1267" t="str">
        <f>"CUST #12847097 / P2-FLOOD"</f>
        <v>CUST #12847097 / P2-FLOOD</v>
      </c>
      <c r="G1267" s="2">
        <v>122.08</v>
      </c>
      <c r="H1267" t="str">
        <f>"CUST #12847097 / P2-FLOOD"</f>
        <v>CUST #12847097 / P2-FLOOD</v>
      </c>
    </row>
    <row r="1268" spans="1:8" x14ac:dyDescent="0.25">
      <c r="A1268" t="s">
        <v>343</v>
      </c>
      <c r="B1268">
        <v>84788</v>
      </c>
      <c r="C1268" s="2">
        <v>8882.42</v>
      </c>
      <c r="D1268" s="1">
        <v>43781</v>
      </c>
      <c r="E1268" t="str">
        <f>"34243268"</f>
        <v>34243268</v>
      </c>
      <c r="F1268" t="str">
        <f>"CUST#2000172616"</f>
        <v>CUST#2000172616</v>
      </c>
      <c r="G1268" s="2">
        <v>8882.42</v>
      </c>
      <c r="H1268" t="str">
        <f t="shared" ref="H1268:H1310" si="21">"CUST#2000172616"</f>
        <v>CUST#2000172616</v>
      </c>
    </row>
    <row r="1269" spans="1:8" x14ac:dyDescent="0.25">
      <c r="E1269" t="str">
        <f>""</f>
        <v/>
      </c>
      <c r="F1269" t="str">
        <f>""</f>
        <v/>
      </c>
      <c r="H1269" t="str">
        <f t="shared" si="21"/>
        <v>CUST#2000172616</v>
      </c>
    </row>
    <row r="1270" spans="1:8" x14ac:dyDescent="0.25">
      <c r="E1270" t="str">
        <f>""</f>
        <v/>
      </c>
      <c r="F1270" t="str">
        <f>""</f>
        <v/>
      </c>
      <c r="H1270" t="str">
        <f t="shared" si="21"/>
        <v>CUST#2000172616</v>
      </c>
    </row>
    <row r="1271" spans="1:8" x14ac:dyDescent="0.25">
      <c r="E1271" t="str">
        <f>""</f>
        <v/>
      </c>
      <c r="F1271" t="str">
        <f>""</f>
        <v/>
      </c>
      <c r="H1271" t="str">
        <f t="shared" si="21"/>
        <v>CUST#2000172616</v>
      </c>
    </row>
    <row r="1272" spans="1:8" x14ac:dyDescent="0.25">
      <c r="E1272" t="str">
        <f>""</f>
        <v/>
      </c>
      <c r="F1272" t="str">
        <f>""</f>
        <v/>
      </c>
      <c r="H1272" t="str">
        <f t="shared" si="21"/>
        <v>CUST#2000172616</v>
      </c>
    </row>
    <row r="1273" spans="1:8" x14ac:dyDescent="0.25">
      <c r="E1273" t="str">
        <f>""</f>
        <v/>
      </c>
      <c r="F1273" t="str">
        <f>""</f>
        <v/>
      </c>
      <c r="H1273" t="str">
        <f t="shared" si="21"/>
        <v>CUST#2000172616</v>
      </c>
    </row>
    <row r="1274" spans="1:8" x14ac:dyDescent="0.25">
      <c r="E1274" t="str">
        <f>""</f>
        <v/>
      </c>
      <c r="F1274" t="str">
        <f>""</f>
        <v/>
      </c>
      <c r="H1274" t="str">
        <f t="shared" si="21"/>
        <v>CUST#2000172616</v>
      </c>
    </row>
    <row r="1275" spans="1:8" x14ac:dyDescent="0.25">
      <c r="E1275" t="str">
        <f>""</f>
        <v/>
      </c>
      <c r="F1275" t="str">
        <f>""</f>
        <v/>
      </c>
      <c r="H1275" t="str">
        <f t="shared" si="21"/>
        <v>CUST#2000172616</v>
      </c>
    </row>
    <row r="1276" spans="1:8" x14ac:dyDescent="0.25">
      <c r="E1276" t="str">
        <f>""</f>
        <v/>
      </c>
      <c r="F1276" t="str">
        <f>""</f>
        <v/>
      </c>
      <c r="H1276" t="str">
        <f t="shared" si="21"/>
        <v>CUST#2000172616</v>
      </c>
    </row>
    <row r="1277" spans="1:8" x14ac:dyDescent="0.25">
      <c r="E1277" t="str">
        <f>""</f>
        <v/>
      </c>
      <c r="F1277" t="str">
        <f>""</f>
        <v/>
      </c>
      <c r="H1277" t="str">
        <f t="shared" si="21"/>
        <v>CUST#2000172616</v>
      </c>
    </row>
    <row r="1278" spans="1:8" x14ac:dyDescent="0.25">
      <c r="E1278" t="str">
        <f>""</f>
        <v/>
      </c>
      <c r="F1278" t="str">
        <f>""</f>
        <v/>
      </c>
      <c r="H1278" t="str">
        <f t="shared" si="21"/>
        <v>CUST#2000172616</v>
      </c>
    </row>
    <row r="1279" spans="1:8" x14ac:dyDescent="0.25">
      <c r="E1279" t="str">
        <f>""</f>
        <v/>
      </c>
      <c r="F1279" t="str">
        <f>""</f>
        <v/>
      </c>
      <c r="H1279" t="str">
        <f t="shared" si="21"/>
        <v>CUST#2000172616</v>
      </c>
    </row>
    <row r="1280" spans="1:8" x14ac:dyDescent="0.25">
      <c r="E1280" t="str">
        <f>""</f>
        <v/>
      </c>
      <c r="F1280" t="str">
        <f>""</f>
        <v/>
      </c>
      <c r="H1280" t="str">
        <f t="shared" si="21"/>
        <v>CUST#2000172616</v>
      </c>
    </row>
    <row r="1281" spans="5:8" x14ac:dyDescent="0.25">
      <c r="E1281" t="str">
        <f>""</f>
        <v/>
      </c>
      <c r="F1281" t="str">
        <f>""</f>
        <v/>
      </c>
      <c r="H1281" t="str">
        <f t="shared" si="21"/>
        <v>CUST#2000172616</v>
      </c>
    </row>
    <row r="1282" spans="5:8" x14ac:dyDescent="0.25">
      <c r="E1282" t="str">
        <f>""</f>
        <v/>
      </c>
      <c r="F1282" t="str">
        <f>""</f>
        <v/>
      </c>
      <c r="H1282" t="str">
        <f t="shared" si="21"/>
        <v>CUST#2000172616</v>
      </c>
    </row>
    <row r="1283" spans="5:8" x14ac:dyDescent="0.25">
      <c r="E1283" t="str">
        <f>""</f>
        <v/>
      </c>
      <c r="F1283" t="str">
        <f>""</f>
        <v/>
      </c>
      <c r="H1283" t="str">
        <f t="shared" si="21"/>
        <v>CUST#2000172616</v>
      </c>
    </row>
    <row r="1284" spans="5:8" x14ac:dyDescent="0.25">
      <c r="E1284" t="str">
        <f>""</f>
        <v/>
      </c>
      <c r="F1284" t="str">
        <f>""</f>
        <v/>
      </c>
      <c r="H1284" t="str">
        <f t="shared" si="21"/>
        <v>CUST#2000172616</v>
      </c>
    </row>
    <row r="1285" spans="5:8" x14ac:dyDescent="0.25">
      <c r="E1285" t="str">
        <f>""</f>
        <v/>
      </c>
      <c r="F1285" t="str">
        <f>""</f>
        <v/>
      </c>
      <c r="H1285" t="str">
        <f t="shared" si="21"/>
        <v>CUST#2000172616</v>
      </c>
    </row>
    <row r="1286" spans="5:8" x14ac:dyDescent="0.25">
      <c r="E1286" t="str">
        <f>""</f>
        <v/>
      </c>
      <c r="F1286" t="str">
        <f>""</f>
        <v/>
      </c>
      <c r="H1286" t="str">
        <f t="shared" si="21"/>
        <v>CUST#2000172616</v>
      </c>
    </row>
    <row r="1287" spans="5:8" x14ac:dyDescent="0.25">
      <c r="E1287" t="str">
        <f>""</f>
        <v/>
      </c>
      <c r="F1287" t="str">
        <f>""</f>
        <v/>
      </c>
      <c r="H1287" t="str">
        <f t="shared" si="21"/>
        <v>CUST#2000172616</v>
      </c>
    </row>
    <row r="1288" spans="5:8" x14ac:dyDescent="0.25">
      <c r="E1288" t="str">
        <f>""</f>
        <v/>
      </c>
      <c r="F1288" t="str">
        <f>""</f>
        <v/>
      </c>
      <c r="H1288" t="str">
        <f t="shared" si="21"/>
        <v>CUST#2000172616</v>
      </c>
    </row>
    <row r="1289" spans="5:8" x14ac:dyDescent="0.25">
      <c r="E1289" t="str">
        <f>""</f>
        <v/>
      </c>
      <c r="F1289" t="str">
        <f>""</f>
        <v/>
      </c>
      <c r="H1289" t="str">
        <f t="shared" si="21"/>
        <v>CUST#2000172616</v>
      </c>
    </row>
    <row r="1290" spans="5:8" x14ac:dyDescent="0.25">
      <c r="E1290" t="str">
        <f>""</f>
        <v/>
      </c>
      <c r="F1290" t="str">
        <f>""</f>
        <v/>
      </c>
      <c r="H1290" t="str">
        <f t="shared" si="21"/>
        <v>CUST#2000172616</v>
      </c>
    </row>
    <row r="1291" spans="5:8" x14ac:dyDescent="0.25">
      <c r="E1291" t="str">
        <f>""</f>
        <v/>
      </c>
      <c r="F1291" t="str">
        <f>""</f>
        <v/>
      </c>
      <c r="H1291" t="str">
        <f t="shared" si="21"/>
        <v>CUST#2000172616</v>
      </c>
    </row>
    <row r="1292" spans="5:8" x14ac:dyDescent="0.25">
      <c r="E1292" t="str">
        <f>""</f>
        <v/>
      </c>
      <c r="F1292" t="str">
        <f>""</f>
        <v/>
      </c>
      <c r="H1292" t="str">
        <f t="shared" si="21"/>
        <v>CUST#2000172616</v>
      </c>
    </row>
    <row r="1293" spans="5:8" x14ac:dyDescent="0.25">
      <c r="E1293" t="str">
        <f>""</f>
        <v/>
      </c>
      <c r="F1293" t="str">
        <f>""</f>
        <v/>
      </c>
      <c r="H1293" t="str">
        <f t="shared" si="21"/>
        <v>CUST#2000172616</v>
      </c>
    </row>
    <row r="1294" spans="5:8" x14ac:dyDescent="0.25">
      <c r="E1294" t="str">
        <f>""</f>
        <v/>
      </c>
      <c r="F1294" t="str">
        <f>""</f>
        <v/>
      </c>
      <c r="H1294" t="str">
        <f t="shared" si="21"/>
        <v>CUST#2000172616</v>
      </c>
    </row>
    <row r="1295" spans="5:8" x14ac:dyDescent="0.25">
      <c r="E1295" t="str">
        <f>""</f>
        <v/>
      </c>
      <c r="F1295" t="str">
        <f>""</f>
        <v/>
      </c>
      <c r="H1295" t="str">
        <f t="shared" si="21"/>
        <v>CUST#2000172616</v>
      </c>
    </row>
    <row r="1296" spans="5:8" x14ac:dyDescent="0.25">
      <c r="E1296" t="str">
        <f>""</f>
        <v/>
      </c>
      <c r="F1296" t="str">
        <f>""</f>
        <v/>
      </c>
      <c r="H1296" t="str">
        <f t="shared" si="21"/>
        <v>CUST#2000172616</v>
      </c>
    </row>
    <row r="1297" spans="1:8" x14ac:dyDescent="0.25">
      <c r="E1297" t="str">
        <f>""</f>
        <v/>
      </c>
      <c r="F1297" t="str">
        <f>""</f>
        <v/>
      </c>
      <c r="H1297" t="str">
        <f t="shared" si="21"/>
        <v>CUST#2000172616</v>
      </c>
    </row>
    <row r="1298" spans="1:8" x14ac:dyDescent="0.25">
      <c r="A1298" t="s">
        <v>343</v>
      </c>
      <c r="B1298">
        <v>129793</v>
      </c>
      <c r="C1298" s="2">
        <v>962.52</v>
      </c>
      <c r="D1298" s="1">
        <v>43794</v>
      </c>
      <c r="E1298" t="str">
        <f>"33866371"</f>
        <v>33866371</v>
      </c>
      <c r="F1298" t="str">
        <f>"CUST#2000172616"</f>
        <v>CUST#2000172616</v>
      </c>
      <c r="G1298" s="2">
        <v>962.52</v>
      </c>
      <c r="H1298" t="str">
        <f t="shared" si="21"/>
        <v>CUST#2000172616</v>
      </c>
    </row>
    <row r="1299" spans="1:8" x14ac:dyDescent="0.25">
      <c r="E1299" t="str">
        <f>""</f>
        <v/>
      </c>
      <c r="F1299" t="str">
        <f>""</f>
        <v/>
      </c>
      <c r="H1299" t="str">
        <f t="shared" si="21"/>
        <v>CUST#2000172616</v>
      </c>
    </row>
    <row r="1300" spans="1:8" x14ac:dyDescent="0.25">
      <c r="E1300" t="str">
        <f>""</f>
        <v/>
      </c>
      <c r="F1300" t="str">
        <f>""</f>
        <v/>
      </c>
      <c r="H1300" t="str">
        <f t="shared" si="21"/>
        <v>CUST#2000172616</v>
      </c>
    </row>
    <row r="1301" spans="1:8" x14ac:dyDescent="0.25">
      <c r="E1301" t="str">
        <f>""</f>
        <v/>
      </c>
      <c r="F1301" t="str">
        <f>""</f>
        <v/>
      </c>
      <c r="H1301" t="str">
        <f t="shared" si="21"/>
        <v>CUST#2000172616</v>
      </c>
    </row>
    <row r="1302" spans="1:8" x14ac:dyDescent="0.25">
      <c r="E1302" t="str">
        <f>""</f>
        <v/>
      </c>
      <c r="F1302" t="str">
        <f>""</f>
        <v/>
      </c>
      <c r="H1302" t="str">
        <f t="shared" si="21"/>
        <v>CUST#2000172616</v>
      </c>
    </row>
    <row r="1303" spans="1:8" x14ac:dyDescent="0.25">
      <c r="E1303" t="str">
        <f>""</f>
        <v/>
      </c>
      <c r="F1303" t="str">
        <f>""</f>
        <v/>
      </c>
      <c r="H1303" t="str">
        <f t="shared" si="21"/>
        <v>CUST#2000172616</v>
      </c>
    </row>
    <row r="1304" spans="1:8" x14ac:dyDescent="0.25">
      <c r="E1304" t="str">
        <f>""</f>
        <v/>
      </c>
      <c r="F1304" t="str">
        <f>""</f>
        <v/>
      </c>
      <c r="H1304" t="str">
        <f t="shared" si="21"/>
        <v>CUST#2000172616</v>
      </c>
    </row>
    <row r="1305" spans="1:8" x14ac:dyDescent="0.25">
      <c r="E1305" t="str">
        <f>""</f>
        <v/>
      </c>
      <c r="F1305" t="str">
        <f>""</f>
        <v/>
      </c>
      <c r="H1305" t="str">
        <f t="shared" si="21"/>
        <v>CUST#2000172616</v>
      </c>
    </row>
    <row r="1306" spans="1:8" x14ac:dyDescent="0.25">
      <c r="E1306" t="str">
        <f>""</f>
        <v/>
      </c>
      <c r="F1306" t="str">
        <f>""</f>
        <v/>
      </c>
      <c r="H1306" t="str">
        <f t="shared" si="21"/>
        <v>CUST#2000172616</v>
      </c>
    </row>
    <row r="1307" spans="1:8" x14ac:dyDescent="0.25">
      <c r="E1307" t="str">
        <f>""</f>
        <v/>
      </c>
      <c r="F1307" t="str">
        <f>""</f>
        <v/>
      </c>
      <c r="H1307" t="str">
        <f t="shared" si="21"/>
        <v>CUST#2000172616</v>
      </c>
    </row>
    <row r="1308" spans="1:8" x14ac:dyDescent="0.25">
      <c r="E1308" t="str">
        <f>""</f>
        <v/>
      </c>
      <c r="F1308" t="str">
        <f>""</f>
        <v/>
      </c>
      <c r="H1308" t="str">
        <f t="shared" si="21"/>
        <v>CUST#2000172616</v>
      </c>
    </row>
    <row r="1309" spans="1:8" x14ac:dyDescent="0.25">
      <c r="E1309" t="str">
        <f>""</f>
        <v/>
      </c>
      <c r="F1309" t="str">
        <f>""</f>
        <v/>
      </c>
      <c r="H1309" t="str">
        <f t="shared" si="21"/>
        <v>CUST#2000172616</v>
      </c>
    </row>
    <row r="1310" spans="1:8" x14ac:dyDescent="0.25">
      <c r="E1310" t="str">
        <f>""</f>
        <v/>
      </c>
      <c r="F1310" t="str">
        <f>""</f>
        <v/>
      </c>
      <c r="H1310" t="str">
        <f t="shared" si="21"/>
        <v>CUST#2000172616</v>
      </c>
    </row>
    <row r="1311" spans="1:8" x14ac:dyDescent="0.25">
      <c r="A1311" t="s">
        <v>344</v>
      </c>
      <c r="B1311">
        <v>129794</v>
      </c>
      <c r="C1311" s="2">
        <v>40</v>
      </c>
      <c r="D1311" s="1">
        <v>43794</v>
      </c>
      <c r="E1311" t="str">
        <f>"4235"</f>
        <v>4235</v>
      </c>
      <c r="F1311" t="str">
        <f>"FIX FLAT/PCT#2"</f>
        <v>FIX FLAT/PCT#2</v>
      </c>
      <c r="G1311" s="2">
        <v>20</v>
      </c>
      <c r="H1311" t="str">
        <f>"FIX FLAT/PCT#2"</f>
        <v>FIX FLAT/PCT#2</v>
      </c>
    </row>
    <row r="1312" spans="1:8" x14ac:dyDescent="0.25">
      <c r="E1312" t="str">
        <f>"4240"</f>
        <v>4240</v>
      </c>
      <c r="F1312" t="str">
        <f>"FIX FLAT/PCT#2"</f>
        <v>FIX FLAT/PCT#2</v>
      </c>
      <c r="G1312" s="2">
        <v>20</v>
      </c>
      <c r="H1312" t="str">
        <f>"FIX FLAT/PCT#2"</f>
        <v>FIX FLAT/PCT#2</v>
      </c>
    </row>
    <row r="1313" spans="1:8" x14ac:dyDescent="0.25">
      <c r="A1313" t="s">
        <v>345</v>
      </c>
      <c r="B1313">
        <v>1775</v>
      </c>
      <c r="C1313" s="2">
        <v>750</v>
      </c>
      <c r="D1313" s="1">
        <v>43795</v>
      </c>
      <c r="E1313" t="str">
        <f>"BCOCT19"</f>
        <v>BCOCT19</v>
      </c>
      <c r="F1313" t="str">
        <f>"INV BCOCT19"</f>
        <v>INV BCOCT19</v>
      </c>
      <c r="G1313" s="2">
        <v>750</v>
      </c>
      <c r="H1313" t="str">
        <f>"INV BCOCT19"</f>
        <v>INV BCOCT19</v>
      </c>
    </row>
    <row r="1314" spans="1:8" x14ac:dyDescent="0.25">
      <c r="A1314" t="s">
        <v>346</v>
      </c>
      <c r="B1314">
        <v>129795</v>
      </c>
      <c r="C1314" s="2">
        <v>85</v>
      </c>
      <c r="D1314" s="1">
        <v>43794</v>
      </c>
      <c r="E1314" t="str">
        <f>"201911193459"</f>
        <v>201911193459</v>
      </c>
      <c r="F1314" t="str">
        <f>"PER DIEM"</f>
        <v>PER DIEM</v>
      </c>
      <c r="G1314" s="2">
        <v>85</v>
      </c>
      <c r="H1314" t="str">
        <f>"PER DIEM"</f>
        <v>PER DIEM</v>
      </c>
    </row>
    <row r="1315" spans="1:8" x14ac:dyDescent="0.25">
      <c r="A1315" t="s">
        <v>347</v>
      </c>
      <c r="B1315">
        <v>84789</v>
      </c>
      <c r="C1315" s="2">
        <v>413.33</v>
      </c>
      <c r="D1315" s="1">
        <v>43781</v>
      </c>
      <c r="E1315" t="str">
        <f>"4792484"</f>
        <v>4792484</v>
      </c>
      <c r="F1315" t="str">
        <f>"INV 4792484"</f>
        <v>INV 4792484</v>
      </c>
      <c r="G1315" s="2">
        <v>413.33</v>
      </c>
      <c r="H1315" t="str">
        <f>"INV 4792484"</f>
        <v>INV 4792484</v>
      </c>
    </row>
    <row r="1316" spans="1:8" x14ac:dyDescent="0.25">
      <c r="A1316" t="s">
        <v>348</v>
      </c>
      <c r="B1316">
        <v>84790</v>
      </c>
      <c r="C1316" s="2">
        <v>572.21</v>
      </c>
      <c r="D1316" s="1">
        <v>43781</v>
      </c>
      <c r="E1316" t="str">
        <f>"107120999"</f>
        <v>107120999</v>
      </c>
      <c r="F1316" t="str">
        <f>"STRIP BROOM / PRECINCT 1"</f>
        <v>STRIP BROOM / PRECINCT 1</v>
      </c>
      <c r="G1316" s="2">
        <v>572.21</v>
      </c>
      <c r="H1316" t="str">
        <f>"STRIP BROOM / PRECINCT 1"</f>
        <v>STRIP BROOM / PRECINCT 1</v>
      </c>
    </row>
    <row r="1317" spans="1:8" x14ac:dyDescent="0.25">
      <c r="A1317" t="s">
        <v>349</v>
      </c>
      <c r="B1317">
        <v>84791</v>
      </c>
      <c r="C1317" s="2">
        <v>54</v>
      </c>
      <c r="D1317" s="1">
        <v>43781</v>
      </c>
      <c r="E1317" t="str">
        <f>"201911042876"</f>
        <v>201911042876</v>
      </c>
      <c r="F1317" t="str">
        <f>"LPHCP RECORDING FEES"</f>
        <v>LPHCP RECORDING FEES</v>
      </c>
      <c r="G1317" s="2">
        <v>54</v>
      </c>
      <c r="H1317" t="str">
        <f>"LPHCP RECORDING FEES"</f>
        <v>LPHCP RECORDING FEES</v>
      </c>
    </row>
    <row r="1318" spans="1:8" x14ac:dyDescent="0.25">
      <c r="A1318" t="s">
        <v>349</v>
      </c>
      <c r="B1318">
        <v>84792</v>
      </c>
      <c r="C1318" s="2">
        <v>122</v>
      </c>
      <c r="D1318" s="1">
        <v>43781</v>
      </c>
      <c r="E1318" t="str">
        <f>"201911052993"</f>
        <v>201911052993</v>
      </c>
      <c r="F1318" t="str">
        <f>"DEVELOPMENT SVCS RECORDING FEE"</f>
        <v>DEVELOPMENT SVCS RECORDING FEE</v>
      </c>
      <c r="G1318" s="2">
        <v>122</v>
      </c>
      <c r="H1318" t="str">
        <f>"DEVELOPMENT SVCS RECORDING FEE"</f>
        <v>DEVELOPMENT SVCS RECORDING FEE</v>
      </c>
    </row>
    <row r="1319" spans="1:8" x14ac:dyDescent="0.25">
      <c r="A1319" t="s">
        <v>349</v>
      </c>
      <c r="B1319">
        <v>129796</v>
      </c>
      <c r="C1319" s="2">
        <v>95</v>
      </c>
      <c r="D1319" s="1">
        <v>43794</v>
      </c>
      <c r="E1319" t="str">
        <f>"201911203470"</f>
        <v>201911203470</v>
      </c>
      <c r="F1319" t="str">
        <f>"DEVELOPMENT SVCS RECORDING FEE"</f>
        <v>DEVELOPMENT SVCS RECORDING FEE</v>
      </c>
      <c r="G1319" s="2">
        <v>95</v>
      </c>
      <c r="H1319" t="str">
        <f>"DEVELOPMENT SVCS RECORDING FEE"</f>
        <v>DEVELOPMENT SVCS RECORDING FEE</v>
      </c>
    </row>
    <row r="1320" spans="1:8" x14ac:dyDescent="0.25">
      <c r="A1320" t="s">
        <v>350</v>
      </c>
      <c r="B1320">
        <v>1811</v>
      </c>
      <c r="C1320" s="2">
        <v>260.73</v>
      </c>
      <c r="D1320" s="1">
        <v>43795</v>
      </c>
      <c r="E1320" t="str">
        <f>"201911203485"</f>
        <v>201911203485</v>
      </c>
      <c r="F1320" t="str">
        <f>"INDIGENT HEALTH"</f>
        <v>INDIGENT HEALTH</v>
      </c>
      <c r="G1320" s="2">
        <v>260.73</v>
      </c>
      <c r="H1320" t="str">
        <f>"INDIGENT HEALTH"</f>
        <v>INDIGENT HEALTH</v>
      </c>
    </row>
    <row r="1321" spans="1:8" x14ac:dyDescent="0.25">
      <c r="A1321" t="s">
        <v>351</v>
      </c>
      <c r="B1321">
        <v>129797</v>
      </c>
      <c r="C1321" s="2">
        <v>1483.96</v>
      </c>
      <c r="D1321" s="1">
        <v>43794</v>
      </c>
      <c r="E1321" t="str">
        <f>"32596"</f>
        <v>32596</v>
      </c>
      <c r="F1321" t="str">
        <f>"VOTE BY MAIL/MIN FEE"</f>
        <v>VOTE BY MAIL/MIN FEE</v>
      </c>
      <c r="G1321" s="2">
        <v>1483.96</v>
      </c>
      <c r="H1321" t="str">
        <f>"VOTE BY MAIL/MIN FEE"</f>
        <v>VOTE BY MAIL/MIN FEE</v>
      </c>
    </row>
    <row r="1322" spans="1:8" x14ac:dyDescent="0.25">
      <c r="A1322" t="s">
        <v>352</v>
      </c>
      <c r="B1322">
        <v>129798</v>
      </c>
      <c r="C1322" s="2">
        <v>842.9</v>
      </c>
      <c r="D1322" s="1">
        <v>43794</v>
      </c>
      <c r="E1322" t="str">
        <f>"201911203490"</f>
        <v>201911203490</v>
      </c>
      <c r="F1322" t="str">
        <f>"INDIGENT HEALTH"</f>
        <v>INDIGENT HEALTH</v>
      </c>
      <c r="G1322" s="2">
        <v>842.9</v>
      </c>
      <c r="H1322" t="str">
        <f>"INDIGENT HEALTH"</f>
        <v>INDIGENT HEALTH</v>
      </c>
    </row>
    <row r="1323" spans="1:8" x14ac:dyDescent="0.25">
      <c r="A1323" t="s">
        <v>352</v>
      </c>
      <c r="B1323">
        <v>129799</v>
      </c>
      <c r="C1323" s="2">
        <v>33.270000000000003</v>
      </c>
      <c r="D1323" s="1">
        <v>43794</v>
      </c>
      <c r="E1323" t="str">
        <f>"201911203491"</f>
        <v>201911203491</v>
      </c>
      <c r="F1323" t="str">
        <f>"INDIGENT HEALTH"</f>
        <v>INDIGENT HEALTH</v>
      </c>
      <c r="G1323" s="2">
        <v>33.270000000000003</v>
      </c>
      <c r="H1323" t="str">
        <f>"INDIGENT HEALTH"</f>
        <v>INDIGENT HEALTH</v>
      </c>
    </row>
    <row r="1324" spans="1:8" x14ac:dyDescent="0.25">
      <c r="A1324" t="s">
        <v>353</v>
      </c>
      <c r="B1324">
        <v>129800</v>
      </c>
      <c r="C1324" s="2">
        <v>4843.29</v>
      </c>
      <c r="D1324" s="1">
        <v>43794</v>
      </c>
      <c r="E1324" t="str">
        <f>"1020191"</f>
        <v>1020191</v>
      </c>
      <c r="F1324" t="str">
        <f>"RX ASSISTANCE PROGRAM 10/31"</f>
        <v>RX ASSISTANCE PROGRAM 10/31</v>
      </c>
      <c r="G1324" s="2">
        <v>3333</v>
      </c>
      <c r="H1324" t="str">
        <f>"RX ASSISTANCE PROGRAM 10/31"</f>
        <v>RX ASSISTANCE PROGRAM 10/31</v>
      </c>
    </row>
    <row r="1325" spans="1:8" x14ac:dyDescent="0.25">
      <c r="E1325" t="str">
        <f>"201911203492"</f>
        <v>201911203492</v>
      </c>
      <c r="F1325" t="str">
        <f>"INDIGENT HEALTH"</f>
        <v>INDIGENT HEALTH</v>
      </c>
      <c r="G1325" s="2">
        <v>1510.29</v>
      </c>
      <c r="H1325" t="str">
        <f>"INDIGENT HEALTH"</f>
        <v>INDIGENT HEALTH</v>
      </c>
    </row>
    <row r="1326" spans="1:8" x14ac:dyDescent="0.25">
      <c r="E1326" t="str">
        <f>""</f>
        <v/>
      </c>
      <c r="F1326" t="str">
        <f>""</f>
        <v/>
      </c>
      <c r="H1326" t="str">
        <f>"INDIGENT HEALTH"</f>
        <v>INDIGENT HEALTH</v>
      </c>
    </row>
    <row r="1327" spans="1:8" x14ac:dyDescent="0.25">
      <c r="A1327" t="s">
        <v>354</v>
      </c>
      <c r="B1327">
        <v>84793</v>
      </c>
      <c r="C1327" s="2">
        <v>30</v>
      </c>
      <c r="D1327" s="1">
        <v>43781</v>
      </c>
      <c r="E1327" t="str">
        <f>"201911063049"</f>
        <v>201911063049</v>
      </c>
      <c r="F1327" t="str">
        <f>"RESTITUTION"</f>
        <v>RESTITUTION</v>
      </c>
      <c r="G1327" s="2">
        <v>30</v>
      </c>
      <c r="H1327" t="str">
        <f>"RESTITUTION"</f>
        <v>RESTITUTION</v>
      </c>
    </row>
    <row r="1328" spans="1:8" x14ac:dyDescent="0.25">
      <c r="A1328" t="s">
        <v>355</v>
      </c>
      <c r="B1328">
        <v>84794</v>
      </c>
      <c r="C1328" s="2">
        <v>41.98</v>
      </c>
      <c r="D1328" s="1">
        <v>43781</v>
      </c>
      <c r="E1328" t="str">
        <f>"3032-4"</f>
        <v>3032-4</v>
      </c>
      <c r="F1328" t="str">
        <f>"ACCT#4220-25556-9"</f>
        <v>ACCT#4220-25556-9</v>
      </c>
      <c r="G1328" s="2">
        <v>41.98</v>
      </c>
      <c r="H1328" t="str">
        <f>"ACCT#4220-25556-9"</f>
        <v>ACCT#4220-25556-9</v>
      </c>
    </row>
    <row r="1329" spans="1:8" x14ac:dyDescent="0.25">
      <c r="A1329" t="s">
        <v>356</v>
      </c>
      <c r="B1329">
        <v>84795</v>
      </c>
      <c r="C1329" s="2">
        <v>22500.33</v>
      </c>
      <c r="D1329" s="1">
        <v>43781</v>
      </c>
      <c r="E1329" t="str">
        <f>"201911063029"</f>
        <v>201911063029</v>
      </c>
      <c r="F1329" t="str">
        <f>"Microsoft EA True Up Year"</f>
        <v>Microsoft EA True Up Year</v>
      </c>
      <c r="G1329" s="2">
        <v>13018.88</v>
      </c>
      <c r="H1329" t="str">
        <f>" Part#: 269-12445"</f>
        <v xml:space="preserve"> Part#: 269-12445</v>
      </c>
    </row>
    <row r="1330" spans="1:8" x14ac:dyDescent="0.25">
      <c r="E1330" t="str">
        <f>""</f>
        <v/>
      </c>
      <c r="F1330" t="str">
        <f>""</f>
        <v/>
      </c>
      <c r="H1330" t="str">
        <f>"Part#: KV3-00356"</f>
        <v>Part#: KV3-00356</v>
      </c>
    </row>
    <row r="1331" spans="1:8" x14ac:dyDescent="0.25">
      <c r="E1331" t="str">
        <f>""</f>
        <v/>
      </c>
      <c r="F1331" t="str">
        <f>""</f>
        <v/>
      </c>
      <c r="H1331" t="str">
        <f>"Part#: W06-01066"</f>
        <v>Part#: W06-01066</v>
      </c>
    </row>
    <row r="1332" spans="1:8" x14ac:dyDescent="0.25">
      <c r="E1332" t="str">
        <f>"GB00345574"</f>
        <v>GB00345574</v>
      </c>
      <c r="F1332" t="str">
        <f>"Phone for Communications"</f>
        <v>Phone for Communications</v>
      </c>
      <c r="G1332" s="2">
        <v>223</v>
      </c>
      <c r="H1332" t="str">
        <f>"Part#: CP-8811-K9="</f>
        <v>Part#: CP-8811-K9=</v>
      </c>
    </row>
    <row r="1333" spans="1:8" x14ac:dyDescent="0.25">
      <c r="E1333" t="str">
        <f>"GB00345575"</f>
        <v>GB00345575</v>
      </c>
      <c r="F1333" t="str">
        <f>"Scanner for Treasurer's O"</f>
        <v>Scanner for Treasurer's O</v>
      </c>
      <c r="G1333" s="2">
        <v>910</v>
      </c>
      <c r="H1333" t="str">
        <f>"Part#: PA03670-B065"</f>
        <v>Part#: PA03670-B065</v>
      </c>
    </row>
    <row r="1334" spans="1:8" x14ac:dyDescent="0.25">
      <c r="E1334" t="str">
        <f>"GB00345750"</f>
        <v>GB00345750</v>
      </c>
      <c r="F1334" t="str">
        <f>"Cisco Phone"</f>
        <v>Cisco Phone</v>
      </c>
      <c r="G1334" s="2">
        <v>2676</v>
      </c>
      <c r="H1334" t="str">
        <f>"Part#: CP-8811-K9="</f>
        <v>Part#: CP-8811-K9=</v>
      </c>
    </row>
    <row r="1335" spans="1:8" x14ac:dyDescent="0.25">
      <c r="E1335" t="str">
        <f>""</f>
        <v/>
      </c>
      <c r="F1335" t="str">
        <f>""</f>
        <v/>
      </c>
      <c r="H1335" t="str">
        <f>"Part#: CP-8811-K9="</f>
        <v>Part#: CP-8811-K9=</v>
      </c>
    </row>
    <row r="1336" spans="1:8" x14ac:dyDescent="0.25">
      <c r="E1336" t="str">
        <f>"GB00346953"</f>
        <v>GB00346953</v>
      </c>
      <c r="F1336" t="str">
        <f>"Phone for Development Ser"</f>
        <v>Phone for Development Ser</v>
      </c>
      <c r="G1336" s="2">
        <v>223</v>
      </c>
      <c r="H1336" t="str">
        <f>"Part#: CP-8811-K9="</f>
        <v>Part#: CP-8811-K9=</v>
      </c>
    </row>
    <row r="1337" spans="1:8" x14ac:dyDescent="0.25">
      <c r="E1337" t="str">
        <f>"GB00346962"</f>
        <v>GB00346962</v>
      </c>
      <c r="F1337" t="str">
        <f>"Photoshop license for Kat"</f>
        <v>Photoshop license for Kat</v>
      </c>
      <c r="G1337" s="2">
        <v>101</v>
      </c>
      <c r="H1337" t="str">
        <f>"65291042BC01A12"</f>
        <v>65291042BC01A12</v>
      </c>
    </row>
    <row r="1338" spans="1:8" x14ac:dyDescent="0.25">
      <c r="E1338" t="str">
        <f>"GB00347628"</f>
        <v>GB00347628</v>
      </c>
      <c r="F1338" t="str">
        <f>"Tripp Lite Adapter"</f>
        <v>Tripp Lite Adapter</v>
      </c>
      <c r="G1338" s="2">
        <v>16.5</v>
      </c>
      <c r="H1338" t="str">
        <f>"Part#: U236-000-GBW"</f>
        <v>Part#: U236-000-GBW</v>
      </c>
    </row>
    <row r="1339" spans="1:8" x14ac:dyDescent="0.25">
      <c r="E1339" t="str">
        <f>"GB00347666"</f>
        <v>GB00347666</v>
      </c>
      <c r="F1339" t="str">
        <f>"VMWare Training for Kryst"</f>
        <v>VMWare Training for Kryst</v>
      </c>
      <c r="G1339" s="2">
        <v>5331.95</v>
      </c>
      <c r="H1339" t="str">
        <f>"Part#: EDU-CR-15"</f>
        <v>Part#: EDU-CR-15</v>
      </c>
    </row>
    <row r="1340" spans="1:8" x14ac:dyDescent="0.25">
      <c r="A1340" t="s">
        <v>356</v>
      </c>
      <c r="B1340">
        <v>129801</v>
      </c>
      <c r="C1340" s="2">
        <v>6691.95</v>
      </c>
      <c r="D1340" s="1">
        <v>43794</v>
      </c>
      <c r="E1340" t="str">
        <f>"GB00347990"</f>
        <v>GB00347990</v>
      </c>
      <c r="F1340" t="str">
        <f>"Manage Engine Professiona"</f>
        <v>Manage Engine Professiona</v>
      </c>
      <c r="G1340" s="2">
        <v>1315</v>
      </c>
      <c r="H1340" t="str">
        <f>"Part#: 67215.5S"</f>
        <v>Part#: 67215.5S</v>
      </c>
    </row>
    <row r="1341" spans="1:8" x14ac:dyDescent="0.25">
      <c r="E1341" t="str">
        <f>"GB00348036"</f>
        <v>GB00348036</v>
      </c>
      <c r="F1341" t="str">
        <f>"Quicken for DIstrict Cler"</f>
        <v>Quicken for DIstrict Cler</v>
      </c>
      <c r="G1341" s="2">
        <v>45</v>
      </c>
      <c r="H1341" t="str">
        <f>"Part#: 170282O"</f>
        <v>Part#: 170282O</v>
      </c>
    </row>
    <row r="1342" spans="1:8" x14ac:dyDescent="0.25">
      <c r="E1342" t="str">
        <f>"GB00348138"</f>
        <v>GB00348138</v>
      </c>
      <c r="F1342" t="str">
        <f>"VMWare Training for Derek"</f>
        <v>VMWare Training for Derek</v>
      </c>
      <c r="G1342" s="2">
        <v>5331.95</v>
      </c>
      <c r="H1342" t="str">
        <f>"Part#: EDU-CR-15"</f>
        <v>Part#: EDU-CR-15</v>
      </c>
    </row>
    <row r="1343" spans="1:8" x14ac:dyDescent="0.25">
      <c r="A1343" t="s">
        <v>357</v>
      </c>
      <c r="B1343">
        <v>84796</v>
      </c>
      <c r="C1343" s="2">
        <v>502.52</v>
      </c>
      <c r="D1343" s="1">
        <v>43781</v>
      </c>
      <c r="E1343" t="str">
        <f>"8128499739"</f>
        <v>8128499739</v>
      </c>
      <c r="F1343" t="str">
        <f>"INV 8128499739"</f>
        <v>INV 8128499739</v>
      </c>
      <c r="G1343" s="2">
        <v>158.34</v>
      </c>
      <c r="H1343" t="str">
        <f>"INV 8128499739"</f>
        <v>INV 8128499739</v>
      </c>
    </row>
    <row r="1344" spans="1:8" x14ac:dyDescent="0.25">
      <c r="E1344" t="str">
        <f>""</f>
        <v/>
      </c>
      <c r="F1344" t="str">
        <f>""</f>
        <v/>
      </c>
      <c r="H1344" t="str">
        <f>"INV 8128499739"</f>
        <v>INV 8128499739</v>
      </c>
    </row>
    <row r="1345" spans="1:8" x14ac:dyDescent="0.25">
      <c r="E1345" t="str">
        <f>"81285000340"</f>
        <v>81285000340</v>
      </c>
      <c r="F1345" t="str">
        <f>"CUST#16155373/PURCHASING DEPT"</f>
        <v>CUST#16155373/PURCHASING DEPT</v>
      </c>
      <c r="G1345" s="2">
        <v>122.89</v>
      </c>
      <c r="H1345" t="str">
        <f t="shared" ref="H1345:H1350" si="22">"CUST#16155373/PURCHASING DEPT"</f>
        <v>CUST#16155373/PURCHASING DEPT</v>
      </c>
    </row>
    <row r="1346" spans="1:8" x14ac:dyDescent="0.25">
      <c r="E1346" t="str">
        <f>""</f>
        <v/>
      </c>
      <c r="F1346" t="str">
        <f>""</f>
        <v/>
      </c>
      <c r="H1346" t="str">
        <f t="shared" si="22"/>
        <v>CUST#16155373/PURCHASING DEPT</v>
      </c>
    </row>
    <row r="1347" spans="1:8" x14ac:dyDescent="0.25">
      <c r="E1347" t="str">
        <f>""</f>
        <v/>
      </c>
      <c r="F1347" t="str">
        <f>""</f>
        <v/>
      </c>
      <c r="H1347" t="str">
        <f t="shared" si="22"/>
        <v>CUST#16155373/PURCHASING DEPT</v>
      </c>
    </row>
    <row r="1348" spans="1:8" x14ac:dyDescent="0.25">
      <c r="E1348" t="str">
        <f>""</f>
        <v/>
      </c>
      <c r="F1348" t="str">
        <f>""</f>
        <v/>
      </c>
      <c r="H1348" t="str">
        <f t="shared" si="22"/>
        <v>CUST#16155373/PURCHASING DEPT</v>
      </c>
    </row>
    <row r="1349" spans="1:8" x14ac:dyDescent="0.25">
      <c r="E1349" t="str">
        <f>""</f>
        <v/>
      </c>
      <c r="F1349" t="str">
        <f>""</f>
        <v/>
      </c>
      <c r="H1349" t="str">
        <f t="shared" si="22"/>
        <v>CUST#16155373/PURCHASING DEPT</v>
      </c>
    </row>
    <row r="1350" spans="1:8" x14ac:dyDescent="0.25">
      <c r="E1350" t="str">
        <f>""</f>
        <v/>
      </c>
      <c r="F1350" t="str">
        <f>""</f>
        <v/>
      </c>
      <c r="H1350" t="str">
        <f t="shared" si="22"/>
        <v>CUST#16155373/PURCHASING DEPT</v>
      </c>
    </row>
    <row r="1351" spans="1:8" x14ac:dyDescent="0.25">
      <c r="E1351" t="str">
        <f>"8128500383"</f>
        <v>8128500383</v>
      </c>
      <c r="F1351" t="str">
        <f>"CUST#16156071"</f>
        <v>CUST#16156071</v>
      </c>
      <c r="G1351" s="2">
        <v>83.07</v>
      </c>
      <c r="H1351" t="str">
        <f>"CUST#16156071"</f>
        <v>CUST#16156071</v>
      </c>
    </row>
    <row r="1352" spans="1:8" x14ac:dyDescent="0.25">
      <c r="E1352" t="str">
        <f>"8128500464"</f>
        <v>8128500464</v>
      </c>
      <c r="F1352" t="str">
        <f>"CUST#16158670/JP4"</f>
        <v>CUST#16158670/JP4</v>
      </c>
      <c r="G1352" s="2">
        <v>66.84</v>
      </c>
      <c r="H1352" t="str">
        <f>"CUST#16158670/JP4"</f>
        <v>CUST#16158670/JP4</v>
      </c>
    </row>
    <row r="1353" spans="1:8" x14ac:dyDescent="0.25">
      <c r="E1353" t="str">
        <f>"8128500596"</f>
        <v>8128500596</v>
      </c>
      <c r="F1353" t="str">
        <f>"CUST#16160327/OEM"</f>
        <v>CUST#16160327/OEM</v>
      </c>
      <c r="G1353" s="2">
        <v>71.38</v>
      </c>
      <c r="H1353" t="str">
        <f>"CUST#16160327/OEM"</f>
        <v>CUST#16160327/OEM</v>
      </c>
    </row>
    <row r="1354" spans="1:8" x14ac:dyDescent="0.25">
      <c r="E1354" t="str">
        <f>""</f>
        <v/>
      </c>
      <c r="F1354" t="str">
        <f>""</f>
        <v/>
      </c>
      <c r="H1354" t="str">
        <f>"CUST#16160327/OEM"</f>
        <v>CUST#16160327/OEM</v>
      </c>
    </row>
    <row r="1355" spans="1:8" x14ac:dyDescent="0.25">
      <c r="A1355" t="s">
        <v>358</v>
      </c>
      <c r="B1355">
        <v>129802</v>
      </c>
      <c r="C1355" s="2">
        <v>36.24</v>
      </c>
      <c r="D1355" s="1">
        <v>43794</v>
      </c>
      <c r="E1355" t="str">
        <f>"201911203493"</f>
        <v>201911203493</v>
      </c>
      <c r="F1355" t="str">
        <f>"INDIGENT HEALTH"</f>
        <v>INDIGENT HEALTH</v>
      </c>
      <c r="G1355" s="2">
        <v>36.24</v>
      </c>
      <c r="H1355" t="str">
        <f>"INDIGENT HEALTH"</f>
        <v>INDIGENT HEALTH</v>
      </c>
    </row>
    <row r="1356" spans="1:8" x14ac:dyDescent="0.25">
      <c r="A1356" t="s">
        <v>359</v>
      </c>
      <c r="B1356">
        <v>1768</v>
      </c>
      <c r="C1356" s="2">
        <v>235373.31</v>
      </c>
      <c r="D1356" s="1">
        <v>43795</v>
      </c>
      <c r="E1356" t="str">
        <f>"201911183307"</f>
        <v>201911183307</v>
      </c>
      <c r="F1356" t="str">
        <f>"Trade in Vehicles"</f>
        <v>Trade in Vehicles</v>
      </c>
      <c r="G1356" s="2">
        <v>235373.31</v>
      </c>
      <c r="H1356" t="str">
        <f>"2019 chevy tahoe"</f>
        <v>2019 chevy tahoe</v>
      </c>
    </row>
    <row r="1357" spans="1:8" x14ac:dyDescent="0.25">
      <c r="E1357" t="str">
        <f>""</f>
        <v/>
      </c>
      <c r="F1357" t="str">
        <f>""</f>
        <v/>
      </c>
      <c r="H1357" t="str">
        <f>"trade in ccredit"</f>
        <v>trade in ccredit</v>
      </c>
    </row>
    <row r="1358" spans="1:8" x14ac:dyDescent="0.25">
      <c r="E1358" t="str">
        <f>""</f>
        <v/>
      </c>
      <c r="F1358" t="str">
        <f>""</f>
        <v/>
      </c>
      <c r="H1358" t="str">
        <f>"GoodBuy Fee"</f>
        <v>GoodBuy Fee</v>
      </c>
    </row>
    <row r="1359" spans="1:8" x14ac:dyDescent="0.25">
      <c r="A1359" t="s">
        <v>360</v>
      </c>
      <c r="B1359">
        <v>129803</v>
      </c>
      <c r="C1359" s="2">
        <v>320</v>
      </c>
      <c r="D1359" s="1">
        <v>43794</v>
      </c>
      <c r="E1359" t="str">
        <f>"201911143268"</f>
        <v>201911143268</v>
      </c>
      <c r="F1359" t="str">
        <f>"PUMPED AND CLEANED SEPTIC SYST"</f>
        <v>PUMPED AND CLEANED SEPTIC SYST</v>
      </c>
      <c r="G1359" s="2">
        <v>320</v>
      </c>
      <c r="H1359" t="str">
        <f>"PUMPED AND CLEANED SEPTIC SYST"</f>
        <v>PUMPED AND CLEANED SEPTIC SYST</v>
      </c>
    </row>
    <row r="1360" spans="1:8" x14ac:dyDescent="0.25">
      <c r="A1360" t="s">
        <v>361</v>
      </c>
      <c r="B1360">
        <v>84797</v>
      </c>
      <c r="C1360" s="2">
        <v>89.02</v>
      </c>
      <c r="D1360" s="1">
        <v>43781</v>
      </c>
      <c r="E1360" t="str">
        <f>"4584*146*1/*2"</f>
        <v>4584*146*1/*2</v>
      </c>
      <c r="F1360" t="str">
        <f>"JAIL MEDICAL"</f>
        <v>JAIL MEDICAL</v>
      </c>
      <c r="G1360" s="2">
        <v>89.02</v>
      </c>
      <c r="H1360" t="str">
        <f>"JAIL MEDICAL"</f>
        <v>JAIL MEDICAL</v>
      </c>
    </row>
    <row r="1361" spans="1:8" x14ac:dyDescent="0.25">
      <c r="A1361" t="s">
        <v>361</v>
      </c>
      <c r="B1361">
        <v>129804</v>
      </c>
      <c r="C1361" s="2">
        <v>132.58000000000001</v>
      </c>
      <c r="D1361" s="1">
        <v>43794</v>
      </c>
      <c r="E1361" t="str">
        <f>"201911203494"</f>
        <v>201911203494</v>
      </c>
      <c r="F1361" t="str">
        <f>"INDIGENT HEALTH"</f>
        <v>INDIGENT HEALTH</v>
      </c>
      <c r="G1361" s="2">
        <v>132.58000000000001</v>
      </c>
      <c r="H1361" t="str">
        <f>"INDIGENT HEALTH"</f>
        <v>INDIGENT HEALTH</v>
      </c>
    </row>
    <row r="1362" spans="1:8" x14ac:dyDescent="0.25">
      <c r="A1362" t="s">
        <v>362</v>
      </c>
      <c r="B1362">
        <v>84798</v>
      </c>
      <c r="C1362" s="2">
        <v>1615.2</v>
      </c>
      <c r="D1362" s="1">
        <v>43781</v>
      </c>
      <c r="E1362" t="str">
        <f>"443273"</f>
        <v>443273</v>
      </c>
      <c r="F1362" t="str">
        <f>"STATEMENT#31833/PCT#2"</f>
        <v>STATEMENT#31833/PCT#2</v>
      </c>
      <c r="G1362" s="2">
        <v>30.95</v>
      </c>
      <c r="H1362" t="str">
        <f>"STATEMENT#31833/PCT#2"</f>
        <v>STATEMENT#31833/PCT#2</v>
      </c>
    </row>
    <row r="1363" spans="1:8" x14ac:dyDescent="0.25">
      <c r="E1363" t="str">
        <f>"443501"</f>
        <v>443501</v>
      </c>
      <c r="F1363" t="str">
        <f>"STATEMENT#31832/PCT#1"</f>
        <v>STATEMENT#31832/PCT#1</v>
      </c>
      <c r="G1363" s="2">
        <v>1584.25</v>
      </c>
      <c r="H1363" t="str">
        <f>"STATEMENT#31832/PCT#1"</f>
        <v>STATEMENT#31832/PCT#1</v>
      </c>
    </row>
    <row r="1364" spans="1:8" x14ac:dyDescent="0.25">
      <c r="A1364" t="s">
        <v>363</v>
      </c>
      <c r="B1364">
        <v>84799</v>
      </c>
      <c r="C1364" s="2">
        <v>664.19</v>
      </c>
      <c r="D1364" s="1">
        <v>43781</v>
      </c>
      <c r="E1364" t="str">
        <f>"201911073056"</f>
        <v>201911073056</v>
      </c>
      <c r="F1364" t="str">
        <f>"ACCT#260/PCT#2"</f>
        <v>ACCT#260/PCT#2</v>
      </c>
      <c r="G1364" s="2">
        <v>664.19</v>
      </c>
      <c r="H1364" t="str">
        <f>"ACCT#260/PCT#2"</f>
        <v>ACCT#260/PCT#2</v>
      </c>
    </row>
    <row r="1365" spans="1:8" x14ac:dyDescent="0.25">
      <c r="A1365" t="s">
        <v>364</v>
      </c>
      <c r="B1365">
        <v>84800</v>
      </c>
      <c r="C1365" s="2">
        <v>2500</v>
      </c>
      <c r="D1365" s="1">
        <v>43781</v>
      </c>
      <c r="E1365" t="str">
        <f>"201910302804"</f>
        <v>201910302804</v>
      </c>
      <c r="F1365" t="str">
        <f>"FY 2020 FUNDS"</f>
        <v>FY 2020 FUNDS</v>
      </c>
      <c r="G1365" s="2">
        <v>2500</v>
      </c>
      <c r="H1365" t="str">
        <f>"FY 2020 FUNDS"</f>
        <v>FY 2020 FUNDS</v>
      </c>
    </row>
    <row r="1366" spans="1:8" x14ac:dyDescent="0.25">
      <c r="A1366" t="s">
        <v>365</v>
      </c>
      <c r="B1366">
        <v>1789</v>
      </c>
      <c r="C1366" s="2">
        <v>1900</v>
      </c>
      <c r="D1366" s="1">
        <v>43795</v>
      </c>
      <c r="E1366" t="str">
        <f>"0003"</f>
        <v>0003</v>
      </c>
      <c r="F1366" t="str">
        <f>"INV 0003"</f>
        <v>INV 0003</v>
      </c>
      <c r="G1366" s="2">
        <v>1900</v>
      </c>
      <c r="H1366" t="str">
        <f>"INV 0003"</f>
        <v>INV 0003</v>
      </c>
    </row>
    <row r="1367" spans="1:8" x14ac:dyDescent="0.25">
      <c r="A1367" t="s">
        <v>366</v>
      </c>
      <c r="B1367">
        <v>129805</v>
      </c>
      <c r="C1367" s="2">
        <v>265.97000000000003</v>
      </c>
      <c r="D1367" s="1">
        <v>43794</v>
      </c>
      <c r="E1367" t="str">
        <f>"201911203495"</f>
        <v>201911203495</v>
      </c>
      <c r="F1367" t="str">
        <f>"INDIGENT HEALTH"</f>
        <v>INDIGENT HEALTH</v>
      </c>
      <c r="G1367" s="2">
        <v>265.97000000000003</v>
      </c>
      <c r="H1367" t="str">
        <f>"INDIGENT HEALTH"</f>
        <v>INDIGENT HEALTH</v>
      </c>
    </row>
    <row r="1368" spans="1:8" x14ac:dyDescent="0.25">
      <c r="A1368" t="s">
        <v>367</v>
      </c>
      <c r="B1368">
        <v>84801</v>
      </c>
      <c r="C1368" s="2">
        <v>2854.13</v>
      </c>
      <c r="D1368" s="1">
        <v>43781</v>
      </c>
      <c r="E1368" t="str">
        <f>"465000026614"</f>
        <v>465000026614</v>
      </c>
      <c r="F1368" t="str">
        <f>"CUST#52157/PCT#4"</f>
        <v>CUST#52157/PCT#4</v>
      </c>
      <c r="G1368" s="2">
        <v>618.63</v>
      </c>
      <c r="H1368" t="str">
        <f>"CUST#52157/PCT#4"</f>
        <v>CUST#52157/PCT#4</v>
      </c>
    </row>
    <row r="1369" spans="1:8" x14ac:dyDescent="0.25">
      <c r="E1369" t="str">
        <f>"4650027820"</f>
        <v>4650027820</v>
      </c>
      <c r="F1369" t="str">
        <f>"CUST#52157/PCT#1"</f>
        <v>CUST#52157/PCT#1</v>
      </c>
      <c r="G1369" s="2">
        <v>2235.5</v>
      </c>
      <c r="H1369" t="str">
        <f>"CUST#52157/PCT#1"</f>
        <v>CUST#52157/PCT#1</v>
      </c>
    </row>
    <row r="1370" spans="1:8" x14ac:dyDescent="0.25">
      <c r="A1370" t="s">
        <v>367</v>
      </c>
      <c r="B1370">
        <v>129806</v>
      </c>
      <c r="C1370" s="2">
        <v>4241.2</v>
      </c>
      <c r="D1370" s="1">
        <v>43794</v>
      </c>
      <c r="E1370" t="str">
        <f>"4650028077"</f>
        <v>4650028077</v>
      </c>
      <c r="F1370" t="str">
        <f>"CUST#52157/PCT#3"</f>
        <v>CUST#52157/PCT#3</v>
      </c>
      <c r="G1370" s="2">
        <v>1920.5</v>
      </c>
      <c r="H1370" t="str">
        <f>"CUST#52157/PCT#3"</f>
        <v>CUST#52157/PCT#3</v>
      </c>
    </row>
    <row r="1371" spans="1:8" x14ac:dyDescent="0.25">
      <c r="E1371" t="str">
        <f>"4650030070"</f>
        <v>4650030070</v>
      </c>
      <c r="F1371" t="str">
        <f>"CUST#52157/PCT#3"</f>
        <v>CUST#52157/PCT#3</v>
      </c>
      <c r="G1371" s="2">
        <v>2320.6999999999998</v>
      </c>
      <c r="H1371" t="str">
        <f>"CUST#52157/PCT#3"</f>
        <v>CUST#52157/PCT#3</v>
      </c>
    </row>
    <row r="1372" spans="1:8" x14ac:dyDescent="0.25">
      <c r="A1372" t="s">
        <v>368</v>
      </c>
      <c r="B1372">
        <v>129807</v>
      </c>
      <c r="C1372" s="2">
        <v>49.49</v>
      </c>
      <c r="D1372" s="1">
        <v>43794</v>
      </c>
      <c r="E1372" t="str">
        <f>"9604456-110719"</f>
        <v>9604456-110719</v>
      </c>
      <c r="F1372" t="str">
        <f>"ACCT#46668439604456/JP#2"</f>
        <v>ACCT#46668439604456/JP#2</v>
      </c>
      <c r="G1372" s="2">
        <v>49.49</v>
      </c>
      <c r="H1372" t="str">
        <f>"ACCT#46668439604456/JP#2"</f>
        <v>ACCT#46668439604456/JP#2</v>
      </c>
    </row>
    <row r="1373" spans="1:8" x14ac:dyDescent="0.25">
      <c r="A1373" t="s">
        <v>370</v>
      </c>
      <c r="B1373">
        <v>129808</v>
      </c>
      <c r="C1373" s="2">
        <v>125.92</v>
      </c>
      <c r="D1373" s="1">
        <v>43794</v>
      </c>
      <c r="E1373" t="str">
        <f>"S1026045"</f>
        <v>S1026045</v>
      </c>
      <c r="F1373" t="str">
        <f>"PRAZIQUANTEL/ANIMAL SHELTER"</f>
        <v>PRAZIQUANTEL/ANIMAL SHELTER</v>
      </c>
      <c r="G1373" s="2">
        <v>125.92</v>
      </c>
      <c r="H1373" t="str">
        <f>"PRAZIQUANTEL/ANIMAL SHELTER"</f>
        <v>PRAZIQUANTEL/ANIMAL SHELTER</v>
      </c>
    </row>
    <row r="1374" spans="1:8" x14ac:dyDescent="0.25">
      <c r="A1374" t="s">
        <v>371</v>
      </c>
      <c r="B1374">
        <v>1817</v>
      </c>
      <c r="C1374" s="2">
        <v>1090</v>
      </c>
      <c r="D1374" s="1">
        <v>43795</v>
      </c>
      <c r="E1374" t="str">
        <f>"26123"</f>
        <v>26123</v>
      </c>
      <c r="F1374" t="str">
        <f>"FORD F250/PCT#1"</f>
        <v>FORD F250/PCT#1</v>
      </c>
      <c r="G1374" s="2">
        <v>1090</v>
      </c>
      <c r="H1374" t="str">
        <f>"FORD F250/PCT#1"</f>
        <v>FORD F250/PCT#1</v>
      </c>
    </row>
    <row r="1375" spans="1:8" x14ac:dyDescent="0.25">
      <c r="A1375" t="s">
        <v>372</v>
      </c>
      <c r="B1375">
        <v>129809</v>
      </c>
      <c r="C1375" s="2">
        <v>1523.52</v>
      </c>
      <c r="D1375" s="1">
        <v>43794</v>
      </c>
      <c r="E1375" t="str">
        <f>"201911203497"</f>
        <v>201911203497</v>
      </c>
      <c r="F1375" t="str">
        <f>"INDIGENT HEALTH"</f>
        <v>INDIGENT HEALTH</v>
      </c>
      <c r="G1375" s="2">
        <v>1523.52</v>
      </c>
      <c r="H1375" t="str">
        <f>"INDIGENT HEALTH"</f>
        <v>INDIGENT HEALTH</v>
      </c>
    </row>
    <row r="1376" spans="1:8" x14ac:dyDescent="0.25">
      <c r="A1376" t="s">
        <v>373</v>
      </c>
      <c r="B1376">
        <v>129810</v>
      </c>
      <c r="C1376" s="2">
        <v>506.66</v>
      </c>
      <c r="D1376" s="1">
        <v>43794</v>
      </c>
      <c r="E1376" t="str">
        <f>"201911203496"</f>
        <v>201911203496</v>
      </c>
      <c r="F1376" t="str">
        <f>"INDIGENT HEALTH"</f>
        <v>INDIGENT HEALTH</v>
      </c>
      <c r="G1376" s="2">
        <v>506.66</v>
      </c>
      <c r="H1376" t="str">
        <f>"INDIGENT HEALTH"</f>
        <v>INDIGENT HEALTH</v>
      </c>
    </row>
    <row r="1377" spans="1:8" x14ac:dyDescent="0.25">
      <c r="E1377" t="str">
        <f>""</f>
        <v/>
      </c>
      <c r="F1377" t="str">
        <f>""</f>
        <v/>
      </c>
      <c r="H1377" t="str">
        <f>"INDIGENT HEALTH"</f>
        <v>INDIGENT HEALTH</v>
      </c>
    </row>
    <row r="1378" spans="1:8" x14ac:dyDescent="0.25">
      <c r="A1378" t="s">
        <v>374</v>
      </c>
      <c r="B1378">
        <v>129811</v>
      </c>
      <c r="C1378" s="2">
        <v>110.12</v>
      </c>
      <c r="D1378" s="1">
        <v>43794</v>
      </c>
      <c r="E1378" t="str">
        <f>"201911203498"</f>
        <v>201911203498</v>
      </c>
      <c r="F1378" t="str">
        <f>"INDIGENT HEALTH"</f>
        <v>INDIGENT HEALTH</v>
      </c>
      <c r="G1378" s="2">
        <v>110.12</v>
      </c>
      <c r="H1378" t="str">
        <f>"INDIGENT HEALTH"</f>
        <v>INDIGENT HEALTH</v>
      </c>
    </row>
    <row r="1379" spans="1:8" x14ac:dyDescent="0.25">
      <c r="A1379" t="s">
        <v>369</v>
      </c>
      <c r="B1379">
        <v>129812</v>
      </c>
      <c r="C1379" s="2">
        <v>125.28</v>
      </c>
      <c r="D1379" s="1">
        <v>43794</v>
      </c>
      <c r="E1379" t="str">
        <f>"11969495 102519"</f>
        <v>11969495 102519</v>
      </c>
      <c r="F1379" t="str">
        <f>"ACCT#556850411969495/DA'S OFF"</f>
        <v>ACCT#556850411969495/DA'S OFF</v>
      </c>
      <c r="G1379" s="2">
        <v>125.28</v>
      </c>
      <c r="H1379" t="str">
        <f>"ACCT#556850411969495/DA'S OFF"</f>
        <v>ACCT#556850411969495/DA'S OFF</v>
      </c>
    </row>
    <row r="1380" spans="1:8" x14ac:dyDescent="0.25">
      <c r="A1380" t="s">
        <v>375</v>
      </c>
      <c r="B1380">
        <v>84802</v>
      </c>
      <c r="C1380" s="2">
        <v>2046.41</v>
      </c>
      <c r="D1380" s="1">
        <v>43781</v>
      </c>
      <c r="E1380" t="str">
        <f>"201911063028"</f>
        <v>201911063028</v>
      </c>
      <c r="F1380" t="str">
        <f>"Sum inv# 8056103249"</f>
        <v>Sum inv# 8056103249</v>
      </c>
      <c r="G1380" s="2">
        <v>1743.99</v>
      </c>
      <c r="H1380" t="str">
        <f>"inv# 3428079051"</f>
        <v>inv# 3428079051</v>
      </c>
    </row>
    <row r="1381" spans="1:8" x14ac:dyDescent="0.25">
      <c r="E1381" t="str">
        <f>""</f>
        <v/>
      </c>
      <c r="F1381" t="str">
        <f>""</f>
        <v/>
      </c>
      <c r="H1381" t="str">
        <f>"inv# 3428079048"</f>
        <v>inv# 3428079048</v>
      </c>
    </row>
    <row r="1382" spans="1:8" x14ac:dyDescent="0.25">
      <c r="E1382" t="str">
        <f>""</f>
        <v/>
      </c>
      <c r="F1382" t="str">
        <f>""</f>
        <v/>
      </c>
      <c r="H1382" t="str">
        <f>"inv# 3428079046"</f>
        <v>inv# 3428079046</v>
      </c>
    </row>
    <row r="1383" spans="1:8" x14ac:dyDescent="0.25">
      <c r="E1383" t="str">
        <f>""</f>
        <v/>
      </c>
      <c r="F1383" t="str">
        <f>""</f>
        <v/>
      </c>
      <c r="H1383" t="str">
        <f>"inv# 3428079054"</f>
        <v>inv# 3428079054</v>
      </c>
    </row>
    <row r="1384" spans="1:8" x14ac:dyDescent="0.25">
      <c r="E1384" t="str">
        <f>""</f>
        <v/>
      </c>
      <c r="F1384" t="str">
        <f>""</f>
        <v/>
      </c>
      <c r="H1384" t="str">
        <f>"inv# 3428079056"</f>
        <v>inv# 3428079056</v>
      </c>
    </row>
    <row r="1385" spans="1:8" x14ac:dyDescent="0.25">
      <c r="E1385" t="str">
        <f>""</f>
        <v/>
      </c>
      <c r="F1385" t="str">
        <f>""</f>
        <v/>
      </c>
      <c r="H1385" t="str">
        <f>"inv# 3428079052"</f>
        <v>inv# 3428079052</v>
      </c>
    </row>
    <row r="1386" spans="1:8" x14ac:dyDescent="0.25">
      <c r="E1386" t="str">
        <f>""</f>
        <v/>
      </c>
      <c r="F1386" t="str">
        <f>""</f>
        <v/>
      </c>
      <c r="H1386" t="str">
        <f>"inv# 3428079053"</f>
        <v>inv# 3428079053</v>
      </c>
    </row>
    <row r="1387" spans="1:8" x14ac:dyDescent="0.25">
      <c r="E1387" t="str">
        <f>""</f>
        <v/>
      </c>
      <c r="F1387" t="str">
        <f>""</f>
        <v/>
      </c>
      <c r="H1387" t="str">
        <f>"inv# 3428079047"</f>
        <v>inv# 3428079047</v>
      </c>
    </row>
    <row r="1388" spans="1:8" x14ac:dyDescent="0.25">
      <c r="E1388" t="str">
        <f>"8056103249"</f>
        <v>8056103249</v>
      </c>
      <c r="F1388" t="str">
        <f>"Sum inv# 8056103249"</f>
        <v>Sum inv# 8056103249</v>
      </c>
      <c r="G1388" s="2">
        <v>302.42</v>
      </c>
      <c r="H1388" t="str">
        <f>"inv# 3428079049"</f>
        <v>inv# 3428079049</v>
      </c>
    </row>
    <row r="1389" spans="1:8" x14ac:dyDescent="0.25">
      <c r="E1389" t="str">
        <f>""</f>
        <v/>
      </c>
      <c r="F1389" t="str">
        <f>""</f>
        <v/>
      </c>
      <c r="H1389" t="str">
        <f>"inv# 3428079057"</f>
        <v>inv# 3428079057</v>
      </c>
    </row>
    <row r="1390" spans="1:8" x14ac:dyDescent="0.25">
      <c r="E1390" t="str">
        <f>""</f>
        <v/>
      </c>
      <c r="F1390" t="str">
        <f>""</f>
        <v/>
      </c>
      <c r="H1390" t="str">
        <f>"inv# 3428079058"</f>
        <v>inv# 3428079058</v>
      </c>
    </row>
    <row r="1391" spans="1:8" x14ac:dyDescent="0.25">
      <c r="A1391" t="s">
        <v>375</v>
      </c>
      <c r="B1391">
        <v>129813</v>
      </c>
      <c r="C1391" s="2">
        <v>4369.58</v>
      </c>
      <c r="D1391" s="1">
        <v>43794</v>
      </c>
      <c r="E1391" t="str">
        <f>"201911213508"</f>
        <v>201911213508</v>
      </c>
      <c r="F1391" t="str">
        <f>"sum inv# 8056288987"</f>
        <v>sum inv# 8056288987</v>
      </c>
      <c r="G1391" s="2">
        <v>4369.58</v>
      </c>
      <c r="H1391" t="str">
        <f>"inv# 3429768706"</f>
        <v>inv# 3429768706</v>
      </c>
    </row>
    <row r="1392" spans="1:8" x14ac:dyDescent="0.25">
      <c r="E1392" t="str">
        <f>""</f>
        <v/>
      </c>
      <c r="F1392" t="str">
        <f>""</f>
        <v/>
      </c>
      <c r="H1392" t="str">
        <f>"inv# 3429768707"</f>
        <v>inv# 3429768707</v>
      </c>
    </row>
    <row r="1393" spans="5:8" x14ac:dyDescent="0.25">
      <c r="E1393" t="str">
        <f>""</f>
        <v/>
      </c>
      <c r="F1393" t="str">
        <f>""</f>
        <v/>
      </c>
      <c r="H1393" t="str">
        <f>"inv# 3429768701"</f>
        <v>inv# 3429768701</v>
      </c>
    </row>
    <row r="1394" spans="5:8" x14ac:dyDescent="0.25">
      <c r="E1394" t="str">
        <f>""</f>
        <v/>
      </c>
      <c r="F1394" t="str">
        <f>""</f>
        <v/>
      </c>
      <c r="H1394" t="str">
        <f>"inv# 3429768709"</f>
        <v>inv# 3429768709</v>
      </c>
    </row>
    <row r="1395" spans="5:8" x14ac:dyDescent="0.25">
      <c r="E1395" t="str">
        <f>""</f>
        <v/>
      </c>
      <c r="F1395" t="str">
        <f>""</f>
        <v/>
      </c>
      <c r="H1395" t="str">
        <f>"inv# 3429768710"</f>
        <v>inv# 3429768710</v>
      </c>
    </row>
    <row r="1396" spans="5:8" x14ac:dyDescent="0.25">
      <c r="E1396" t="str">
        <f>""</f>
        <v/>
      </c>
      <c r="F1396" t="str">
        <f>""</f>
        <v/>
      </c>
      <c r="H1396" t="str">
        <f>"inv# 3429768705"</f>
        <v>inv# 3429768705</v>
      </c>
    </row>
    <row r="1397" spans="5:8" x14ac:dyDescent="0.25">
      <c r="E1397" t="str">
        <f>""</f>
        <v/>
      </c>
      <c r="F1397" t="str">
        <f>""</f>
        <v/>
      </c>
      <c r="H1397" t="str">
        <f>"inv# 3429768697"</f>
        <v>inv# 3429768697</v>
      </c>
    </row>
    <row r="1398" spans="5:8" x14ac:dyDescent="0.25">
      <c r="E1398" t="str">
        <f>""</f>
        <v/>
      </c>
      <c r="F1398" t="str">
        <f>""</f>
        <v/>
      </c>
      <c r="H1398" t="str">
        <f>"inv# 3429768711"</f>
        <v>inv# 3429768711</v>
      </c>
    </row>
    <row r="1399" spans="5:8" x14ac:dyDescent="0.25">
      <c r="E1399" t="str">
        <f>""</f>
        <v/>
      </c>
      <c r="F1399" t="str">
        <f>""</f>
        <v/>
      </c>
      <c r="H1399" t="str">
        <f>"inv# 3429768712"</f>
        <v>inv# 3429768712</v>
      </c>
    </row>
    <row r="1400" spans="5:8" x14ac:dyDescent="0.25">
      <c r="E1400" t="str">
        <f>""</f>
        <v/>
      </c>
      <c r="F1400" t="str">
        <f>""</f>
        <v/>
      </c>
      <c r="H1400" t="str">
        <f>"inv# 3429768713"</f>
        <v>inv# 3429768713</v>
      </c>
    </row>
    <row r="1401" spans="5:8" x14ac:dyDescent="0.25">
      <c r="E1401" t="str">
        <f>""</f>
        <v/>
      </c>
      <c r="F1401" t="str">
        <f>""</f>
        <v/>
      </c>
      <c r="H1401" t="str">
        <f>"inv# 3429768714"</f>
        <v>inv# 3429768714</v>
      </c>
    </row>
    <row r="1402" spans="5:8" x14ac:dyDescent="0.25">
      <c r="E1402" t="str">
        <f>""</f>
        <v/>
      </c>
      <c r="F1402" t="str">
        <f>""</f>
        <v/>
      </c>
      <c r="H1402" t="str">
        <f>"inv# 3429768718"</f>
        <v>inv# 3429768718</v>
      </c>
    </row>
    <row r="1403" spans="5:8" x14ac:dyDescent="0.25">
      <c r="E1403" t="str">
        <f>""</f>
        <v/>
      </c>
      <c r="F1403" t="str">
        <f>""</f>
        <v/>
      </c>
      <c r="H1403" t="str">
        <f>"inv# 3429768717"</f>
        <v>inv# 3429768717</v>
      </c>
    </row>
    <row r="1404" spans="5:8" x14ac:dyDescent="0.25">
      <c r="E1404" t="str">
        <f>""</f>
        <v/>
      </c>
      <c r="F1404" t="str">
        <f>""</f>
        <v/>
      </c>
      <c r="H1404" t="str">
        <f>"inv# 3429768719"</f>
        <v>inv# 3429768719</v>
      </c>
    </row>
    <row r="1405" spans="5:8" x14ac:dyDescent="0.25">
      <c r="E1405" t="str">
        <f>""</f>
        <v/>
      </c>
      <c r="F1405" t="str">
        <f>""</f>
        <v/>
      </c>
      <c r="H1405" t="str">
        <f>"inv# 3429768720"</f>
        <v>inv# 3429768720</v>
      </c>
    </row>
    <row r="1406" spans="5:8" x14ac:dyDescent="0.25">
      <c r="E1406" t="str">
        <f>""</f>
        <v/>
      </c>
      <c r="F1406" t="str">
        <f>""</f>
        <v/>
      </c>
      <c r="H1406" t="str">
        <f>"inv# 3429768698"</f>
        <v>inv# 3429768698</v>
      </c>
    </row>
    <row r="1407" spans="5:8" x14ac:dyDescent="0.25">
      <c r="E1407" t="str">
        <f>""</f>
        <v/>
      </c>
      <c r="F1407" t="str">
        <f>""</f>
        <v/>
      </c>
      <c r="H1407" t="str">
        <f>"inv# 3429768699"</f>
        <v>inv# 3429768699</v>
      </c>
    </row>
    <row r="1408" spans="5:8" x14ac:dyDescent="0.25">
      <c r="E1408" t="str">
        <f>""</f>
        <v/>
      </c>
      <c r="F1408" t="str">
        <f>""</f>
        <v/>
      </c>
      <c r="H1408" t="str">
        <f>"inv# 3429768700"</f>
        <v>inv# 3429768700</v>
      </c>
    </row>
    <row r="1409" spans="1:8" x14ac:dyDescent="0.25">
      <c r="E1409" t="str">
        <f>""</f>
        <v/>
      </c>
      <c r="F1409" t="str">
        <f>""</f>
        <v/>
      </c>
      <c r="H1409" t="str">
        <f>"inv# 3429768708"</f>
        <v>inv# 3429768708</v>
      </c>
    </row>
    <row r="1410" spans="1:8" x14ac:dyDescent="0.25">
      <c r="E1410" t="str">
        <f>""</f>
        <v/>
      </c>
      <c r="F1410" t="str">
        <f>""</f>
        <v/>
      </c>
      <c r="H1410" t="str">
        <f>"inv# 3429768692"</f>
        <v>inv# 3429768692</v>
      </c>
    </row>
    <row r="1411" spans="1:8" x14ac:dyDescent="0.25">
      <c r="E1411" t="str">
        <f>""</f>
        <v/>
      </c>
      <c r="F1411" t="str">
        <f>""</f>
        <v/>
      </c>
      <c r="H1411" t="str">
        <f>"inv# 3429768694"</f>
        <v>inv# 3429768694</v>
      </c>
    </row>
    <row r="1412" spans="1:8" x14ac:dyDescent="0.25">
      <c r="E1412" t="str">
        <f>""</f>
        <v/>
      </c>
      <c r="F1412" t="str">
        <f>""</f>
        <v/>
      </c>
      <c r="H1412" t="str">
        <f>"inv# 3429768696"</f>
        <v>inv# 3429768696</v>
      </c>
    </row>
    <row r="1413" spans="1:8" x14ac:dyDescent="0.25">
      <c r="A1413" t="s">
        <v>376</v>
      </c>
      <c r="B1413">
        <v>129814</v>
      </c>
      <c r="C1413" s="2">
        <v>635.46</v>
      </c>
      <c r="D1413" s="1">
        <v>43794</v>
      </c>
      <c r="E1413" t="str">
        <f>"201911153302"</f>
        <v>201911153302</v>
      </c>
      <c r="F1413" t="str">
        <f>"OCTOBER 2019"</f>
        <v>OCTOBER 2019</v>
      </c>
      <c r="G1413" s="2">
        <v>635.46</v>
      </c>
      <c r="H1413" t="str">
        <f>"OCTOBER 2019"</f>
        <v>OCTOBER 2019</v>
      </c>
    </row>
    <row r="1414" spans="1:8" x14ac:dyDescent="0.25">
      <c r="A1414" t="s">
        <v>377</v>
      </c>
      <c r="B1414">
        <v>84803</v>
      </c>
      <c r="C1414" s="2">
        <v>5</v>
      </c>
      <c r="D1414" s="1">
        <v>43781</v>
      </c>
      <c r="E1414" t="str">
        <f>"201911012847"</f>
        <v>201911012847</v>
      </c>
      <c r="F1414" t="str">
        <f>"FERAL HOGS"</f>
        <v>FERAL HOGS</v>
      </c>
      <c r="G1414" s="2">
        <v>5</v>
      </c>
      <c r="H1414" t="str">
        <f>"FERAL HOGS"</f>
        <v>FERAL HOGS</v>
      </c>
    </row>
    <row r="1415" spans="1:8" x14ac:dyDescent="0.25">
      <c r="A1415" t="s">
        <v>378</v>
      </c>
      <c r="B1415">
        <v>84804</v>
      </c>
      <c r="C1415" s="2">
        <v>474.5</v>
      </c>
      <c r="D1415" s="1">
        <v>43781</v>
      </c>
      <c r="E1415" t="str">
        <f>"201911052998"</f>
        <v>201911052998</v>
      </c>
      <c r="F1415" t="str">
        <f>"TRASH REMOVAL 11/1-11/08/P4"</f>
        <v>TRASH REMOVAL 11/1-11/08/P4</v>
      </c>
      <c r="G1415" s="2">
        <v>214.5</v>
      </c>
      <c r="H1415" t="str">
        <f>"TRASH REMOVAL 11/1-11/08/P4"</f>
        <v>TRASH REMOVAL 11/1-11/08/P4</v>
      </c>
    </row>
    <row r="1416" spans="1:8" x14ac:dyDescent="0.25">
      <c r="E1416" t="str">
        <f>"201911052999"</f>
        <v>201911052999</v>
      </c>
      <c r="F1416" t="str">
        <f>"TRASH REMOVAL 10/28-10/31/P4"</f>
        <v>TRASH REMOVAL 10/28-10/31/P4</v>
      </c>
      <c r="G1416" s="2">
        <v>260</v>
      </c>
      <c r="H1416" t="str">
        <f>"TRASH REMOVAL 10/28-10/31/P4"</f>
        <v>TRASH REMOVAL 10/28-10/31/P4</v>
      </c>
    </row>
    <row r="1417" spans="1:8" x14ac:dyDescent="0.25">
      <c r="A1417" t="s">
        <v>378</v>
      </c>
      <c r="B1417">
        <v>129815</v>
      </c>
      <c r="C1417" s="2">
        <v>435.5</v>
      </c>
      <c r="D1417" s="1">
        <v>43794</v>
      </c>
      <c r="E1417" t="str">
        <f>"201911193325"</f>
        <v>201911193325</v>
      </c>
      <c r="F1417" t="str">
        <f>"TRASH REMOVAL 11/11-11/22/P4"</f>
        <v>TRASH REMOVAL 11/11-11/22/P4</v>
      </c>
      <c r="G1417" s="2">
        <v>435.5</v>
      </c>
      <c r="H1417" t="str">
        <f>"TRASH REMOVAL 11/11-11/22/P4"</f>
        <v>TRASH REMOVAL 11/11-11/22/P4</v>
      </c>
    </row>
    <row r="1418" spans="1:8" x14ac:dyDescent="0.25">
      <c r="A1418" t="s">
        <v>379</v>
      </c>
      <c r="B1418">
        <v>129816</v>
      </c>
      <c r="C1418" s="2">
        <v>55.21</v>
      </c>
      <c r="D1418" s="1">
        <v>43794</v>
      </c>
      <c r="E1418" t="str">
        <f>"201911193324"</f>
        <v>201911193324</v>
      </c>
      <c r="F1418" t="str">
        <f>"REIMBURSE DAMAGE TO MAILBOX"</f>
        <v>REIMBURSE DAMAGE TO MAILBOX</v>
      </c>
      <c r="G1418" s="2">
        <v>55.21</v>
      </c>
      <c r="H1418" t="str">
        <f>"REIMBURSE DAMAGE TO MAILBOX"</f>
        <v>REIMBURSE DAMAGE TO MAILBOX</v>
      </c>
    </row>
    <row r="1419" spans="1:8" x14ac:dyDescent="0.25">
      <c r="A1419" t="s">
        <v>380</v>
      </c>
      <c r="B1419">
        <v>1715</v>
      </c>
      <c r="C1419" s="2">
        <v>2695.19</v>
      </c>
      <c r="D1419" s="1">
        <v>43782</v>
      </c>
      <c r="E1419" t="str">
        <f>"95477590"</f>
        <v>95477590</v>
      </c>
      <c r="F1419" t="str">
        <f>"ACCT#10187718/FUEL/PCT#2"</f>
        <v>ACCT#10187718/FUEL/PCT#2</v>
      </c>
      <c r="G1419" s="2">
        <v>2695.19</v>
      </c>
      <c r="H1419" t="str">
        <f>"ACCT#10187718/FUEL/PCT#2"</f>
        <v>ACCT#10187718/FUEL/PCT#2</v>
      </c>
    </row>
    <row r="1420" spans="1:8" x14ac:dyDescent="0.25">
      <c r="A1420" t="s">
        <v>380</v>
      </c>
      <c r="B1420">
        <v>1784</v>
      </c>
      <c r="C1420" s="2">
        <v>3519.24</v>
      </c>
      <c r="D1420" s="1">
        <v>43795</v>
      </c>
      <c r="E1420" t="str">
        <f>"95489441"</f>
        <v>95489441</v>
      </c>
      <c r="F1420" t="str">
        <f>"ACCT#10187718/FUEL/PCT2"</f>
        <v>ACCT#10187718/FUEL/PCT2</v>
      </c>
      <c r="G1420" s="2">
        <v>3519.24</v>
      </c>
      <c r="H1420" t="str">
        <f>"ACCT#10187718/FUEL/PCT2"</f>
        <v>ACCT#10187718/FUEL/PCT2</v>
      </c>
    </row>
    <row r="1421" spans="1:8" x14ac:dyDescent="0.25">
      <c r="A1421" t="s">
        <v>381</v>
      </c>
      <c r="B1421">
        <v>129817</v>
      </c>
      <c r="C1421" s="2">
        <v>700</v>
      </c>
      <c r="D1421" s="1">
        <v>43794</v>
      </c>
      <c r="E1421" t="str">
        <f>"200003467"</f>
        <v>200003467</v>
      </c>
      <c r="F1421" t="str">
        <f>"NTA SPONSORSHIP-2019"</f>
        <v>NTA SPONSORSHIP-2019</v>
      </c>
      <c r="G1421" s="2">
        <v>700</v>
      </c>
      <c r="H1421" t="str">
        <f>"NTA SPONSORSHIP-2019"</f>
        <v>NTA SPONSORSHIP-2019</v>
      </c>
    </row>
    <row r="1422" spans="1:8" x14ac:dyDescent="0.25">
      <c r="A1422" t="s">
        <v>382</v>
      </c>
      <c r="B1422">
        <v>1708</v>
      </c>
      <c r="C1422" s="2">
        <v>80.08</v>
      </c>
      <c r="D1422" s="1">
        <v>43782</v>
      </c>
      <c r="E1422" t="str">
        <f>"19110405"</f>
        <v>19110405</v>
      </c>
      <c r="F1422" t="str">
        <f>"SVC CONTRACT 10/01-11/04"</f>
        <v>SVC CONTRACT 10/01-11/04</v>
      </c>
      <c r="G1422" s="2">
        <v>80.08</v>
      </c>
      <c r="H1422" t="str">
        <f>"SVC CONTRACT 10/01-11/04"</f>
        <v>SVC CONTRACT 10/01-11/04</v>
      </c>
    </row>
    <row r="1423" spans="1:8" x14ac:dyDescent="0.25">
      <c r="A1423" t="s">
        <v>383</v>
      </c>
      <c r="B1423">
        <v>1824</v>
      </c>
      <c r="C1423" s="2">
        <v>209</v>
      </c>
      <c r="D1423" s="1">
        <v>43795</v>
      </c>
      <c r="E1423" t="str">
        <f>"1912053"</f>
        <v>1912053</v>
      </c>
      <c r="F1423" t="str">
        <f>"MNTHLY CONTRACT BILLING"</f>
        <v>MNTHLY CONTRACT BILLING</v>
      </c>
      <c r="G1423" s="2">
        <v>209</v>
      </c>
      <c r="H1423" t="str">
        <f>"MNTHLY CONTRACT BILLING"</f>
        <v>MNTHLY CONTRACT BILLING</v>
      </c>
    </row>
    <row r="1424" spans="1:8" x14ac:dyDescent="0.25">
      <c r="A1424" t="s">
        <v>384</v>
      </c>
      <c r="B1424">
        <v>1735</v>
      </c>
      <c r="C1424" s="2">
        <v>161.4</v>
      </c>
      <c r="D1424" s="1">
        <v>43782</v>
      </c>
      <c r="E1424" t="str">
        <f>"80244"</f>
        <v>80244</v>
      </c>
      <c r="F1424" t="str">
        <f>"CUST:BASCO1/ACCT#63275/P2"</f>
        <v>CUST:BASCO1/ACCT#63275/P2</v>
      </c>
      <c r="G1424" s="2">
        <v>36.299999999999997</v>
      </c>
      <c r="H1424" t="str">
        <f>"CUST:BASCO1/ACCT#63275/P2"</f>
        <v>CUST:BASCO1/ACCT#63275/P2</v>
      </c>
    </row>
    <row r="1425" spans="1:8" x14ac:dyDescent="0.25">
      <c r="E1425" t="str">
        <f>"80298"</f>
        <v>80298</v>
      </c>
      <c r="F1425" t="str">
        <f>"CUST:BASCO1/ACCT#63275/P3"</f>
        <v>CUST:BASCO1/ACCT#63275/P3</v>
      </c>
      <c r="G1425" s="2">
        <v>125.1</v>
      </c>
      <c r="H1425" t="str">
        <f>"CUST:BASCO1/ACCT#63275/P3"</f>
        <v>CUST:BASCO1/ACCT#63275/P3</v>
      </c>
    </row>
    <row r="1426" spans="1:8" x14ac:dyDescent="0.25">
      <c r="A1426" t="s">
        <v>385</v>
      </c>
      <c r="B1426">
        <v>84805</v>
      </c>
      <c r="C1426" s="2">
        <v>9724.94</v>
      </c>
      <c r="D1426" s="1">
        <v>43781</v>
      </c>
      <c r="E1426" t="str">
        <f>"0913635-IN"</f>
        <v>0913635-IN</v>
      </c>
      <c r="F1426" t="str">
        <f>"ACCT#01-0112917/FUEL/PCT#4"</f>
        <v>ACCT#01-0112917/FUEL/PCT#4</v>
      </c>
      <c r="G1426" s="2">
        <v>5604.5</v>
      </c>
      <c r="H1426" t="str">
        <f>"ACCT#01-0112917/FUEL/PCT#4"</f>
        <v>ACCT#01-0112917/FUEL/PCT#4</v>
      </c>
    </row>
    <row r="1427" spans="1:8" x14ac:dyDescent="0.25">
      <c r="E1427" t="str">
        <f>"0914311-IN"</f>
        <v>0914311-IN</v>
      </c>
      <c r="F1427" t="str">
        <f>"ACCT#01-0122917/FUEL/PCT#3"</f>
        <v>ACCT#01-0122917/FUEL/PCT#3</v>
      </c>
      <c r="G1427" s="2">
        <v>4120.4399999999996</v>
      </c>
      <c r="H1427" t="str">
        <f>"ACCT#01-0122917/FUEL/PCT#3"</f>
        <v>ACCT#01-0122917/FUEL/PCT#3</v>
      </c>
    </row>
    <row r="1428" spans="1:8" x14ac:dyDescent="0.25">
      <c r="A1428" t="s">
        <v>385</v>
      </c>
      <c r="B1428">
        <v>129818</v>
      </c>
      <c r="C1428" s="2">
        <v>13649.7</v>
      </c>
      <c r="D1428" s="1">
        <v>43794</v>
      </c>
      <c r="E1428" t="str">
        <f>"0916623-IN"</f>
        <v>0916623-IN</v>
      </c>
      <c r="F1428" t="str">
        <f>"ACCT#01-0112917/FUEL/PCT#4"</f>
        <v>ACCT#01-0112917/FUEL/PCT#4</v>
      </c>
      <c r="G1428" s="2">
        <v>4144.0200000000004</v>
      </c>
      <c r="H1428" t="str">
        <f>"ACCT#01-0112917/FUEL/PCT#4"</f>
        <v>ACCT#01-0112917/FUEL/PCT#4</v>
      </c>
    </row>
    <row r="1429" spans="1:8" x14ac:dyDescent="0.25">
      <c r="E1429" t="str">
        <f>"0917284-IN"</f>
        <v>0917284-IN</v>
      </c>
      <c r="F1429" t="str">
        <f>"ACCT#01-0112917/EXHAUST FLUID"</f>
        <v>ACCT#01-0112917/EXHAUST FLUID</v>
      </c>
      <c r="G1429" s="2">
        <v>280.32</v>
      </c>
      <c r="H1429" t="str">
        <f>"ACCT#01-0112917/EXHAUST FLUID"</f>
        <v>ACCT#01-0112917/EXHAUST FLUID</v>
      </c>
    </row>
    <row r="1430" spans="1:8" x14ac:dyDescent="0.25">
      <c r="E1430" t="str">
        <f>"0918789-IN"</f>
        <v>0918789-IN</v>
      </c>
      <c r="F1430" t="str">
        <f>"ACCT#01-0112917/FUEL/PCT#3"</f>
        <v>ACCT#01-0112917/FUEL/PCT#3</v>
      </c>
      <c r="G1430" s="2">
        <v>3994.44</v>
      </c>
      <c r="H1430" t="str">
        <f>"ACCT#01-0112917/FUEL/PCT#3"</f>
        <v>ACCT#01-0112917/FUEL/PCT#3</v>
      </c>
    </row>
    <row r="1431" spans="1:8" x14ac:dyDescent="0.25">
      <c r="E1431" t="str">
        <f>"0920276-IN"</f>
        <v>0920276-IN</v>
      </c>
      <c r="F1431" t="str">
        <f>"ACCT#01-0112917/FUEL/PCT#4"</f>
        <v>ACCT#01-0112917/FUEL/PCT#4</v>
      </c>
      <c r="G1431" s="2">
        <v>5230.92</v>
      </c>
      <c r="H1431" t="str">
        <f>"ACCT#01-0112917/FUEL/PCT#4"</f>
        <v>ACCT#01-0112917/FUEL/PCT#4</v>
      </c>
    </row>
    <row r="1432" spans="1:8" x14ac:dyDescent="0.25">
      <c r="A1432" t="s">
        <v>386</v>
      </c>
      <c r="B1432">
        <v>129819</v>
      </c>
      <c r="C1432" s="2">
        <v>103.45</v>
      </c>
      <c r="D1432" s="1">
        <v>43794</v>
      </c>
      <c r="E1432" t="str">
        <f>"201911203499"</f>
        <v>201911203499</v>
      </c>
      <c r="F1432" t="str">
        <f>"INDIGENT HEALTH"</f>
        <v>INDIGENT HEALTH</v>
      </c>
      <c r="G1432" s="2">
        <v>103.45</v>
      </c>
      <c r="H1432" t="str">
        <f>"INDIGENT HEALTH"</f>
        <v>INDIGENT HEALTH</v>
      </c>
    </row>
    <row r="1433" spans="1:8" x14ac:dyDescent="0.25">
      <c r="A1433" t="s">
        <v>387</v>
      </c>
      <c r="B1433">
        <v>129820</v>
      </c>
      <c r="C1433" s="2">
        <v>2833.25</v>
      </c>
      <c r="D1433" s="1">
        <v>43794</v>
      </c>
      <c r="E1433" t="str">
        <f>"201911143285"</f>
        <v>201911143285</v>
      </c>
      <c r="F1433" t="str">
        <f>"TICKET#1136497/RIP RAP/PCT#4"</f>
        <v>TICKET#1136497/RIP RAP/PCT#4</v>
      </c>
      <c r="G1433" s="2">
        <v>469.7</v>
      </c>
      <c r="H1433" t="str">
        <f>"TICKET#1136497/RIP RAP/PCT#4"</f>
        <v>TICKET#1136497/RIP RAP/PCT#4</v>
      </c>
    </row>
    <row r="1434" spans="1:8" x14ac:dyDescent="0.25">
      <c r="E1434" t="str">
        <f>"3775"</f>
        <v>3775</v>
      </c>
      <c r="F1434" t="str">
        <f>"RIP RAP/PCT#4"</f>
        <v>RIP RAP/PCT#4</v>
      </c>
      <c r="G1434" s="2">
        <v>958.3</v>
      </c>
      <c r="H1434" t="str">
        <f>"RIP RAP/PCT#4"</f>
        <v>RIP RAP/PCT#4</v>
      </c>
    </row>
    <row r="1435" spans="1:8" x14ac:dyDescent="0.25">
      <c r="E1435" t="str">
        <f>"3790"</f>
        <v>3790</v>
      </c>
      <c r="F1435" t="str">
        <f>"TCKT#1136496/RIP RAP/PCT#1"</f>
        <v>TCKT#1136496/RIP RAP/PCT#1</v>
      </c>
      <c r="G1435" s="2">
        <v>462.7</v>
      </c>
      <c r="H1435" t="str">
        <f>"TCKT#1136496/RIP RAP/PCT#1"</f>
        <v>TCKT#1136496/RIP RAP/PCT#1</v>
      </c>
    </row>
    <row r="1436" spans="1:8" x14ac:dyDescent="0.25">
      <c r="E1436" t="str">
        <f>"3858"</f>
        <v>3858</v>
      </c>
      <c r="F1436" t="str">
        <f>"RIP RAP/PCT#4"</f>
        <v>RIP RAP/PCT#4</v>
      </c>
      <c r="G1436" s="2">
        <v>942.55</v>
      </c>
      <c r="H1436" t="str">
        <f>"RIP RAP/PCT#4"</f>
        <v>RIP RAP/PCT#4</v>
      </c>
    </row>
    <row r="1437" spans="1:8" x14ac:dyDescent="0.25">
      <c r="A1437" t="s">
        <v>388</v>
      </c>
      <c r="B1437">
        <v>84806</v>
      </c>
      <c r="C1437" s="2">
        <v>50</v>
      </c>
      <c r="D1437" s="1">
        <v>43781</v>
      </c>
      <c r="E1437" t="str">
        <f>"7282"</f>
        <v>7282</v>
      </c>
      <c r="F1437" t="str">
        <f>"INV 4282"</f>
        <v>INV 4282</v>
      </c>
      <c r="G1437" s="2">
        <v>50</v>
      </c>
      <c r="H1437" t="str">
        <f>"INV 7282"</f>
        <v>INV 7282</v>
      </c>
    </row>
    <row r="1438" spans="1:8" x14ac:dyDescent="0.25">
      <c r="A1438" t="s">
        <v>388</v>
      </c>
      <c r="B1438">
        <v>129821</v>
      </c>
      <c r="C1438" s="2">
        <v>200</v>
      </c>
      <c r="D1438" s="1">
        <v>43794</v>
      </c>
      <c r="E1438" t="str">
        <f>"201911193462"</f>
        <v>201911193462</v>
      </c>
      <c r="F1438" t="str">
        <f>"DECEMBER BOND RENEWAL"</f>
        <v>DECEMBER BOND RENEWAL</v>
      </c>
      <c r="G1438" s="2">
        <v>100</v>
      </c>
      <c r="H1438" t="str">
        <f>"BONDS"</f>
        <v>BONDS</v>
      </c>
    </row>
    <row r="1439" spans="1:8" x14ac:dyDescent="0.25">
      <c r="E1439" t="str">
        <f>"4294"</f>
        <v>4294</v>
      </c>
      <c r="F1439" t="str">
        <f>"INV 4294"</f>
        <v>INV 4294</v>
      </c>
      <c r="G1439" s="2">
        <v>50</v>
      </c>
      <c r="H1439" t="str">
        <f>"INV 4294"</f>
        <v>INV 4294</v>
      </c>
    </row>
    <row r="1440" spans="1:8" x14ac:dyDescent="0.25">
      <c r="E1440" t="str">
        <f>"4348"</f>
        <v>4348</v>
      </c>
      <c r="F1440" t="str">
        <f>"INV 4348"</f>
        <v>INV 4348</v>
      </c>
      <c r="G1440" s="2">
        <v>50</v>
      </c>
      <c r="H1440" t="str">
        <f>"INV 4348"</f>
        <v>INV 4348</v>
      </c>
    </row>
    <row r="1441" spans="1:8" x14ac:dyDescent="0.25">
      <c r="A1441" t="s">
        <v>389</v>
      </c>
      <c r="B1441">
        <v>84807</v>
      </c>
      <c r="C1441" s="2">
        <v>200</v>
      </c>
      <c r="D1441" s="1">
        <v>43781</v>
      </c>
      <c r="E1441" t="str">
        <f>"203162  10/25/19"</f>
        <v>203162  10/25/19</v>
      </c>
      <c r="F1441" t="str">
        <f>"REF#R292421/WINTER CONFERENCE"</f>
        <v>REF#R292421/WINTER CONFERENCE</v>
      </c>
      <c r="G1441" s="2">
        <v>200</v>
      </c>
      <c r="H1441" t="str">
        <f>"REF#R292421/WINTER CONFERENCE"</f>
        <v>REF#R292421/WINTER CONFERENCE</v>
      </c>
    </row>
    <row r="1442" spans="1:8" x14ac:dyDescent="0.25">
      <c r="A1442" t="s">
        <v>390</v>
      </c>
      <c r="B1442">
        <v>84808</v>
      </c>
      <c r="C1442" s="2">
        <v>3080</v>
      </c>
      <c r="D1442" s="1">
        <v>43781</v>
      </c>
      <c r="E1442" t="str">
        <f>"145885"</f>
        <v>145885</v>
      </c>
      <c r="F1442" t="str">
        <f>"For Nature Park"</f>
        <v>For Nature Park</v>
      </c>
      <c r="G1442" s="2">
        <v>3080</v>
      </c>
      <c r="H1442" t="str">
        <f>"7 X6.3"</f>
        <v>7 X6.3</v>
      </c>
    </row>
    <row r="1443" spans="1:8" x14ac:dyDescent="0.25">
      <c r="E1443" t="str">
        <f>""</f>
        <v/>
      </c>
      <c r="F1443" t="str">
        <f>""</f>
        <v/>
      </c>
      <c r="H1443" t="str">
        <f>"Freight"</f>
        <v>Freight</v>
      </c>
    </row>
    <row r="1444" spans="1:8" x14ac:dyDescent="0.25">
      <c r="A1444" t="s">
        <v>391</v>
      </c>
      <c r="B1444">
        <v>1720</v>
      </c>
      <c r="C1444" s="2">
        <v>55</v>
      </c>
      <c r="D1444" s="1">
        <v>43782</v>
      </c>
      <c r="E1444" t="str">
        <f>"14036"</f>
        <v>14036</v>
      </c>
      <c r="F1444" t="str">
        <f>"ACCT#1267/ANIMAL SHELTER"</f>
        <v>ACCT#1267/ANIMAL SHELTER</v>
      </c>
      <c r="G1444" s="2">
        <v>55</v>
      </c>
      <c r="H1444" t="str">
        <f>"ACCT#1267/ANIMAL SHELTER"</f>
        <v>ACCT#1267/ANIMAL SHELTER</v>
      </c>
    </row>
    <row r="1445" spans="1:8" x14ac:dyDescent="0.25">
      <c r="A1445" t="s">
        <v>392</v>
      </c>
      <c r="B1445">
        <v>84646</v>
      </c>
      <c r="C1445" s="2">
        <v>75</v>
      </c>
      <c r="D1445" s="1">
        <v>43774</v>
      </c>
      <c r="E1445" t="str">
        <f>"201911052895"</f>
        <v>201911052895</v>
      </c>
      <c r="F1445" t="str">
        <f>"Region 7 Basic Animal Con"</f>
        <v>Region 7 Basic Animal Con</v>
      </c>
      <c r="G1445" s="2">
        <v>75</v>
      </c>
      <c r="H1445" t="str">
        <f>"payment"</f>
        <v>payment</v>
      </c>
    </row>
    <row r="1446" spans="1:8" x14ac:dyDescent="0.25">
      <c r="A1446" t="s">
        <v>392</v>
      </c>
      <c r="B1446">
        <v>84647</v>
      </c>
      <c r="C1446" s="2">
        <v>75</v>
      </c>
      <c r="D1446" s="1">
        <v>43774</v>
      </c>
      <c r="E1446" t="str">
        <f>"201911052896"</f>
        <v>201911052896</v>
      </c>
      <c r="F1446" t="str">
        <f>"Region 7 Basic Animal Con"</f>
        <v>Region 7 Basic Animal Con</v>
      </c>
      <c r="G1446" s="2">
        <v>75</v>
      </c>
    </row>
    <row r="1447" spans="1:8" x14ac:dyDescent="0.25">
      <c r="A1447" t="s">
        <v>392</v>
      </c>
      <c r="B1447">
        <v>84647</v>
      </c>
      <c r="C1447" s="2">
        <v>75</v>
      </c>
      <c r="D1447" s="1">
        <v>43782</v>
      </c>
      <c r="E1447" t="str">
        <f>"CHECK"</f>
        <v>CHECK</v>
      </c>
      <c r="F1447" t="str">
        <f>""</f>
        <v/>
      </c>
      <c r="G1447" s="2">
        <v>75</v>
      </c>
    </row>
    <row r="1448" spans="1:8" x14ac:dyDescent="0.25">
      <c r="A1448" t="s">
        <v>392</v>
      </c>
      <c r="B1448">
        <v>84809</v>
      </c>
      <c r="C1448" s="2">
        <v>80</v>
      </c>
      <c r="D1448" s="1">
        <v>43781</v>
      </c>
      <c r="E1448" t="str">
        <f>"201911063021"</f>
        <v>201911063021</v>
      </c>
      <c r="F1448" t="str">
        <f>"Training Manuals"</f>
        <v>Training Manuals</v>
      </c>
      <c r="G1448" s="2">
        <v>80</v>
      </c>
      <c r="H1448" t="str">
        <f>"Training Manuals"</f>
        <v>Training Manuals</v>
      </c>
    </row>
    <row r="1449" spans="1:8" x14ac:dyDescent="0.25">
      <c r="A1449" t="s">
        <v>394</v>
      </c>
      <c r="B1449">
        <v>84810</v>
      </c>
      <c r="C1449" s="2">
        <v>40</v>
      </c>
      <c r="D1449" s="1">
        <v>43781</v>
      </c>
      <c r="E1449" t="str">
        <f>"201911063050"</f>
        <v>201911063050</v>
      </c>
      <c r="F1449" t="str">
        <f>"RESTITUTION"</f>
        <v>RESTITUTION</v>
      </c>
      <c r="G1449" s="2">
        <v>20</v>
      </c>
      <c r="H1449" t="str">
        <f>"RESTITUTION"</f>
        <v>RESTITUTION</v>
      </c>
    </row>
    <row r="1450" spans="1:8" x14ac:dyDescent="0.25">
      <c r="E1450" t="str">
        <f>"201911063051"</f>
        <v>201911063051</v>
      </c>
      <c r="F1450" t="str">
        <f>"RESTITUTION"</f>
        <v>RESTITUTION</v>
      </c>
      <c r="G1450" s="2">
        <v>20</v>
      </c>
      <c r="H1450" t="str">
        <f>"RESTITUTION"</f>
        <v>RESTITUTION</v>
      </c>
    </row>
    <row r="1451" spans="1:8" x14ac:dyDescent="0.25">
      <c r="A1451" t="s">
        <v>395</v>
      </c>
      <c r="B1451">
        <v>129822</v>
      </c>
      <c r="C1451" s="2">
        <v>79</v>
      </c>
      <c r="D1451" s="1">
        <v>43794</v>
      </c>
      <c r="E1451" t="str">
        <f>"11456"</f>
        <v>11456</v>
      </c>
      <c r="F1451" t="str">
        <f>"2019 WEBINAR RURAL BROADBAND"</f>
        <v>2019 WEBINAR RURAL BROADBAND</v>
      </c>
      <c r="G1451" s="2">
        <v>79</v>
      </c>
      <c r="H1451" t="str">
        <f>"2019 WEBINAR RURAL BROADBAND"</f>
        <v>2019 WEBINAR RURAL BROADBAND</v>
      </c>
    </row>
    <row r="1452" spans="1:8" x14ac:dyDescent="0.25">
      <c r="A1452" t="s">
        <v>396</v>
      </c>
      <c r="B1452">
        <v>84811</v>
      </c>
      <c r="C1452" s="2">
        <v>495</v>
      </c>
      <c r="D1452" s="1">
        <v>43781</v>
      </c>
      <c r="E1452" t="str">
        <f>"3884"</f>
        <v>3884</v>
      </c>
      <c r="F1452" t="str">
        <f>"INV 3884"</f>
        <v>INV 3884</v>
      </c>
      <c r="G1452" s="2">
        <v>495</v>
      </c>
      <c r="H1452" t="str">
        <f>"INV 3884"</f>
        <v>INV 3884</v>
      </c>
    </row>
    <row r="1453" spans="1:8" x14ac:dyDescent="0.25">
      <c r="A1453" t="s">
        <v>397</v>
      </c>
      <c r="B1453">
        <v>84812</v>
      </c>
      <c r="C1453" s="2">
        <v>7580.1</v>
      </c>
      <c r="D1453" s="1">
        <v>43781</v>
      </c>
      <c r="E1453" t="str">
        <f>"200823318"</f>
        <v>200823318</v>
      </c>
      <c r="F1453" t="str">
        <f>"CUST#255120/PCT#2"</f>
        <v>CUST#255120/PCT#2</v>
      </c>
      <c r="G1453" s="2">
        <v>5062.2</v>
      </c>
      <c r="H1453" t="str">
        <f>"CUST#255120/PCT#2"</f>
        <v>CUST#255120/PCT#2</v>
      </c>
    </row>
    <row r="1454" spans="1:8" x14ac:dyDescent="0.25">
      <c r="E1454" t="str">
        <f>"200823656"</f>
        <v>200823656</v>
      </c>
      <c r="F1454" t="str">
        <f>"CUST#255120/PCT#2"</f>
        <v>CUST#255120/PCT#2</v>
      </c>
      <c r="G1454" s="2">
        <v>2517.9</v>
      </c>
      <c r="H1454" t="str">
        <f>"CUST#255120/PCT#2"</f>
        <v>CUST#255120/PCT#2</v>
      </c>
    </row>
    <row r="1455" spans="1:8" x14ac:dyDescent="0.25">
      <c r="A1455" t="s">
        <v>398</v>
      </c>
      <c r="B1455">
        <v>84813</v>
      </c>
      <c r="C1455" s="2">
        <v>96.9</v>
      </c>
      <c r="D1455" s="1">
        <v>43781</v>
      </c>
      <c r="E1455" t="str">
        <f>"201911053013"</f>
        <v>201911053013</v>
      </c>
      <c r="F1455" t="str">
        <f>"Stefanie Lee-Notary"</f>
        <v>Stefanie Lee-Notary</v>
      </c>
      <c r="G1455" s="2">
        <v>96.9</v>
      </c>
    </row>
    <row r="1456" spans="1:8" x14ac:dyDescent="0.25">
      <c r="A1456" t="s">
        <v>399</v>
      </c>
      <c r="B1456">
        <v>84814</v>
      </c>
      <c r="C1456" s="2">
        <v>114.75</v>
      </c>
      <c r="D1456" s="1">
        <v>43781</v>
      </c>
      <c r="E1456" t="str">
        <f>"1CO-2226-19"</f>
        <v>1CO-2226-19</v>
      </c>
      <c r="F1456" t="str">
        <f>"A8286618 - L. BOTELLO"</f>
        <v>A8286618 - L. BOTELLO</v>
      </c>
      <c r="G1456" s="2">
        <v>114.75</v>
      </c>
      <c r="H1456" t="str">
        <f>"A8286618 - L. BOTELLO"</f>
        <v>A8286618 - L. BOTELLO</v>
      </c>
    </row>
    <row r="1457" spans="1:8" x14ac:dyDescent="0.25">
      <c r="A1457" t="s">
        <v>399</v>
      </c>
      <c r="B1457">
        <v>129823</v>
      </c>
      <c r="C1457" s="2">
        <v>4199.8</v>
      </c>
      <c r="D1457" s="1">
        <v>43794</v>
      </c>
      <c r="E1457" t="str">
        <f>"1CO-0217-18"</f>
        <v>1CO-0217-18</v>
      </c>
      <c r="F1457" t="str">
        <f>"A8210975-C.L. ALEXANDER"</f>
        <v>A8210975-C.L. ALEXANDER</v>
      </c>
      <c r="G1457" s="2">
        <v>114.75</v>
      </c>
      <c r="H1457" t="str">
        <f>"A8210975-C.L. ALEXANDER"</f>
        <v>A8210975-C.L. ALEXANDER</v>
      </c>
    </row>
    <row r="1458" spans="1:8" x14ac:dyDescent="0.25">
      <c r="E1458" t="str">
        <f>"1CO-1790-19"</f>
        <v>1CO-1790-19</v>
      </c>
      <c r="F1458" t="str">
        <f>"A8286609-J. SHOW-CANALES"</f>
        <v>A8286609-J. SHOW-CANALES</v>
      </c>
      <c r="G1458" s="2">
        <v>157.25</v>
      </c>
      <c r="H1458" t="str">
        <f>"A8286609-J. SHOW-CANALES"</f>
        <v>A8286609-J. SHOW-CANALES</v>
      </c>
    </row>
    <row r="1459" spans="1:8" x14ac:dyDescent="0.25">
      <c r="E1459" t="str">
        <f>"1CO-1865-14"</f>
        <v>1CO-1865-14</v>
      </c>
      <c r="F1459" t="str">
        <f>"A80329280 - G. BARNETT"</f>
        <v>A80329280 - G. BARNETT</v>
      </c>
      <c r="G1459" s="2">
        <v>114.75</v>
      </c>
      <c r="H1459" t="str">
        <f>"A80329280 - G. BARNETT"</f>
        <v>A80329280 - G. BARNETT</v>
      </c>
    </row>
    <row r="1460" spans="1:8" x14ac:dyDescent="0.25">
      <c r="E1460" t="str">
        <f>"1CO-2005-12"</f>
        <v>1CO-2005-12</v>
      </c>
      <c r="F1460" t="str">
        <f>"A8041131 - D.R. PLANT"</f>
        <v>A8041131 - D.R. PLANT</v>
      </c>
      <c r="G1460" s="2">
        <v>114.75</v>
      </c>
      <c r="H1460" t="str">
        <f>"A8041131 - D.R. PLANT"</f>
        <v>A8041131 - D.R. PLANT</v>
      </c>
    </row>
    <row r="1461" spans="1:8" x14ac:dyDescent="0.25">
      <c r="E1461" t="str">
        <f>"1CO-2227-19"</f>
        <v>1CO-2227-19</v>
      </c>
      <c r="F1461" t="str">
        <f>"A8286619-R. OWENS"</f>
        <v>A8286619-R. OWENS</v>
      </c>
      <c r="G1461" s="2">
        <v>114.75</v>
      </c>
      <c r="H1461" t="str">
        <f>"A8286619-R. OWENS"</f>
        <v>A8286619-R. OWENS</v>
      </c>
    </row>
    <row r="1462" spans="1:8" x14ac:dyDescent="0.25">
      <c r="E1462" t="str">
        <f>"3CO-0294-18"</f>
        <v>3CO-0294-18</v>
      </c>
      <c r="F1462" t="str">
        <f>"A8243944 - M. OSORIA"</f>
        <v>A8243944 - M. OSORIA</v>
      </c>
      <c r="G1462" s="2">
        <v>114.75</v>
      </c>
      <c r="H1462" t="str">
        <f>"A8243944 - M. OSORIA"</f>
        <v>A8243944 - M. OSORIA</v>
      </c>
    </row>
    <row r="1463" spans="1:8" x14ac:dyDescent="0.25">
      <c r="E1463" t="str">
        <f>"3CO-1131-19"</f>
        <v>3CO-1131-19</v>
      </c>
      <c r="F1463" t="str">
        <f>"A8245793 - B. RETANA"</f>
        <v>A8245793 - B. RETANA</v>
      </c>
      <c r="G1463" s="2">
        <v>114.75</v>
      </c>
      <c r="H1463" t="str">
        <f>"A8245793 - B. RETANA"</f>
        <v>A8245793 - B. RETANA</v>
      </c>
    </row>
    <row r="1464" spans="1:8" x14ac:dyDescent="0.25">
      <c r="E1464" t="str">
        <f>"3CO-1132-19"</f>
        <v>3CO-1132-19</v>
      </c>
      <c r="F1464" t="str">
        <f>"A8245799 - T. PYLANT"</f>
        <v>A8245799 - T. PYLANT</v>
      </c>
      <c r="G1464" s="2">
        <v>114.75</v>
      </c>
      <c r="H1464" t="str">
        <f>"A8245799 - T. PYLANT"</f>
        <v>A8245799 - T. PYLANT</v>
      </c>
    </row>
    <row r="1465" spans="1:8" x14ac:dyDescent="0.25">
      <c r="E1465" t="str">
        <f>"J2-27174"</f>
        <v>J2-27174</v>
      </c>
      <c r="F1465" t="str">
        <f>"A1049741 - L.T. CATHEY"</f>
        <v>A1049741 - L.T. CATHEY</v>
      </c>
      <c r="G1465" s="2">
        <v>114.75</v>
      </c>
      <c r="H1465" t="str">
        <f>"A1049741 - L.T. CATHEY"</f>
        <v>A1049741 - L.T. CATHEY</v>
      </c>
    </row>
    <row r="1466" spans="1:8" x14ac:dyDescent="0.25">
      <c r="E1466" t="str">
        <f>"J2-38397"</f>
        <v>J2-38397</v>
      </c>
      <c r="F1466" t="str">
        <f>"A16082 - T.L. MOORE"</f>
        <v>A16082 - T.L. MOORE</v>
      </c>
      <c r="G1466" s="2">
        <v>81</v>
      </c>
      <c r="H1466" t="str">
        <f>"A16082 - T.L. MOORE"</f>
        <v>A16082 - T.L. MOORE</v>
      </c>
    </row>
    <row r="1467" spans="1:8" x14ac:dyDescent="0.25">
      <c r="E1467" t="str">
        <f>"J2-47404"</f>
        <v>J2-47404</v>
      </c>
      <c r="F1467" t="str">
        <f>"A16495-J.L. AMAYA"</f>
        <v>A16495-J.L. AMAYA</v>
      </c>
      <c r="G1467" s="2">
        <v>157.25</v>
      </c>
      <c r="H1467" t="str">
        <f>"A16495-J.L. AMAYA"</f>
        <v>A16495-J.L. AMAYA</v>
      </c>
    </row>
    <row r="1468" spans="1:8" x14ac:dyDescent="0.25">
      <c r="E1468" t="str">
        <f>"J2-48884"</f>
        <v>J2-48884</v>
      </c>
      <c r="F1468" t="str">
        <f>"A12101-J.A. LOPEZ"</f>
        <v>A12101-J.A. LOPEZ</v>
      </c>
      <c r="G1468" s="2">
        <v>114.75</v>
      </c>
      <c r="H1468" t="str">
        <f>"A12101-J.A. LOPEZ"</f>
        <v>A12101-J.A. LOPEZ</v>
      </c>
    </row>
    <row r="1469" spans="1:8" x14ac:dyDescent="0.25">
      <c r="E1469" t="str">
        <f>"J2-49084"</f>
        <v>J2-49084</v>
      </c>
      <c r="F1469" t="str">
        <f>"A10638 - J.F. GARZA"</f>
        <v>A10638 - J.F. GARZA</v>
      </c>
      <c r="G1469" s="2">
        <v>81</v>
      </c>
      <c r="H1469" t="str">
        <f>"A10638 - J.F. GARZA"</f>
        <v>A10638 - J.F. GARZA</v>
      </c>
    </row>
    <row r="1470" spans="1:8" x14ac:dyDescent="0.25">
      <c r="E1470" t="str">
        <f>"J2-55928"</f>
        <v>J2-55928</v>
      </c>
      <c r="F1470" t="str">
        <f>"A13279 - E.R. AVILA-VASZQUEZ"</f>
        <v>A13279 - E.R. AVILA-VASZQUEZ</v>
      </c>
      <c r="G1470" s="2">
        <v>81</v>
      </c>
      <c r="H1470" t="str">
        <f>"A13279 - E.R. AVILA-VASZQUEZ"</f>
        <v>A13279 - E.R. AVILA-VASZQUEZ</v>
      </c>
    </row>
    <row r="1471" spans="1:8" x14ac:dyDescent="0.25">
      <c r="E1471" t="str">
        <f>"J2-55929"</f>
        <v>J2-55929</v>
      </c>
      <c r="F1471" t="str">
        <f>"A13279 - E.R. AVILA-VASZQUEZ"</f>
        <v>A13279 - E.R. AVILA-VASZQUEZ</v>
      </c>
      <c r="G1471" s="2">
        <v>81</v>
      </c>
      <c r="H1471" t="str">
        <f>"A13279 - E.R. AVILA-VASZQUEZ"</f>
        <v>A13279 - E.R. AVILA-VASZQUEZ</v>
      </c>
    </row>
    <row r="1472" spans="1:8" x14ac:dyDescent="0.25">
      <c r="E1472" t="str">
        <f>"J2-57981"</f>
        <v>J2-57981</v>
      </c>
      <c r="F1472" t="str">
        <f>"A16164 - C.L. DOUCET"</f>
        <v>A16164 - C.L. DOUCET</v>
      </c>
      <c r="G1472" s="2">
        <v>81</v>
      </c>
      <c r="H1472" t="str">
        <f>"A16164 - C.L. DOUCET"</f>
        <v>A16164 - C.L. DOUCET</v>
      </c>
    </row>
    <row r="1473" spans="1:8" x14ac:dyDescent="0.25">
      <c r="E1473" t="str">
        <f>"J2-59779"</f>
        <v>J2-59779</v>
      </c>
      <c r="F1473" t="str">
        <f>"A16119 - H. VELASQUEZ JR"</f>
        <v>A16119 - H. VELASQUEZ JR</v>
      </c>
      <c r="G1473" s="2">
        <v>81</v>
      </c>
      <c r="H1473" t="str">
        <f>"A16119 - H. VELASQUEZ JR"</f>
        <v>A16119 - H. VELASQUEZ JR</v>
      </c>
    </row>
    <row r="1474" spans="1:8" x14ac:dyDescent="0.25">
      <c r="E1474" t="str">
        <f>"J2-59780"</f>
        <v>J2-59780</v>
      </c>
      <c r="F1474" t="str">
        <f>"A16118 - J. GEORGE"</f>
        <v>A16118 - J. GEORGE</v>
      </c>
      <c r="G1474" s="2">
        <v>81</v>
      </c>
      <c r="H1474" t="str">
        <f>"A16118 - J. GEORGE"</f>
        <v>A16118 - J. GEORGE</v>
      </c>
    </row>
    <row r="1475" spans="1:8" x14ac:dyDescent="0.25">
      <c r="E1475" t="str">
        <f>"J2-61742"</f>
        <v>J2-61742</v>
      </c>
      <c r="F1475" t="str">
        <f>"M097272 - J.F. GUEVARA"</f>
        <v>M097272 - J.F. GUEVARA</v>
      </c>
      <c r="G1475" s="2">
        <v>425</v>
      </c>
      <c r="H1475" t="str">
        <f>"M097272 - J.F. GUEVARA"</f>
        <v>M097272 - J.F. GUEVARA</v>
      </c>
    </row>
    <row r="1476" spans="1:8" x14ac:dyDescent="0.25">
      <c r="E1476" t="str">
        <f>"J2-61743"</f>
        <v>J2-61743</v>
      </c>
      <c r="F1476" t="str">
        <f>"M097273 - J. CRUZ"</f>
        <v>M097273 - J. CRUZ</v>
      </c>
      <c r="G1476" s="2">
        <v>425</v>
      </c>
      <c r="H1476" t="str">
        <f>"M097273 - J. CRUZ"</f>
        <v>M097273 - J. CRUZ</v>
      </c>
    </row>
    <row r="1477" spans="1:8" x14ac:dyDescent="0.25">
      <c r="E1477" t="str">
        <f>"J2-61751"</f>
        <v>J2-61751</v>
      </c>
      <c r="F1477" t="str">
        <f>"M097274 - J.L. ORTEGA"</f>
        <v>M097274 - J.L. ORTEGA</v>
      </c>
      <c r="G1477" s="2">
        <v>425</v>
      </c>
      <c r="H1477" t="str">
        <f>"M097274 - J.L. ORTEGA"</f>
        <v>M097274 - J.L. ORTEGA</v>
      </c>
    </row>
    <row r="1478" spans="1:8" x14ac:dyDescent="0.25">
      <c r="E1478" t="str">
        <f>"J2-62183"</f>
        <v>J2-62183</v>
      </c>
      <c r="F1478" t="str">
        <f>"A8258523 - J. ROMINGER"</f>
        <v>A8258523 - J. ROMINGER</v>
      </c>
      <c r="G1478" s="2">
        <v>114.75</v>
      </c>
      <c r="H1478" t="str">
        <f>"A8258523 - J. ROMINGER"</f>
        <v>A8258523 - J. ROMINGER</v>
      </c>
    </row>
    <row r="1479" spans="1:8" x14ac:dyDescent="0.25">
      <c r="E1479" t="str">
        <f>"J2-63763"</f>
        <v>J2-63763</v>
      </c>
      <c r="F1479" t="str">
        <f>"A8303662-E.K. BRASWELL"</f>
        <v>A8303662-E.K. BRASWELL</v>
      </c>
      <c r="G1479" s="2">
        <v>114.75</v>
      </c>
      <c r="H1479" t="str">
        <f>"A8303662-E.K. BRASWELL"</f>
        <v>A8303662-E.K. BRASWELL</v>
      </c>
    </row>
    <row r="1480" spans="1:8" x14ac:dyDescent="0.25">
      <c r="E1480" t="str">
        <f>"J2-63881"</f>
        <v>J2-63881</v>
      </c>
      <c r="F1480" t="str">
        <f>"A13139 - R. REYES"</f>
        <v>A13139 - R. REYES</v>
      </c>
      <c r="G1480" s="2">
        <v>81</v>
      </c>
      <c r="H1480" t="str">
        <f>"A13139 - R. REYES"</f>
        <v>A13139 - R. REYES</v>
      </c>
    </row>
    <row r="1481" spans="1:8" x14ac:dyDescent="0.25">
      <c r="E1481" t="str">
        <f>"J2-64225"</f>
        <v>J2-64225</v>
      </c>
      <c r="F1481" t="str">
        <f>"A11770 - J. PATRICK"</f>
        <v>A11770 - J. PATRICK</v>
      </c>
      <c r="G1481" s="2">
        <v>81</v>
      </c>
      <c r="H1481" t="str">
        <f>"A11770 - J. PATRICK"</f>
        <v>A11770 - J. PATRICK</v>
      </c>
    </row>
    <row r="1482" spans="1:8" x14ac:dyDescent="0.25">
      <c r="E1482" t="str">
        <f>"J2-64407"</f>
        <v>J2-64407</v>
      </c>
      <c r="F1482" t="str">
        <f>"A16831 - R.T. LADUKE"</f>
        <v>A16831 - R.T. LADUKE</v>
      </c>
      <c r="G1482" s="2">
        <v>81</v>
      </c>
      <c r="H1482" t="str">
        <f>"A16831 - R.T. LADUKE"</f>
        <v>A16831 - R.T. LADUKE</v>
      </c>
    </row>
    <row r="1483" spans="1:8" x14ac:dyDescent="0.25">
      <c r="E1483" t="str">
        <f>"J2-65430"</f>
        <v>J2-65430</v>
      </c>
      <c r="F1483" t="str">
        <f>"A8245812 - S.L. LUGO"</f>
        <v>A8245812 - S.L. LUGO</v>
      </c>
      <c r="G1483" s="2">
        <v>114.75</v>
      </c>
      <c r="H1483" t="str">
        <f>"A8245812 - S.L. LUGO"</f>
        <v>A8245812 - S.L. LUGO</v>
      </c>
    </row>
    <row r="1484" spans="1:8" x14ac:dyDescent="0.25">
      <c r="E1484" t="str">
        <f>"J2-66001"</f>
        <v>J2-66001</v>
      </c>
      <c r="F1484" t="str">
        <f>"A12405-G. MONROE"</f>
        <v>A12405-G. MONROE</v>
      </c>
      <c r="G1484" s="2">
        <v>79.05</v>
      </c>
      <c r="H1484" t="str">
        <f>"A12405-G. MONROE"</f>
        <v>A12405-G. MONROE</v>
      </c>
    </row>
    <row r="1485" spans="1:8" x14ac:dyDescent="0.25">
      <c r="E1485" t="str">
        <f>"J2-66473"</f>
        <v>J2-66473</v>
      </c>
      <c r="F1485" t="str">
        <f>"A12420-E.M. ERNSBARGER"</f>
        <v>A12420-E.M. ERNSBARGER</v>
      </c>
      <c r="G1485" s="2">
        <v>114.75</v>
      </c>
      <c r="H1485" t="str">
        <f>"A12420-E.M. ERNSBARGER"</f>
        <v>A12420-E.M. ERNSBARGER</v>
      </c>
    </row>
    <row r="1486" spans="1:8" x14ac:dyDescent="0.25">
      <c r="E1486" t="str">
        <f>"J2-66556"</f>
        <v>J2-66556</v>
      </c>
      <c r="F1486" t="str">
        <f>"A8303682 - P.E. BUNT"</f>
        <v>A8303682 - P.E. BUNT</v>
      </c>
      <c r="G1486" s="2">
        <v>114.75</v>
      </c>
      <c r="H1486" t="str">
        <f>"A8303682 - P.E. BUNT"</f>
        <v>A8303682 - P.E. BUNT</v>
      </c>
    </row>
    <row r="1487" spans="1:8" x14ac:dyDescent="0.25">
      <c r="E1487" t="str">
        <f>"J2-66557"</f>
        <v>J2-66557</v>
      </c>
      <c r="F1487" t="str">
        <f>"A8303683 - J.L. DUDLEY"</f>
        <v>A8303683 - J.L. DUDLEY</v>
      </c>
      <c r="G1487" s="2">
        <v>114.75</v>
      </c>
      <c r="H1487" t="str">
        <f>"A8303683 - J.L. DUDLEY"</f>
        <v>A8303683 - J.L. DUDLEY</v>
      </c>
    </row>
    <row r="1488" spans="1:8" x14ac:dyDescent="0.25">
      <c r="A1488" t="s">
        <v>400</v>
      </c>
      <c r="B1488">
        <v>1785</v>
      </c>
      <c r="C1488" s="2">
        <v>168.01</v>
      </c>
      <c r="D1488" s="1">
        <v>43795</v>
      </c>
      <c r="E1488" t="str">
        <f>"201911203500"</f>
        <v>201911203500</v>
      </c>
      <c r="F1488" t="str">
        <f>"INDIGENT HEALTH"</f>
        <v>INDIGENT HEALTH</v>
      </c>
      <c r="G1488" s="2">
        <v>168.01</v>
      </c>
      <c r="H1488" t="str">
        <f>"INDIGENT HEALTH"</f>
        <v>INDIGENT HEALTH</v>
      </c>
    </row>
    <row r="1489" spans="1:8" x14ac:dyDescent="0.25">
      <c r="A1489" t="s">
        <v>401</v>
      </c>
      <c r="B1489">
        <v>84815</v>
      </c>
      <c r="C1489" s="2">
        <v>1495.5</v>
      </c>
      <c r="D1489" s="1">
        <v>43781</v>
      </c>
      <c r="E1489" t="str">
        <f>"126915"</f>
        <v>126915</v>
      </c>
      <c r="F1489" t="str">
        <f>"ACCT#188757/CEDAR CREEK PARK"</f>
        <v>ACCT#188757/CEDAR CREEK PARK</v>
      </c>
      <c r="G1489" s="2">
        <v>125</v>
      </c>
      <c r="H1489" t="str">
        <f>"ACCT#188757/CEDAR CREEK PARK"</f>
        <v>ACCT#188757/CEDAR CREEK PARK</v>
      </c>
    </row>
    <row r="1490" spans="1:8" x14ac:dyDescent="0.25">
      <c r="E1490" t="str">
        <f>"129733"</f>
        <v>129733</v>
      </c>
      <c r="F1490" t="str">
        <f>"ACCT#188757/PCT#3 WAREHOUSE"</f>
        <v>ACCT#188757/PCT#3 WAREHOUSE</v>
      </c>
      <c r="G1490" s="2">
        <v>95</v>
      </c>
      <c r="H1490" t="str">
        <f>"ACCT#188757/PCT#3 WAREHOUSE"</f>
        <v>ACCT#188757/PCT#3 WAREHOUSE</v>
      </c>
    </row>
    <row r="1491" spans="1:8" x14ac:dyDescent="0.25">
      <c r="E1491" t="str">
        <f>"129942"</f>
        <v>129942</v>
      </c>
      <c r="F1491" t="str">
        <f>"ACCT#188757/STONY POINT PARK"</f>
        <v>ACCT#188757/STONY POINT PARK</v>
      </c>
      <c r="G1491" s="2">
        <v>95</v>
      </c>
      <c r="H1491" t="str">
        <f>"ACCT#188757/STONY POINT PARK"</f>
        <v>ACCT#188757/STONY POINT PARK</v>
      </c>
    </row>
    <row r="1492" spans="1:8" x14ac:dyDescent="0.25">
      <c r="E1492" t="str">
        <f>"129994"</f>
        <v>129994</v>
      </c>
      <c r="F1492" t="str">
        <f>"ACCT#188757/TAX OFFICE"</f>
        <v>ACCT#188757/TAX OFFICE</v>
      </c>
      <c r="G1492" s="2">
        <v>102</v>
      </c>
      <c r="H1492" t="str">
        <f>"ACCT#188757/TAX OFFICE"</f>
        <v>ACCT#188757/TAX OFFICE</v>
      </c>
    </row>
    <row r="1493" spans="1:8" x14ac:dyDescent="0.25">
      <c r="E1493" t="str">
        <f>"129995"</f>
        <v>129995</v>
      </c>
      <c r="F1493" t="str">
        <f>"ACCT#188757/PCT#4 RD &amp; BRIDGE"</f>
        <v>ACCT#188757/PCT#4 RD &amp; BRIDGE</v>
      </c>
      <c r="G1493" s="2">
        <v>95.5</v>
      </c>
      <c r="H1493" t="str">
        <f>"ACCT#188757/PCT#4 RD &amp; BRIDGE"</f>
        <v>ACCT#188757/PCT#4 RD &amp; BRIDGE</v>
      </c>
    </row>
    <row r="1494" spans="1:8" x14ac:dyDescent="0.25">
      <c r="E1494" t="str">
        <f>"129997"</f>
        <v>129997</v>
      </c>
      <c r="F1494" t="str">
        <f>"ACCT#188757/LBJ BLDG/HLTH DPT"</f>
        <v>ACCT#188757/LBJ BLDG/HLTH DPT</v>
      </c>
      <c r="G1494" s="2">
        <v>69</v>
      </c>
      <c r="H1494" t="str">
        <f>"ACCT#188757/LBJ BLDG/HLTH DPT"</f>
        <v>ACCT#188757/LBJ BLDG/HLTH DPT</v>
      </c>
    </row>
    <row r="1495" spans="1:8" x14ac:dyDescent="0.25">
      <c r="E1495" t="str">
        <f>"130028"</f>
        <v>130028</v>
      </c>
      <c r="F1495" t="str">
        <f>"ACCT#188757/ANIMAL SHELTER"</f>
        <v>ACCT#188757/ANIMAL SHELTER</v>
      </c>
      <c r="G1495" s="2">
        <v>290</v>
      </c>
      <c r="H1495" t="str">
        <f>"ACCT#188757/ANIMAL SHELTER"</f>
        <v>ACCT#188757/ANIMAL SHELTER</v>
      </c>
    </row>
    <row r="1496" spans="1:8" x14ac:dyDescent="0.25">
      <c r="E1496" t="str">
        <f>"130169"</f>
        <v>130169</v>
      </c>
      <c r="F1496" t="str">
        <f>"ACCT#188757/JP2 ANNEX BLDG"</f>
        <v>ACCT#188757/JP2 ANNEX BLDG</v>
      </c>
      <c r="G1496" s="2">
        <v>95</v>
      </c>
      <c r="H1496" t="str">
        <f>"ACCT#188757/JP2 ANNEX BLDG"</f>
        <v>ACCT#188757/JP2 ANNEX BLDG</v>
      </c>
    </row>
    <row r="1497" spans="1:8" x14ac:dyDescent="0.25">
      <c r="E1497" t="str">
        <f>"130177"</f>
        <v>130177</v>
      </c>
      <c r="F1497" t="str">
        <f>"ACCT#188757/PCT#2 MAINT BARN"</f>
        <v>ACCT#188757/PCT#2 MAINT BARN</v>
      </c>
      <c r="G1497" s="2">
        <v>95</v>
      </c>
      <c r="H1497" t="str">
        <f>"ACCT#188757/PCT#2 MAINT BARN"</f>
        <v>ACCT#188757/PCT#2 MAINT BARN</v>
      </c>
    </row>
    <row r="1498" spans="1:8" x14ac:dyDescent="0.25">
      <c r="E1498" t="str">
        <f>"130576"</f>
        <v>130576</v>
      </c>
      <c r="F1498" t="str">
        <f>"ACCT#188757/EXT HABITAT BLDG"</f>
        <v>ACCT#188757/EXT HABITAT BLDG</v>
      </c>
      <c r="G1498" s="2">
        <v>89</v>
      </c>
      <c r="H1498" t="str">
        <f>"ACCT#188757/EXT HABITAT BLDG"</f>
        <v>ACCT#188757/EXT HABITAT BLDG</v>
      </c>
    </row>
    <row r="1499" spans="1:8" x14ac:dyDescent="0.25">
      <c r="E1499" t="str">
        <f>"130578"</f>
        <v>130578</v>
      </c>
      <c r="F1499" t="str">
        <f>"ACCT#188757/COURTHOUSE"</f>
        <v>ACCT#188757/COURTHOUSE</v>
      </c>
      <c r="G1499" s="2">
        <v>137</v>
      </c>
      <c r="H1499" t="str">
        <f>"ACCT#188757/COURTHOUSE"</f>
        <v>ACCT#188757/COURTHOUSE</v>
      </c>
    </row>
    <row r="1500" spans="1:8" x14ac:dyDescent="0.25">
      <c r="E1500" t="str">
        <f>"130581"</f>
        <v>130581</v>
      </c>
      <c r="F1500" t="str">
        <f>"ACCT#188757/HISTORIC JAIL"</f>
        <v>ACCT#188757/HISTORIC JAIL</v>
      </c>
      <c r="G1500" s="2">
        <v>76</v>
      </c>
      <c r="H1500" t="str">
        <f>"ACCT#188757/HISTORIC JAIL"</f>
        <v>ACCT#188757/HISTORIC JAIL</v>
      </c>
    </row>
    <row r="1501" spans="1:8" x14ac:dyDescent="0.25">
      <c r="E1501" t="str">
        <f>"130607"</f>
        <v>130607</v>
      </c>
      <c r="F1501" t="str">
        <f>"ACCT#188757/JUVENILE PROBATION"</f>
        <v>ACCT#188757/JUVENILE PROBATION</v>
      </c>
      <c r="G1501" s="2">
        <v>132</v>
      </c>
      <c r="H1501" t="str">
        <f>"ACCT#188757/JUVENILE PROBATION"</f>
        <v>ACCT#188757/JUVENILE PROBATION</v>
      </c>
    </row>
    <row r="1502" spans="1:8" x14ac:dyDescent="0.25">
      <c r="A1502" t="s">
        <v>401</v>
      </c>
      <c r="B1502">
        <v>129824</v>
      </c>
      <c r="C1502" s="2">
        <v>501</v>
      </c>
      <c r="D1502" s="1">
        <v>43794</v>
      </c>
      <c r="E1502" t="str">
        <f>"131467"</f>
        <v>131467</v>
      </c>
      <c r="F1502" t="str">
        <f>"ACCT#188757/MIKE FISHER BLDG"</f>
        <v>ACCT#188757/MIKE FISHER BLDG</v>
      </c>
      <c r="G1502" s="2">
        <v>300</v>
      </c>
      <c r="H1502" t="str">
        <f>"ACCT#188757/MIKE FISHER BLDG"</f>
        <v>ACCT#188757/MIKE FISHER BLDG</v>
      </c>
    </row>
    <row r="1503" spans="1:8" x14ac:dyDescent="0.25">
      <c r="E1503" t="str">
        <f>"131943"</f>
        <v>131943</v>
      </c>
      <c r="F1503" t="str">
        <f>"ACCT#188757/DPS/TDL"</f>
        <v>ACCT#188757/DPS/TDL</v>
      </c>
      <c r="G1503" s="2">
        <v>76</v>
      </c>
      <c r="H1503" t="str">
        <f>"ACCT#188757/DPS/TDL"</f>
        <v>ACCT#188757/DPS/TDL</v>
      </c>
    </row>
    <row r="1504" spans="1:8" x14ac:dyDescent="0.25">
      <c r="E1504" t="str">
        <f>"132253"</f>
        <v>132253</v>
      </c>
      <c r="F1504" t="str">
        <f>"ACCT#188757/CEDAR CREEK PARK"</f>
        <v>ACCT#188757/CEDAR CREEK PARK</v>
      </c>
      <c r="G1504" s="2">
        <v>125</v>
      </c>
      <c r="H1504" t="str">
        <f>"ACCT#188757/CEDAR CREEK PARK"</f>
        <v>ACCT#188757/CEDAR CREEK PARK</v>
      </c>
    </row>
    <row r="1505" spans="1:8" x14ac:dyDescent="0.25">
      <c r="A1505" t="s">
        <v>402</v>
      </c>
      <c r="B1505">
        <v>1707</v>
      </c>
      <c r="C1505" s="2">
        <v>1250</v>
      </c>
      <c r="D1505" s="1">
        <v>43782</v>
      </c>
      <c r="E1505" t="str">
        <f>"201911052908"</f>
        <v>201911052908</v>
      </c>
      <c r="F1505" t="str">
        <f>"55 997"</f>
        <v>55 997</v>
      </c>
      <c r="G1505" s="2">
        <v>250</v>
      </c>
      <c r="H1505" t="str">
        <f>"55 997"</f>
        <v>55 997</v>
      </c>
    </row>
    <row r="1506" spans="1:8" x14ac:dyDescent="0.25">
      <c r="E1506" t="str">
        <f>"201911052909"</f>
        <v>201911052909</v>
      </c>
      <c r="F1506" t="str">
        <f>"56560  56562"</f>
        <v>56560  56562</v>
      </c>
      <c r="G1506" s="2">
        <v>1000</v>
      </c>
      <c r="H1506" t="str">
        <f>"56560  56562"</f>
        <v>56560  56562</v>
      </c>
    </row>
    <row r="1507" spans="1:8" x14ac:dyDescent="0.25">
      <c r="A1507" t="s">
        <v>403</v>
      </c>
      <c r="B1507">
        <v>1699</v>
      </c>
      <c r="C1507" s="2">
        <v>2375</v>
      </c>
      <c r="D1507" s="1">
        <v>43782</v>
      </c>
      <c r="E1507" t="str">
        <f>"201911012824"</f>
        <v>201911012824</v>
      </c>
      <c r="F1507" t="str">
        <f>"16 468"</f>
        <v>16 468</v>
      </c>
      <c r="G1507" s="2">
        <v>650</v>
      </c>
      <c r="H1507" t="str">
        <f>"16 468"</f>
        <v>16 468</v>
      </c>
    </row>
    <row r="1508" spans="1:8" x14ac:dyDescent="0.25">
      <c r="E1508" t="str">
        <f>"201911012825"</f>
        <v>201911012825</v>
      </c>
      <c r="F1508" t="str">
        <f>"16 256  20160736"</f>
        <v>16 256  20160736</v>
      </c>
      <c r="G1508" s="2">
        <v>600</v>
      </c>
      <c r="H1508" t="str">
        <f>"16 256  20160736"</f>
        <v>16 256  20160736</v>
      </c>
    </row>
    <row r="1509" spans="1:8" x14ac:dyDescent="0.25">
      <c r="E1509" t="str">
        <f>"201911012828"</f>
        <v>201911012828</v>
      </c>
      <c r="F1509" t="str">
        <f>"2019007A"</f>
        <v>2019007A</v>
      </c>
      <c r="G1509" s="2">
        <v>400</v>
      </c>
      <c r="H1509" t="str">
        <f>"2019007A"</f>
        <v>2019007A</v>
      </c>
    </row>
    <row r="1510" spans="1:8" x14ac:dyDescent="0.25">
      <c r="E1510" t="str">
        <f>"201911052913"</f>
        <v>201911052913</v>
      </c>
      <c r="F1510" t="str">
        <f>"2019007B"</f>
        <v>2019007B</v>
      </c>
      <c r="G1510" s="2">
        <v>250</v>
      </c>
      <c r="H1510" t="str">
        <f>"2019007B"</f>
        <v>2019007B</v>
      </c>
    </row>
    <row r="1511" spans="1:8" x14ac:dyDescent="0.25">
      <c r="E1511" t="str">
        <f>"201911052914"</f>
        <v>201911052914</v>
      </c>
      <c r="F1511" t="str">
        <f>"306172019B"</f>
        <v>306172019B</v>
      </c>
      <c r="G1511" s="2">
        <v>250</v>
      </c>
      <c r="H1511" t="str">
        <f>"306172019B"</f>
        <v>306172019B</v>
      </c>
    </row>
    <row r="1512" spans="1:8" x14ac:dyDescent="0.25">
      <c r="E1512" t="str">
        <f>"201911052915"</f>
        <v>201911052915</v>
      </c>
      <c r="F1512" t="str">
        <f>"19-19591"</f>
        <v>19-19591</v>
      </c>
      <c r="G1512" s="2">
        <v>225</v>
      </c>
      <c r="H1512" t="str">
        <f>"19-19591"</f>
        <v>19-19591</v>
      </c>
    </row>
    <row r="1513" spans="1:8" x14ac:dyDescent="0.25">
      <c r="A1513" t="s">
        <v>403</v>
      </c>
      <c r="B1513">
        <v>1761</v>
      </c>
      <c r="C1513" s="2">
        <v>3750</v>
      </c>
      <c r="D1513" s="1">
        <v>43795</v>
      </c>
      <c r="E1513" t="str">
        <f>"201911133235"</f>
        <v>201911133235</v>
      </c>
      <c r="F1513" t="str">
        <f>"JP108012019  423-6908"</f>
        <v>JP108012019  423-6908</v>
      </c>
      <c r="G1513" s="2">
        <v>100</v>
      </c>
      <c r="H1513" t="str">
        <f>"JP108012019  423-6908"</f>
        <v>JP108012019  423-6908</v>
      </c>
    </row>
    <row r="1514" spans="1:8" x14ac:dyDescent="0.25">
      <c r="E1514" t="str">
        <f>"201911133236"</f>
        <v>201911133236</v>
      </c>
      <c r="F1514" t="str">
        <f>"16 485"</f>
        <v>16 485</v>
      </c>
      <c r="G1514" s="2">
        <v>400</v>
      </c>
      <c r="H1514" t="str">
        <f>"16 485"</f>
        <v>16 485</v>
      </c>
    </row>
    <row r="1515" spans="1:8" x14ac:dyDescent="0.25">
      <c r="E1515" t="str">
        <f>"201911153295"</f>
        <v>201911153295</v>
      </c>
      <c r="F1515" t="str">
        <f>"18-19013"</f>
        <v>18-19013</v>
      </c>
      <c r="G1515" s="2">
        <v>325</v>
      </c>
      <c r="H1515" t="str">
        <f>"18-19013"</f>
        <v>18-19013</v>
      </c>
    </row>
    <row r="1516" spans="1:8" x14ac:dyDescent="0.25">
      <c r="E1516" t="str">
        <f>"201911153296"</f>
        <v>201911153296</v>
      </c>
      <c r="F1516" t="str">
        <f>"423-6908  JP108012019  19-S-04"</f>
        <v>423-6908  JP108012019  19-S-04</v>
      </c>
      <c r="G1516" s="2">
        <v>250</v>
      </c>
      <c r="H1516" t="str">
        <f>"423-6908  JP108012019  19-S-04"</f>
        <v>423-6908  JP108012019  19-S-04</v>
      </c>
    </row>
    <row r="1517" spans="1:8" x14ac:dyDescent="0.25">
      <c r="E1517" t="str">
        <f>"201911193365"</f>
        <v>201911193365</v>
      </c>
      <c r="F1517" t="str">
        <f>"17-18617"</f>
        <v>17-18617</v>
      </c>
      <c r="G1517" s="2">
        <v>250</v>
      </c>
      <c r="H1517" t="str">
        <f>"17-18617"</f>
        <v>17-18617</v>
      </c>
    </row>
    <row r="1518" spans="1:8" x14ac:dyDescent="0.25">
      <c r="E1518" t="str">
        <f>"201911193366"</f>
        <v>201911193366</v>
      </c>
      <c r="F1518" t="str">
        <f>"19-19638"</f>
        <v>19-19638</v>
      </c>
      <c r="G1518" s="2">
        <v>212.5</v>
      </c>
      <c r="H1518" t="str">
        <f>"19-19638"</f>
        <v>19-19638</v>
      </c>
    </row>
    <row r="1519" spans="1:8" x14ac:dyDescent="0.25">
      <c r="E1519" t="str">
        <f>"201911193367"</f>
        <v>201911193367</v>
      </c>
      <c r="F1519" t="str">
        <f>"19-19863"</f>
        <v>19-19863</v>
      </c>
      <c r="G1519" s="2">
        <v>212.5</v>
      </c>
      <c r="H1519" t="str">
        <f>"19-19863"</f>
        <v>19-19863</v>
      </c>
    </row>
    <row r="1520" spans="1:8" x14ac:dyDescent="0.25">
      <c r="E1520" t="str">
        <f>"201911193368"</f>
        <v>201911193368</v>
      </c>
      <c r="F1520" t="str">
        <f>"18-19365"</f>
        <v>18-19365</v>
      </c>
      <c r="G1520" s="2">
        <v>325</v>
      </c>
      <c r="H1520" t="str">
        <f>"18-19365"</f>
        <v>18-19365</v>
      </c>
    </row>
    <row r="1521" spans="1:8" x14ac:dyDescent="0.25">
      <c r="E1521" t="str">
        <f>"201911193369"</f>
        <v>201911193369</v>
      </c>
      <c r="F1521" t="str">
        <f>"19-19863"</f>
        <v>19-19863</v>
      </c>
      <c r="G1521" s="2">
        <v>250</v>
      </c>
      <c r="H1521" t="str">
        <f>"19-19863"</f>
        <v>19-19863</v>
      </c>
    </row>
    <row r="1522" spans="1:8" x14ac:dyDescent="0.25">
      <c r="E1522" t="str">
        <f>"201911193370"</f>
        <v>201911193370</v>
      </c>
      <c r="F1522" t="str">
        <f>"17-18617"</f>
        <v>17-18617</v>
      </c>
      <c r="G1522" s="2">
        <v>250</v>
      </c>
      <c r="H1522" t="str">
        <f>"17-18617"</f>
        <v>17-18617</v>
      </c>
    </row>
    <row r="1523" spans="1:8" x14ac:dyDescent="0.25">
      <c r="E1523" t="str">
        <f>"201911193371"</f>
        <v>201911193371</v>
      </c>
      <c r="F1523" t="str">
        <f>"19-19638"</f>
        <v>19-19638</v>
      </c>
      <c r="G1523" s="2">
        <v>212.5</v>
      </c>
      <c r="H1523" t="str">
        <f>"19-19638"</f>
        <v>19-19638</v>
      </c>
    </row>
    <row r="1524" spans="1:8" x14ac:dyDescent="0.25">
      <c r="E1524" t="str">
        <f>"201911193372"</f>
        <v>201911193372</v>
      </c>
      <c r="F1524" t="str">
        <f>"19-19863"</f>
        <v>19-19863</v>
      </c>
      <c r="G1524" s="2">
        <v>212.5</v>
      </c>
      <c r="H1524" t="str">
        <f>"19-19863"</f>
        <v>19-19863</v>
      </c>
    </row>
    <row r="1525" spans="1:8" x14ac:dyDescent="0.25">
      <c r="E1525" t="str">
        <f>"201911193373"</f>
        <v>201911193373</v>
      </c>
      <c r="F1525" t="str">
        <f>"57 231"</f>
        <v>57 231</v>
      </c>
      <c r="G1525" s="2">
        <v>250</v>
      </c>
      <c r="H1525" t="str">
        <f>"57 231"</f>
        <v>57 231</v>
      </c>
    </row>
    <row r="1526" spans="1:8" x14ac:dyDescent="0.25">
      <c r="E1526" t="str">
        <f>"201911193374"</f>
        <v>201911193374</v>
      </c>
      <c r="F1526" t="str">
        <f>"925346996XA001  410037.1"</f>
        <v>925346996XA001  410037.1</v>
      </c>
      <c r="G1526" s="2">
        <v>250</v>
      </c>
      <c r="H1526" t="str">
        <f>"925346996XA001  410037.1"</f>
        <v>925346996XA001  410037.1</v>
      </c>
    </row>
    <row r="1527" spans="1:8" x14ac:dyDescent="0.25">
      <c r="E1527" t="str">
        <f>"201911193375"</f>
        <v>201911193375</v>
      </c>
      <c r="F1527" t="str">
        <f>"57 231"</f>
        <v>57 231</v>
      </c>
      <c r="G1527" s="2">
        <v>250</v>
      </c>
      <c r="H1527" t="str">
        <f>"57 231"</f>
        <v>57 231</v>
      </c>
    </row>
    <row r="1528" spans="1:8" x14ac:dyDescent="0.25">
      <c r="A1528" t="s">
        <v>404</v>
      </c>
      <c r="B1528">
        <v>1739</v>
      </c>
      <c r="C1528" s="2">
        <v>999685</v>
      </c>
      <c r="D1528" s="1">
        <v>43782</v>
      </c>
      <c r="E1528" t="str">
        <f>"201911073057"</f>
        <v>201911073057</v>
      </c>
      <c r="F1528" t="str">
        <f>"ACCT#:BASTRCOU 2019-2020"</f>
        <v>ACCT#:BASTRCOU 2019-2020</v>
      </c>
      <c r="G1528" s="2">
        <v>999685</v>
      </c>
      <c r="H1528" t="str">
        <f>"ACCT#:BASTRCOU 2019-2020"</f>
        <v>ACCT#:BASTRCOU 2019-2020</v>
      </c>
    </row>
    <row r="1529" spans="1:8" x14ac:dyDescent="0.25">
      <c r="A1529" t="s">
        <v>405</v>
      </c>
      <c r="B1529">
        <v>129825</v>
      </c>
      <c r="C1529" s="2">
        <v>1345.1</v>
      </c>
      <c r="D1529" s="1">
        <v>43794</v>
      </c>
      <c r="E1529" t="str">
        <f>"201911143258"</f>
        <v>201911143258</v>
      </c>
      <c r="F1529" t="str">
        <f>"REFUND"</f>
        <v>REFUND</v>
      </c>
      <c r="G1529" s="2">
        <v>1345.1</v>
      </c>
      <c r="H1529" t="str">
        <f>"REFUND"</f>
        <v>REFUND</v>
      </c>
    </row>
    <row r="1530" spans="1:8" x14ac:dyDescent="0.25">
      <c r="A1530" t="s">
        <v>406</v>
      </c>
      <c r="B1530">
        <v>84816</v>
      </c>
      <c r="C1530" s="2">
        <v>4308</v>
      </c>
      <c r="D1530" s="1">
        <v>43781</v>
      </c>
      <c r="E1530" t="str">
        <f>"4051"</f>
        <v>4051</v>
      </c>
      <c r="F1530" t="str">
        <f>"Acessories for cargo van"</f>
        <v>Acessories for cargo van</v>
      </c>
      <c r="G1530" s="2">
        <v>4308</v>
      </c>
      <c r="H1530" t="str">
        <f>"96142"</f>
        <v>96142</v>
      </c>
    </row>
    <row r="1531" spans="1:8" x14ac:dyDescent="0.25">
      <c r="E1531" t="str">
        <f>""</f>
        <v/>
      </c>
      <c r="F1531" t="str">
        <f>""</f>
        <v/>
      </c>
      <c r="H1531" t="str">
        <f>"9363"</f>
        <v>9363</v>
      </c>
    </row>
    <row r="1532" spans="1:8" x14ac:dyDescent="0.25">
      <c r="E1532" t="str">
        <f>""</f>
        <v/>
      </c>
      <c r="F1532" t="str">
        <f>""</f>
        <v/>
      </c>
      <c r="H1532" t="str">
        <f>"9893"</f>
        <v>9893</v>
      </c>
    </row>
    <row r="1533" spans="1:8" x14ac:dyDescent="0.25">
      <c r="E1533" t="str">
        <f>""</f>
        <v/>
      </c>
      <c r="F1533" t="str">
        <f>""</f>
        <v/>
      </c>
      <c r="H1533" t="str">
        <f>"9882"</f>
        <v>9882</v>
      </c>
    </row>
    <row r="1534" spans="1:8" x14ac:dyDescent="0.25">
      <c r="E1534" t="str">
        <f>""</f>
        <v/>
      </c>
      <c r="F1534" t="str">
        <f>""</f>
        <v/>
      </c>
      <c r="H1534" t="str">
        <f>"301-301"</f>
        <v>301-301</v>
      </c>
    </row>
    <row r="1535" spans="1:8" x14ac:dyDescent="0.25">
      <c r="E1535" t="str">
        <f>""</f>
        <v/>
      </c>
      <c r="F1535" t="str">
        <f>""</f>
        <v/>
      </c>
      <c r="H1535" t="str">
        <f>"88050"</f>
        <v>88050</v>
      </c>
    </row>
    <row r="1536" spans="1:8" x14ac:dyDescent="0.25">
      <c r="E1536" t="str">
        <f>""</f>
        <v/>
      </c>
      <c r="F1536" t="str">
        <f>""</f>
        <v/>
      </c>
      <c r="H1536" t="str">
        <f>"7211"</f>
        <v>7211</v>
      </c>
    </row>
    <row r="1537" spans="1:8" x14ac:dyDescent="0.25">
      <c r="E1537" t="str">
        <f>""</f>
        <v/>
      </c>
      <c r="F1537" t="str">
        <f>""</f>
        <v/>
      </c>
      <c r="H1537" t="str">
        <f>"5083"</f>
        <v>5083</v>
      </c>
    </row>
    <row r="1538" spans="1:8" x14ac:dyDescent="0.25">
      <c r="A1538" t="s">
        <v>407</v>
      </c>
      <c r="B1538">
        <v>84817</v>
      </c>
      <c r="C1538" s="2">
        <v>1291.75</v>
      </c>
      <c r="D1538" s="1">
        <v>43781</v>
      </c>
      <c r="E1538" t="str">
        <f>"841203498"</f>
        <v>841203498</v>
      </c>
      <c r="F1538" t="str">
        <f>"ACCT#1000648597/WEST INFO CHRG"</f>
        <v>ACCT#1000648597/WEST INFO CHRG</v>
      </c>
      <c r="G1538" s="2">
        <v>572</v>
      </c>
      <c r="H1538" t="str">
        <f>"ACCT#1000648597/WEST INFO CHRG"</f>
        <v>ACCT#1000648597/WEST INFO CHRG</v>
      </c>
    </row>
    <row r="1539" spans="1:8" x14ac:dyDescent="0.25">
      <c r="E1539" t="str">
        <f>"841217989"</f>
        <v>841217989</v>
      </c>
      <c r="F1539" t="str">
        <f>"ACCT#1005022937 - 10312019"</f>
        <v>ACCT#1005022937 - 10312019</v>
      </c>
      <c r="G1539" s="2">
        <v>719.75</v>
      </c>
      <c r="H1539" t="str">
        <f>"ACCT#1005022937 - 10312019"</f>
        <v>ACCT#1005022937 - 10312019</v>
      </c>
    </row>
    <row r="1540" spans="1:8" x14ac:dyDescent="0.25">
      <c r="A1540" t="s">
        <v>407</v>
      </c>
      <c r="B1540">
        <v>129826</v>
      </c>
      <c r="C1540" s="2">
        <v>415.26</v>
      </c>
      <c r="D1540" s="1">
        <v>43794</v>
      </c>
      <c r="E1540" t="str">
        <f>"6130988179"</f>
        <v>6130988179</v>
      </c>
      <c r="F1540" t="str">
        <f>"ACCT#1003035377/ORD#203638359"</f>
        <v>ACCT#1003035377/ORD#203638359</v>
      </c>
      <c r="G1540" s="2">
        <v>231</v>
      </c>
      <c r="H1540" t="str">
        <f>"ACCT#1003035377/ORD#203638359"</f>
        <v>ACCT#1003035377/ORD#203638359</v>
      </c>
    </row>
    <row r="1541" spans="1:8" x14ac:dyDescent="0.25">
      <c r="E1541" t="str">
        <f>"841217559"</f>
        <v>841217559</v>
      </c>
      <c r="F1541" t="str">
        <f>"ACCT#1000310962/WEST INFO CHRG"</f>
        <v>ACCT#1000310962/WEST INFO CHRG</v>
      </c>
      <c r="G1541" s="2">
        <v>184.26</v>
      </c>
      <c r="H1541" t="str">
        <f>"ACCT#1000310962/WEST INFO CHRG"</f>
        <v>ACCT#1000310962/WEST INFO CHRG</v>
      </c>
    </row>
    <row r="1542" spans="1:8" x14ac:dyDescent="0.25">
      <c r="A1542" t="s">
        <v>408</v>
      </c>
      <c r="B1542">
        <v>84818</v>
      </c>
      <c r="C1542" s="2">
        <v>720</v>
      </c>
      <c r="D1542" s="1">
        <v>43781</v>
      </c>
      <c r="E1542" t="str">
        <f>"201910292800"</f>
        <v>201910292800</v>
      </c>
      <c r="F1542" t="str">
        <f>"423-09-1392"</f>
        <v>423-09-1392</v>
      </c>
      <c r="G1542" s="2">
        <v>720</v>
      </c>
      <c r="H1542" t="str">
        <f>"423-09-1392"</f>
        <v>423-09-1392</v>
      </c>
    </row>
    <row r="1543" spans="1:8" x14ac:dyDescent="0.25">
      <c r="A1543" t="s">
        <v>409</v>
      </c>
      <c r="B1543">
        <v>84819</v>
      </c>
      <c r="C1543" s="2">
        <v>11335.54</v>
      </c>
      <c r="D1543" s="1">
        <v>43781</v>
      </c>
      <c r="E1543" t="str">
        <f>"201911052987"</f>
        <v>201911052987</v>
      </c>
      <c r="F1543" t="str">
        <f>"ACCT#8260163000003669"</f>
        <v>ACCT#8260163000003669</v>
      </c>
      <c r="G1543" s="2">
        <v>11335.54</v>
      </c>
      <c r="H1543" t="str">
        <f>"ACCT#8260163000003669"</f>
        <v>ACCT#8260163000003669</v>
      </c>
    </row>
    <row r="1544" spans="1:8" x14ac:dyDescent="0.25">
      <c r="E1544" t="str">
        <f>""</f>
        <v/>
      </c>
      <c r="F1544" t="str">
        <f>""</f>
        <v/>
      </c>
      <c r="H1544" t="str">
        <f>"ACCT#8260163000003669"</f>
        <v>ACCT#8260163000003669</v>
      </c>
    </row>
    <row r="1545" spans="1:8" x14ac:dyDescent="0.25">
      <c r="A1545" t="s">
        <v>410</v>
      </c>
      <c r="B1545">
        <v>84820</v>
      </c>
      <c r="C1545" s="2">
        <v>930.46</v>
      </c>
      <c r="D1545" s="1">
        <v>43781</v>
      </c>
      <c r="E1545" t="str">
        <f>"201911053005"</f>
        <v>201911053005</v>
      </c>
      <c r="F1545" t="str">
        <f>"acct# 6035301200160982"</f>
        <v>acct# 6035301200160982</v>
      </c>
      <c r="G1545" s="2">
        <v>474.96</v>
      </c>
      <c r="H1545" t="str">
        <f>"Inv# 300575777"</f>
        <v>Inv# 300575777</v>
      </c>
    </row>
    <row r="1546" spans="1:8" x14ac:dyDescent="0.25">
      <c r="E1546" t="str">
        <f>""</f>
        <v/>
      </c>
      <c r="F1546" t="str">
        <f>""</f>
        <v/>
      </c>
      <c r="H1546" t="str">
        <f>"Inv# 300573767"</f>
        <v>Inv# 300573767</v>
      </c>
    </row>
    <row r="1547" spans="1:8" x14ac:dyDescent="0.25">
      <c r="E1547" t="str">
        <f>""</f>
        <v/>
      </c>
      <c r="F1547" t="str">
        <f>""</f>
        <v/>
      </c>
      <c r="H1547" t="str">
        <f>"Inv# 300575701"</f>
        <v>Inv# 300575701</v>
      </c>
    </row>
    <row r="1548" spans="1:8" x14ac:dyDescent="0.25">
      <c r="E1548" t="str">
        <f>""</f>
        <v/>
      </c>
      <c r="F1548" t="str">
        <f>""</f>
        <v/>
      </c>
      <c r="H1548" t="str">
        <f>"Inv# 200351169"</f>
        <v>Inv# 200351169</v>
      </c>
    </row>
    <row r="1549" spans="1:8" x14ac:dyDescent="0.25">
      <c r="E1549" t="str">
        <f>""</f>
        <v/>
      </c>
      <c r="F1549" t="str">
        <f>""</f>
        <v/>
      </c>
      <c r="H1549" t="str">
        <f>"Inv# 300574617"</f>
        <v>Inv# 300574617</v>
      </c>
    </row>
    <row r="1550" spans="1:8" x14ac:dyDescent="0.25">
      <c r="E1550" t="str">
        <f>"201911073059"</f>
        <v>201911073059</v>
      </c>
      <c r="F1550" t="str">
        <f>"aCCT# 6035301200160982"</f>
        <v>aCCT# 6035301200160982</v>
      </c>
      <c r="G1550" s="2">
        <v>455.5</v>
      </c>
      <c r="H1550" t="str">
        <f>"Inv# 300577400"</f>
        <v>Inv# 300577400</v>
      </c>
    </row>
    <row r="1551" spans="1:8" x14ac:dyDescent="0.25">
      <c r="E1551" t="str">
        <f>""</f>
        <v/>
      </c>
      <c r="F1551" t="str">
        <f>""</f>
        <v/>
      </c>
      <c r="H1551" t="str">
        <f>"Inv# 300576083"</f>
        <v>Inv# 300576083</v>
      </c>
    </row>
    <row r="1552" spans="1:8" x14ac:dyDescent="0.25">
      <c r="E1552" t="str">
        <f>""</f>
        <v/>
      </c>
      <c r="F1552" t="str">
        <f>""</f>
        <v/>
      </c>
      <c r="H1552" t="str">
        <f>"inv# 100609562"</f>
        <v>inv# 100609562</v>
      </c>
    </row>
    <row r="1553" spans="1:8" x14ac:dyDescent="0.25">
      <c r="E1553" t="str">
        <f>""</f>
        <v/>
      </c>
      <c r="F1553" t="str">
        <f>""</f>
        <v/>
      </c>
      <c r="H1553" t="str">
        <f>"Inv# 20060261"</f>
        <v>Inv# 20060261</v>
      </c>
    </row>
    <row r="1554" spans="1:8" x14ac:dyDescent="0.25">
      <c r="E1554" t="str">
        <f>""</f>
        <v/>
      </c>
      <c r="F1554" t="str">
        <f>""</f>
        <v/>
      </c>
      <c r="H1554" t="str">
        <f>"Inv# 200603939"</f>
        <v>Inv# 200603939</v>
      </c>
    </row>
    <row r="1555" spans="1:8" x14ac:dyDescent="0.25">
      <c r="A1555" t="s">
        <v>411</v>
      </c>
      <c r="B1555">
        <v>84821</v>
      </c>
      <c r="C1555" s="2">
        <v>225</v>
      </c>
      <c r="D1555" s="1">
        <v>43781</v>
      </c>
      <c r="E1555" t="str">
        <f>"12786"</f>
        <v>12786</v>
      </c>
      <c r="F1555" t="str">
        <f>"SERVICE"</f>
        <v>SERVICE</v>
      </c>
      <c r="G1555" s="2">
        <v>150</v>
      </c>
      <c r="H1555" t="str">
        <f>"SERVICE"</f>
        <v>SERVICE</v>
      </c>
    </row>
    <row r="1556" spans="1:8" x14ac:dyDescent="0.25">
      <c r="E1556" t="str">
        <f>"13065"</f>
        <v>13065</v>
      </c>
      <c r="F1556" t="str">
        <f>"SERVICE"</f>
        <v>SERVICE</v>
      </c>
      <c r="G1556" s="2">
        <v>75</v>
      </c>
      <c r="H1556" t="str">
        <f>"SERVICE"</f>
        <v>SERVICE</v>
      </c>
    </row>
    <row r="1557" spans="1:8" x14ac:dyDescent="0.25">
      <c r="A1557" t="s">
        <v>411</v>
      </c>
      <c r="B1557">
        <v>129827</v>
      </c>
      <c r="C1557" s="2">
        <v>150</v>
      </c>
      <c r="D1557" s="1">
        <v>43794</v>
      </c>
      <c r="E1557" t="str">
        <f>"12847"</f>
        <v>12847</v>
      </c>
      <c r="F1557" t="str">
        <f>"SERVICE  08/26/19"</f>
        <v>SERVICE  08/26/19</v>
      </c>
      <c r="G1557" s="2">
        <v>75</v>
      </c>
      <c r="H1557" t="str">
        <f>"SERVICE  08/26/19"</f>
        <v>SERVICE  08/26/19</v>
      </c>
    </row>
    <row r="1558" spans="1:8" x14ac:dyDescent="0.25">
      <c r="E1558" t="str">
        <f>"12890"</f>
        <v>12890</v>
      </c>
      <c r="F1558" t="str">
        <f>"SERVICE  08/26/19"</f>
        <v>SERVICE  08/26/19</v>
      </c>
      <c r="G1558" s="2">
        <v>75</v>
      </c>
      <c r="H1558" t="str">
        <f>"SERVICE  08/26/19"</f>
        <v>SERVICE  08/26/19</v>
      </c>
    </row>
    <row r="1559" spans="1:8" x14ac:dyDescent="0.25">
      <c r="A1559" t="s">
        <v>412</v>
      </c>
      <c r="B1559">
        <v>84822</v>
      </c>
      <c r="C1559" s="2">
        <v>14500</v>
      </c>
      <c r="D1559" s="1">
        <v>43781</v>
      </c>
      <c r="E1559" t="str">
        <f>"3300002875"</f>
        <v>3300002875</v>
      </c>
      <c r="F1559" t="str">
        <f>"CUST#100733/INV#3300002875"</f>
        <v>CUST#100733/INV#3300002875</v>
      </c>
      <c r="G1559" s="2">
        <v>14500</v>
      </c>
      <c r="H1559" t="str">
        <f>"CUST#100733/INV#3300002875"</f>
        <v>CUST#100733/INV#3300002875</v>
      </c>
    </row>
    <row r="1560" spans="1:8" x14ac:dyDescent="0.25">
      <c r="A1560" t="s">
        <v>413</v>
      </c>
      <c r="B1560">
        <v>1701</v>
      </c>
      <c r="C1560" s="2">
        <v>922.33</v>
      </c>
      <c r="D1560" s="1">
        <v>43782</v>
      </c>
      <c r="E1560" t="str">
        <f>"784661"</f>
        <v>784661</v>
      </c>
      <c r="F1560" t="str">
        <f>"INV 784661 / UNIT 6554"</f>
        <v>INV 784661 / UNIT 6554</v>
      </c>
      <c r="G1560" s="2">
        <v>426.33</v>
      </c>
      <c r="H1560" t="str">
        <f>"INV 784661 / UNIT 6554"</f>
        <v>INV 784661 / UNIT 6554</v>
      </c>
    </row>
    <row r="1561" spans="1:8" x14ac:dyDescent="0.25">
      <c r="E1561" t="str">
        <f>"784662"</f>
        <v>784662</v>
      </c>
      <c r="F1561" t="str">
        <f>"INV 784662 / UNIT 8953"</f>
        <v>INV 784662 / UNIT 8953</v>
      </c>
      <c r="G1561" s="2">
        <v>142.11000000000001</v>
      </c>
      <c r="H1561" t="str">
        <f>"INV 784662 / UNIT 8953"</f>
        <v>INV 784662 / UNIT 8953</v>
      </c>
    </row>
    <row r="1562" spans="1:8" x14ac:dyDescent="0.25">
      <c r="E1562" t="str">
        <f>"787164"</f>
        <v>787164</v>
      </c>
      <c r="F1562" t="str">
        <f>"INV 787164 / UNIT 0120"</f>
        <v>INV 787164 / UNIT 0120</v>
      </c>
      <c r="G1562" s="2">
        <v>142.11000000000001</v>
      </c>
      <c r="H1562" t="str">
        <f>"INV 787164 / UNIT 0120"</f>
        <v>INV 787164 / UNIT 0120</v>
      </c>
    </row>
    <row r="1563" spans="1:8" x14ac:dyDescent="0.25">
      <c r="E1563" t="str">
        <f>"788377"</f>
        <v>788377</v>
      </c>
      <c r="F1563" t="str">
        <f>"INV 788377 / UNIT 7455"</f>
        <v>INV 788377 / UNIT 7455</v>
      </c>
      <c r="G1563" s="2">
        <v>211.78</v>
      </c>
      <c r="H1563" t="str">
        <f>"INV 788377 / UNIT 7455"</f>
        <v>INV 788377 / UNIT 7455</v>
      </c>
    </row>
    <row r="1564" spans="1:8" x14ac:dyDescent="0.25">
      <c r="A1564" t="s">
        <v>413</v>
      </c>
      <c r="B1564">
        <v>1764</v>
      </c>
      <c r="C1564" s="2">
        <v>555.79999999999995</v>
      </c>
      <c r="D1564" s="1">
        <v>43795</v>
      </c>
      <c r="E1564" t="str">
        <f>"788723"</f>
        <v>788723</v>
      </c>
      <c r="F1564" t="str">
        <f>"INV 788723 / UNIT 9379"</f>
        <v>INV 788723 / UNIT 9379</v>
      </c>
      <c r="G1564" s="2">
        <v>271.58</v>
      </c>
      <c r="H1564" t="str">
        <f>"INV 788723 / UNIT 9379"</f>
        <v>INV 788723 / UNIT 9379</v>
      </c>
    </row>
    <row r="1565" spans="1:8" x14ac:dyDescent="0.25">
      <c r="E1565" t="str">
        <f>"788724"</f>
        <v>788724</v>
      </c>
      <c r="F1565" t="str">
        <f>"INV 788724 / UNIT 4716"</f>
        <v>INV 788724 / UNIT 4716</v>
      </c>
      <c r="G1565" s="2">
        <v>284.22000000000003</v>
      </c>
      <c r="H1565" t="str">
        <f>"INV 788724 / UNIT 4716"</f>
        <v>INV 788724 / UNIT 4716</v>
      </c>
    </row>
    <row r="1566" spans="1:8" x14ac:dyDescent="0.25">
      <c r="A1566" t="s">
        <v>414</v>
      </c>
      <c r="B1566">
        <v>84823</v>
      </c>
      <c r="C1566" s="2">
        <v>1403.34</v>
      </c>
      <c r="D1566" s="1">
        <v>43781</v>
      </c>
      <c r="E1566" t="str">
        <f>"201911052878"</f>
        <v>201911052878</v>
      </c>
      <c r="F1566" t="str">
        <f>"REIMBURSE VEHICLE DAMAGE"</f>
        <v>REIMBURSE VEHICLE DAMAGE</v>
      </c>
      <c r="G1566" s="2">
        <v>1403.34</v>
      </c>
      <c r="H1566" t="str">
        <f>"REIMBURSE VEHICLE DAMAGE"</f>
        <v>REIMBURSE VEHICLE DAMAGE</v>
      </c>
    </row>
    <row r="1567" spans="1:8" x14ac:dyDescent="0.25">
      <c r="A1567" t="s">
        <v>415</v>
      </c>
      <c r="B1567">
        <v>1745</v>
      </c>
      <c r="C1567" s="2">
        <v>2000</v>
      </c>
      <c r="D1567" s="1">
        <v>43782</v>
      </c>
      <c r="E1567" t="str">
        <f>"201911052963"</f>
        <v>201911052963</v>
      </c>
      <c r="F1567" t="str">
        <f>"55861  55860"</f>
        <v>55861  55860</v>
      </c>
      <c r="G1567" s="2">
        <v>375</v>
      </c>
      <c r="H1567" t="str">
        <f>"55861  55860"</f>
        <v>55861  55860</v>
      </c>
    </row>
    <row r="1568" spans="1:8" x14ac:dyDescent="0.25">
      <c r="E1568" t="str">
        <f>"201911052964"</f>
        <v>201911052964</v>
      </c>
      <c r="F1568" t="str">
        <f>"02-048-2"</f>
        <v>02-048-2</v>
      </c>
      <c r="G1568" s="2">
        <v>250</v>
      </c>
      <c r="H1568" t="str">
        <f>"02-048-2"</f>
        <v>02-048-2</v>
      </c>
    </row>
    <row r="1569" spans="1:8" x14ac:dyDescent="0.25">
      <c r="E1569" t="str">
        <f>"201911052965"</f>
        <v>201911052965</v>
      </c>
      <c r="F1569" t="str">
        <f>"405299.7"</f>
        <v>405299.7</v>
      </c>
      <c r="G1569" s="2">
        <v>250</v>
      </c>
      <c r="H1569" t="str">
        <f>"405299.7"</f>
        <v>405299.7</v>
      </c>
    </row>
    <row r="1570" spans="1:8" x14ac:dyDescent="0.25">
      <c r="E1570" t="str">
        <f>"201911052966"</f>
        <v>201911052966</v>
      </c>
      <c r="F1570" t="str">
        <f>"406029-4"</f>
        <v>406029-4</v>
      </c>
      <c r="G1570" s="2">
        <v>250</v>
      </c>
      <c r="H1570" t="str">
        <f>"406029-4"</f>
        <v>406029-4</v>
      </c>
    </row>
    <row r="1571" spans="1:8" x14ac:dyDescent="0.25">
      <c r="E1571" t="str">
        <f>"201911052967"</f>
        <v>201911052967</v>
      </c>
      <c r="F1571" t="str">
        <f>"303032019F"</f>
        <v>303032019F</v>
      </c>
      <c r="G1571" s="2">
        <v>250</v>
      </c>
      <c r="H1571" t="str">
        <f>"303032019F"</f>
        <v>303032019F</v>
      </c>
    </row>
    <row r="1572" spans="1:8" x14ac:dyDescent="0.25">
      <c r="E1572" t="str">
        <f>"201911052968"</f>
        <v>201911052968</v>
      </c>
      <c r="F1572" t="str">
        <f>"BC20190620 CC20190428"</f>
        <v>BC20190620 CC20190428</v>
      </c>
      <c r="G1572" s="2">
        <v>375</v>
      </c>
      <c r="H1572" t="str">
        <f>"BC20190620 CC20190428"</f>
        <v>BC20190620 CC20190428</v>
      </c>
    </row>
    <row r="1573" spans="1:8" x14ac:dyDescent="0.25">
      <c r="E1573" t="str">
        <f>"201911052969"</f>
        <v>201911052969</v>
      </c>
      <c r="F1573" t="str">
        <f>"409268.4"</f>
        <v>409268.4</v>
      </c>
      <c r="G1573" s="2">
        <v>250</v>
      </c>
      <c r="H1573" t="str">
        <f>"409268.4"</f>
        <v>409268.4</v>
      </c>
    </row>
    <row r="1574" spans="1:8" x14ac:dyDescent="0.25">
      <c r="A1574" t="s">
        <v>415</v>
      </c>
      <c r="B1574">
        <v>1827</v>
      </c>
      <c r="C1574" s="2">
        <v>4500</v>
      </c>
      <c r="D1574" s="1">
        <v>43795</v>
      </c>
      <c r="E1574" t="str">
        <f>"201911133228"</f>
        <v>201911133228</v>
      </c>
      <c r="F1574" t="str">
        <f>"020912.3"</f>
        <v>020912.3</v>
      </c>
      <c r="G1574" s="2">
        <v>400</v>
      </c>
      <c r="H1574" t="str">
        <f>"020912.3"</f>
        <v>020912.3</v>
      </c>
    </row>
    <row r="1575" spans="1:8" x14ac:dyDescent="0.25">
      <c r="E1575" t="str">
        <f>"201911133229"</f>
        <v>201911133229</v>
      </c>
      <c r="F1575" t="str">
        <f>"304142017C"</f>
        <v>304142017C</v>
      </c>
      <c r="G1575" s="2">
        <v>400</v>
      </c>
      <c r="H1575" t="str">
        <f>"304142017C"</f>
        <v>304142017C</v>
      </c>
    </row>
    <row r="1576" spans="1:8" x14ac:dyDescent="0.25">
      <c r="E1576" t="str">
        <f>"201911133230"</f>
        <v>201911133230</v>
      </c>
      <c r="F1576" t="str">
        <f>"020114.1"</f>
        <v>020114.1</v>
      </c>
      <c r="G1576" s="2">
        <v>400</v>
      </c>
      <c r="H1576" t="str">
        <f>"020114.1"</f>
        <v>020114.1</v>
      </c>
    </row>
    <row r="1577" spans="1:8" x14ac:dyDescent="0.25">
      <c r="E1577" t="str">
        <f>"201911133231"</f>
        <v>201911133231</v>
      </c>
      <c r="F1577" t="str">
        <f>"AC.2017.1217"</f>
        <v>AC.2017.1217</v>
      </c>
      <c r="G1577" s="2">
        <v>400</v>
      </c>
      <c r="H1577" t="str">
        <f>"AC.2017.1217"</f>
        <v>AC.2017.1217</v>
      </c>
    </row>
    <row r="1578" spans="1:8" x14ac:dyDescent="0.25">
      <c r="E1578" t="str">
        <f>"201911133232"</f>
        <v>201911133232</v>
      </c>
      <c r="F1578" t="str">
        <f>"DCW.19.001"</f>
        <v>DCW.19.001</v>
      </c>
      <c r="G1578" s="2">
        <v>400</v>
      </c>
      <c r="H1578" t="str">
        <f>"DCW.19.001"</f>
        <v>DCW.19.001</v>
      </c>
    </row>
    <row r="1579" spans="1:8" x14ac:dyDescent="0.25">
      <c r="E1579" t="str">
        <f>"201911193349"</f>
        <v>201911193349</v>
      </c>
      <c r="F1579" t="str">
        <f>"309142019D"</f>
        <v>309142019D</v>
      </c>
      <c r="G1579" s="2">
        <v>250</v>
      </c>
      <c r="H1579" t="str">
        <f>"309142019D"</f>
        <v>309142019D</v>
      </c>
    </row>
    <row r="1580" spans="1:8" x14ac:dyDescent="0.25">
      <c r="E1580" t="str">
        <f>"201911193350"</f>
        <v>201911193350</v>
      </c>
      <c r="F1580" t="str">
        <f>"304142017B"</f>
        <v>304142017B</v>
      </c>
      <c r="G1580" s="2">
        <v>250</v>
      </c>
      <c r="H1580" t="str">
        <f>"304142017B"</f>
        <v>304142017B</v>
      </c>
    </row>
    <row r="1581" spans="1:8" x14ac:dyDescent="0.25">
      <c r="E1581" t="str">
        <f>"201911193351"</f>
        <v>201911193351</v>
      </c>
      <c r="F1581" t="str">
        <f>"JPW-120817-19"</f>
        <v>JPW-120817-19</v>
      </c>
      <c r="G1581" s="2">
        <v>250</v>
      </c>
      <c r="H1581" t="str">
        <f>"JPW-120817-19"</f>
        <v>JPW-120817-19</v>
      </c>
    </row>
    <row r="1582" spans="1:8" x14ac:dyDescent="0.25">
      <c r="E1582" t="str">
        <f>"201911193352"</f>
        <v>201911193352</v>
      </c>
      <c r="F1582" t="str">
        <f>"CH-20171003-A"</f>
        <v>CH-20171003-A</v>
      </c>
      <c r="G1582" s="2">
        <v>250</v>
      </c>
      <c r="H1582" t="str">
        <f>"CH-20171003-A"</f>
        <v>CH-20171003-A</v>
      </c>
    </row>
    <row r="1583" spans="1:8" x14ac:dyDescent="0.25">
      <c r="E1583" t="str">
        <f>"201911193353"</f>
        <v>201911193353</v>
      </c>
      <c r="F1583" t="str">
        <f>"305222016D"</f>
        <v>305222016D</v>
      </c>
      <c r="G1583" s="2">
        <v>250</v>
      </c>
      <c r="H1583" t="str">
        <f>"305222016D"</f>
        <v>305222016D</v>
      </c>
    </row>
    <row r="1584" spans="1:8" x14ac:dyDescent="0.25">
      <c r="E1584" t="str">
        <f>"201911193354"</f>
        <v>201911193354</v>
      </c>
      <c r="F1584" t="str">
        <f>"408087.1"</f>
        <v>408087.1</v>
      </c>
      <c r="G1584" s="2">
        <v>250</v>
      </c>
      <c r="H1584" t="str">
        <f>"408087.1"</f>
        <v>408087.1</v>
      </c>
    </row>
    <row r="1585" spans="1:9" x14ac:dyDescent="0.25">
      <c r="E1585" t="str">
        <f>"201911193355"</f>
        <v>201911193355</v>
      </c>
      <c r="F1585" t="str">
        <f>"C170033"</f>
        <v>C170033</v>
      </c>
      <c r="G1585" s="2">
        <v>250</v>
      </c>
      <c r="H1585" t="str">
        <f>"C170033"</f>
        <v>C170033</v>
      </c>
    </row>
    <row r="1586" spans="1:9" x14ac:dyDescent="0.25">
      <c r="E1586" t="str">
        <f>"201911193356"</f>
        <v>201911193356</v>
      </c>
      <c r="F1586" t="str">
        <f>"CH-20170101-C"</f>
        <v>CH-20170101-C</v>
      </c>
      <c r="G1586" s="2">
        <v>250</v>
      </c>
      <c r="H1586" t="str">
        <f>"CH-20170101-C"</f>
        <v>CH-20170101-C</v>
      </c>
    </row>
    <row r="1587" spans="1:9" x14ac:dyDescent="0.25">
      <c r="E1587" t="str">
        <f>"201911193357"</f>
        <v>201911193357</v>
      </c>
      <c r="F1587" t="str">
        <f>"53 801"</f>
        <v>53 801</v>
      </c>
      <c r="G1587" s="2">
        <v>250</v>
      </c>
      <c r="H1587" t="str">
        <f>"53 801"</f>
        <v>53 801</v>
      </c>
    </row>
    <row r="1588" spans="1:9" x14ac:dyDescent="0.25">
      <c r="E1588" t="str">
        <f>"201911193358"</f>
        <v>201911193358</v>
      </c>
      <c r="F1588" t="str">
        <f>"407109.3"</f>
        <v>407109.3</v>
      </c>
      <c r="G1588" s="2">
        <v>250</v>
      </c>
      <c r="H1588" t="str">
        <f>"407109.3"</f>
        <v>407109.3</v>
      </c>
    </row>
    <row r="1589" spans="1:9" x14ac:dyDescent="0.25">
      <c r="A1589" t="s">
        <v>416</v>
      </c>
      <c r="B1589">
        <v>84824</v>
      </c>
      <c r="C1589" s="2">
        <v>3139.06</v>
      </c>
      <c r="D1589" s="1">
        <v>43781</v>
      </c>
      <c r="E1589" t="str">
        <f>"025-275517"</f>
        <v>025-275517</v>
      </c>
      <c r="F1589" t="str">
        <f>"CUST#42161-11814/IT DEPT"</f>
        <v>CUST#42161-11814/IT DEPT</v>
      </c>
      <c r="G1589" s="2">
        <v>1109.56</v>
      </c>
      <c r="H1589" t="str">
        <f>"CUST#42161-11814/IT DEPT"</f>
        <v>CUST#42161-11814/IT DEPT</v>
      </c>
    </row>
    <row r="1590" spans="1:9" x14ac:dyDescent="0.25">
      <c r="E1590" t="str">
        <f>""</f>
        <v/>
      </c>
      <c r="F1590" t="str">
        <f>""</f>
        <v/>
      </c>
      <c r="H1590" t="str">
        <f>"CUST#42161-11814/IT DEPT"</f>
        <v>CUST#42161-11814/IT DEPT</v>
      </c>
    </row>
    <row r="1591" spans="1:9" x14ac:dyDescent="0.25">
      <c r="E1591" t="str">
        <f>"130-9764"</f>
        <v>130-9764</v>
      </c>
      <c r="F1591" t="str">
        <f>"CUST#42161/MAINTENANCE"</f>
        <v>CUST#42161/MAINTENANCE</v>
      </c>
      <c r="G1591" s="2">
        <v>2029.5</v>
      </c>
      <c r="H1591" t="str">
        <f>"CUST#42161/MAINTENANCE"</f>
        <v>CUST#42161/MAINTENANCE</v>
      </c>
    </row>
    <row r="1592" spans="1:9" x14ac:dyDescent="0.25">
      <c r="E1592" t="str">
        <f>""</f>
        <v/>
      </c>
      <c r="F1592" t="str">
        <f>""</f>
        <v/>
      </c>
      <c r="H1592" t="str">
        <f>"CUST#42161/MAINTENANCE"</f>
        <v>CUST#42161/MAINTENANCE</v>
      </c>
    </row>
    <row r="1593" spans="1:9" x14ac:dyDescent="0.25">
      <c r="A1593" t="s">
        <v>417</v>
      </c>
      <c r="B1593">
        <v>84825</v>
      </c>
      <c r="C1593" s="2">
        <v>53.36</v>
      </c>
      <c r="D1593" s="1">
        <v>43781</v>
      </c>
      <c r="E1593" t="str">
        <f>"201911052888"</f>
        <v>201911052888</v>
      </c>
      <c r="F1593" t="str">
        <f>"MILEAGE REIMBURSEMENT"</f>
        <v>MILEAGE REIMBURSEMENT</v>
      </c>
      <c r="G1593" s="2">
        <v>53.36</v>
      </c>
      <c r="H1593" t="str">
        <f>"MILEAGE REIMBURSEMENT"</f>
        <v>MILEAGE REIMBURSEMENT</v>
      </c>
    </row>
    <row r="1594" spans="1:9" x14ac:dyDescent="0.25">
      <c r="A1594" t="s">
        <v>352</v>
      </c>
      <c r="B1594">
        <v>84826</v>
      </c>
      <c r="C1594" s="2">
        <v>7344.59</v>
      </c>
      <c r="D1594" s="1">
        <v>43781</v>
      </c>
      <c r="E1594" t="str">
        <f>"4584*98041*1"</f>
        <v>4584*98041*1</v>
      </c>
      <c r="F1594" t="str">
        <f>"JAIL MEDICAL"</f>
        <v>JAIL MEDICAL</v>
      </c>
      <c r="G1594" s="2">
        <v>7344.59</v>
      </c>
      <c r="H1594" t="str">
        <f>"JAIL MEDICAL"</f>
        <v>JAIL MEDICAL</v>
      </c>
    </row>
    <row r="1595" spans="1:9" x14ac:dyDescent="0.25">
      <c r="A1595" t="s">
        <v>418</v>
      </c>
      <c r="B1595">
        <v>129828</v>
      </c>
      <c r="C1595" s="2">
        <v>46.77</v>
      </c>
      <c r="D1595" s="1">
        <v>43794</v>
      </c>
      <c r="E1595" t="str">
        <f>"00018VW63429"</f>
        <v>00018VW63429</v>
      </c>
      <c r="F1595" t="str">
        <f>"INV 000018VW63429 / 63469"</f>
        <v>INV 000018VW63429 / 63469</v>
      </c>
      <c r="G1595" s="2">
        <v>46.77</v>
      </c>
      <c r="H1595" t="str">
        <f>"INV 000018VW63469"</f>
        <v>INV 000018VW63469</v>
      </c>
    </row>
    <row r="1596" spans="1:9" x14ac:dyDescent="0.25">
      <c r="E1596" t="str">
        <f>""</f>
        <v/>
      </c>
      <c r="F1596" t="str">
        <f>""</f>
        <v/>
      </c>
      <c r="H1596" t="str">
        <f>"INV 000018VW63429"</f>
        <v>INV 000018VW63429</v>
      </c>
    </row>
    <row r="1597" spans="1:9" x14ac:dyDescent="0.25">
      <c r="E1597" t="str">
        <f>""</f>
        <v/>
      </c>
      <c r="F1597" t="str">
        <f>""</f>
        <v/>
      </c>
      <c r="H1597" t="str">
        <f>"INV 000018VW63429"</f>
        <v>INV 000018VW63429</v>
      </c>
    </row>
    <row r="1598" spans="1:9" x14ac:dyDescent="0.25">
      <c r="A1598" t="s">
        <v>419</v>
      </c>
      <c r="B1598">
        <v>84827</v>
      </c>
      <c r="C1598" s="2">
        <v>275.45999999999998</v>
      </c>
      <c r="D1598" s="1">
        <v>43781</v>
      </c>
      <c r="E1598" t="s">
        <v>420</v>
      </c>
      <c r="F1598" t="s">
        <v>421</v>
      </c>
      <c r="G1598" s="2" t="str">
        <f>"INVOICE #:561710 051742"</f>
        <v>INVOICE #:561710 051742</v>
      </c>
      <c r="H1598" t="str">
        <f>"510-4510"</f>
        <v>510-4510</v>
      </c>
      <c r="I1598" t="str">
        <f>"19-23849"</f>
        <v>19-23849</v>
      </c>
    </row>
    <row r="1599" spans="1:9" x14ac:dyDescent="0.25">
      <c r="E1599" t="str">
        <f>""</f>
        <v/>
      </c>
      <c r="F1599" t="str">
        <f>""</f>
        <v/>
      </c>
      <c r="H1599" t="str">
        <f>"SHIPPING"</f>
        <v>SHIPPING</v>
      </c>
    </row>
    <row r="1600" spans="1:9" x14ac:dyDescent="0.25">
      <c r="A1600" t="s">
        <v>422</v>
      </c>
      <c r="B1600">
        <v>129829</v>
      </c>
      <c r="C1600" s="2">
        <v>140.33000000000001</v>
      </c>
      <c r="D1600" s="1">
        <v>43794</v>
      </c>
      <c r="E1600" t="str">
        <f>"201911203501"</f>
        <v>201911203501</v>
      </c>
      <c r="F1600" t="str">
        <f>"INDIGENT HEALTH"</f>
        <v>INDIGENT HEALTH</v>
      </c>
      <c r="G1600" s="2">
        <v>140.33000000000001</v>
      </c>
      <c r="H1600" t="str">
        <f>"INDIGENT HEALTH"</f>
        <v>INDIGENT HEALTH</v>
      </c>
    </row>
    <row r="1601" spans="1:8" x14ac:dyDescent="0.25">
      <c r="A1601" t="s">
        <v>423</v>
      </c>
      <c r="B1601">
        <v>84828</v>
      </c>
      <c r="C1601" s="2">
        <v>80</v>
      </c>
      <c r="D1601" s="1">
        <v>43781</v>
      </c>
      <c r="E1601" t="str">
        <f>"13075"</f>
        <v>13075</v>
      </c>
      <c r="F1601" t="str">
        <f>"SERVICE"</f>
        <v>SERVICE</v>
      </c>
      <c r="G1601" s="2">
        <v>80</v>
      </c>
      <c r="H1601" t="str">
        <f>"SERVICE"</f>
        <v>SERVICE</v>
      </c>
    </row>
    <row r="1602" spans="1:8" x14ac:dyDescent="0.25">
      <c r="A1602" t="s">
        <v>393</v>
      </c>
      <c r="B1602">
        <v>129830</v>
      </c>
      <c r="C1602" s="2">
        <v>230.58</v>
      </c>
      <c r="D1602" s="1">
        <v>43794</v>
      </c>
      <c r="E1602" t="str">
        <f>"2009486"</f>
        <v>2009486</v>
      </c>
      <c r="F1602" t="str">
        <f>"ACT#17460002268 003/10/1-10/31"</f>
        <v>ACT#17460002268 003/10/1-10/31</v>
      </c>
      <c r="G1602" s="2">
        <v>230.58</v>
      </c>
      <c r="H1602" t="str">
        <f>"ACT#17460002268 003/10/1-10/31"</f>
        <v>ACT#17460002268 003/10/1-10/31</v>
      </c>
    </row>
    <row r="1603" spans="1:8" x14ac:dyDescent="0.25">
      <c r="A1603" t="s">
        <v>424</v>
      </c>
      <c r="B1603">
        <v>84829</v>
      </c>
      <c r="C1603" s="2">
        <v>54461.47</v>
      </c>
      <c r="D1603" s="1">
        <v>43781</v>
      </c>
      <c r="E1603" t="str">
        <f>"201911053007"</f>
        <v>201911053007</v>
      </c>
      <c r="F1603" t="str">
        <f>"acct# 869395921"</f>
        <v>acct# 869395921</v>
      </c>
      <c r="G1603" s="2">
        <v>9637.2900000000009</v>
      </c>
      <c r="H1603" t="str">
        <f>"Fuel"</f>
        <v>Fuel</v>
      </c>
    </row>
    <row r="1604" spans="1:8" x14ac:dyDescent="0.25">
      <c r="E1604" t="str">
        <f>""</f>
        <v/>
      </c>
      <c r="F1604" t="str">
        <f>""</f>
        <v/>
      </c>
      <c r="H1604" t="str">
        <f>"Tax"</f>
        <v>Tax</v>
      </c>
    </row>
    <row r="1605" spans="1:8" x14ac:dyDescent="0.25">
      <c r="E1605" t="str">
        <f>""</f>
        <v/>
      </c>
      <c r="F1605" t="str">
        <f>""</f>
        <v/>
      </c>
      <c r="H1605" t="str">
        <f>"Fuel"</f>
        <v>Fuel</v>
      </c>
    </row>
    <row r="1606" spans="1:8" x14ac:dyDescent="0.25">
      <c r="E1606" t="str">
        <f>""</f>
        <v/>
      </c>
      <c r="F1606" t="str">
        <f>""</f>
        <v/>
      </c>
      <c r="H1606" t="str">
        <f>"Tax"</f>
        <v>Tax</v>
      </c>
    </row>
    <row r="1607" spans="1:8" x14ac:dyDescent="0.25">
      <c r="E1607" t="str">
        <f>""</f>
        <v/>
      </c>
      <c r="F1607" t="str">
        <f>""</f>
        <v/>
      </c>
      <c r="H1607" t="str">
        <f>"Fuel"</f>
        <v>Fuel</v>
      </c>
    </row>
    <row r="1608" spans="1:8" x14ac:dyDescent="0.25">
      <c r="E1608" t="str">
        <f>""</f>
        <v/>
      </c>
      <c r="F1608" t="str">
        <f>""</f>
        <v/>
      </c>
      <c r="H1608" t="str">
        <f>"Tax"</f>
        <v>Tax</v>
      </c>
    </row>
    <row r="1609" spans="1:8" x14ac:dyDescent="0.25">
      <c r="E1609" t="str">
        <f>""</f>
        <v/>
      </c>
      <c r="F1609" t="str">
        <f>""</f>
        <v/>
      </c>
      <c r="H1609" t="str">
        <f>"Fuel"</f>
        <v>Fuel</v>
      </c>
    </row>
    <row r="1610" spans="1:8" x14ac:dyDescent="0.25">
      <c r="E1610" t="str">
        <f>""</f>
        <v/>
      </c>
      <c r="F1610" t="str">
        <f>""</f>
        <v/>
      </c>
      <c r="H1610" t="str">
        <f>"Tax"</f>
        <v>Tax</v>
      </c>
    </row>
    <row r="1611" spans="1:8" x14ac:dyDescent="0.25">
      <c r="E1611" t="str">
        <f>""</f>
        <v/>
      </c>
      <c r="F1611" t="str">
        <f>""</f>
        <v/>
      </c>
      <c r="H1611" t="str">
        <f>"Maintenance"</f>
        <v>Maintenance</v>
      </c>
    </row>
    <row r="1612" spans="1:8" x14ac:dyDescent="0.25">
      <c r="E1612" t="str">
        <f>""</f>
        <v/>
      </c>
      <c r="F1612" t="str">
        <f>""</f>
        <v/>
      </c>
      <c r="H1612" t="str">
        <f>"Fuel"</f>
        <v>Fuel</v>
      </c>
    </row>
    <row r="1613" spans="1:8" x14ac:dyDescent="0.25">
      <c r="E1613" t="str">
        <f>""</f>
        <v/>
      </c>
      <c r="F1613" t="str">
        <f>""</f>
        <v/>
      </c>
      <c r="H1613" t="str">
        <f>"tax"</f>
        <v>tax</v>
      </c>
    </row>
    <row r="1614" spans="1:8" x14ac:dyDescent="0.25">
      <c r="E1614" t="str">
        <f>""</f>
        <v/>
      </c>
      <c r="F1614" t="str">
        <f>""</f>
        <v/>
      </c>
      <c r="H1614" t="str">
        <f>"Fuel"</f>
        <v>Fuel</v>
      </c>
    </row>
    <row r="1615" spans="1:8" x14ac:dyDescent="0.25">
      <c r="E1615" t="str">
        <f>""</f>
        <v/>
      </c>
      <c r="F1615" t="str">
        <f>""</f>
        <v/>
      </c>
      <c r="H1615" t="str">
        <f>"Tax"</f>
        <v>Tax</v>
      </c>
    </row>
    <row r="1616" spans="1:8" x14ac:dyDescent="0.25">
      <c r="E1616" t="str">
        <f>"201911053011"</f>
        <v>201911053011</v>
      </c>
      <c r="F1616" t="str">
        <f>"acct# 869395921"</f>
        <v>acct# 869395921</v>
      </c>
      <c r="G1616" s="2">
        <v>44824.18</v>
      </c>
      <c r="H1616" t="str">
        <f>"Fuel"</f>
        <v>Fuel</v>
      </c>
    </row>
    <row r="1617" spans="5:8" x14ac:dyDescent="0.25">
      <c r="E1617" t="str">
        <f>""</f>
        <v/>
      </c>
      <c r="F1617" t="str">
        <f>""</f>
        <v/>
      </c>
      <c r="H1617" t="str">
        <f>"Tax"</f>
        <v>Tax</v>
      </c>
    </row>
    <row r="1618" spans="5:8" x14ac:dyDescent="0.25">
      <c r="E1618" t="str">
        <f>""</f>
        <v/>
      </c>
      <c r="F1618" t="str">
        <f>""</f>
        <v/>
      </c>
      <c r="H1618" t="str">
        <f>"Maintenance"</f>
        <v>Maintenance</v>
      </c>
    </row>
    <row r="1619" spans="5:8" x14ac:dyDescent="0.25">
      <c r="E1619" t="str">
        <f>""</f>
        <v/>
      </c>
      <c r="F1619" t="str">
        <f>""</f>
        <v/>
      </c>
      <c r="H1619" t="str">
        <f>"Fuel"</f>
        <v>Fuel</v>
      </c>
    </row>
    <row r="1620" spans="5:8" x14ac:dyDescent="0.25">
      <c r="E1620" t="str">
        <f>""</f>
        <v/>
      </c>
      <c r="F1620" t="str">
        <f>""</f>
        <v/>
      </c>
      <c r="H1620" t="str">
        <f>"Tax"</f>
        <v>Tax</v>
      </c>
    </row>
    <row r="1621" spans="5:8" x14ac:dyDescent="0.25">
      <c r="E1621" t="str">
        <f>""</f>
        <v/>
      </c>
      <c r="F1621" t="str">
        <f>""</f>
        <v/>
      </c>
      <c r="H1621" t="str">
        <f>"Fuel"</f>
        <v>Fuel</v>
      </c>
    </row>
    <row r="1622" spans="5:8" x14ac:dyDescent="0.25">
      <c r="E1622" t="str">
        <f>""</f>
        <v/>
      </c>
      <c r="F1622" t="str">
        <f>""</f>
        <v/>
      </c>
      <c r="H1622" t="str">
        <f>"Tax"</f>
        <v>Tax</v>
      </c>
    </row>
    <row r="1623" spans="5:8" x14ac:dyDescent="0.25">
      <c r="E1623" t="str">
        <f>""</f>
        <v/>
      </c>
      <c r="F1623" t="str">
        <f>""</f>
        <v/>
      </c>
      <c r="H1623" t="str">
        <f>"Maintenance"</f>
        <v>Maintenance</v>
      </c>
    </row>
    <row r="1624" spans="5:8" x14ac:dyDescent="0.25">
      <c r="E1624" t="str">
        <f>""</f>
        <v/>
      </c>
      <c r="F1624" t="str">
        <f>""</f>
        <v/>
      </c>
      <c r="H1624" t="str">
        <f>"Fuel"</f>
        <v>Fuel</v>
      </c>
    </row>
    <row r="1625" spans="5:8" x14ac:dyDescent="0.25">
      <c r="E1625" t="str">
        <f>""</f>
        <v/>
      </c>
      <c r="F1625" t="str">
        <f>""</f>
        <v/>
      </c>
      <c r="H1625" t="str">
        <f>"Tax"</f>
        <v>Tax</v>
      </c>
    </row>
    <row r="1626" spans="5:8" x14ac:dyDescent="0.25">
      <c r="E1626" t="str">
        <f>""</f>
        <v/>
      </c>
      <c r="F1626" t="str">
        <f>""</f>
        <v/>
      </c>
      <c r="H1626" t="str">
        <f>"Maintenance"</f>
        <v>Maintenance</v>
      </c>
    </row>
    <row r="1627" spans="5:8" x14ac:dyDescent="0.25">
      <c r="E1627" t="str">
        <f>""</f>
        <v/>
      </c>
      <c r="F1627" t="str">
        <f>""</f>
        <v/>
      </c>
      <c r="H1627" t="str">
        <f>"Fuel"</f>
        <v>Fuel</v>
      </c>
    </row>
    <row r="1628" spans="5:8" x14ac:dyDescent="0.25">
      <c r="E1628" t="str">
        <f>""</f>
        <v/>
      </c>
      <c r="F1628" t="str">
        <f>""</f>
        <v/>
      </c>
      <c r="H1628" t="str">
        <f>"Tax"</f>
        <v>Tax</v>
      </c>
    </row>
    <row r="1629" spans="5:8" x14ac:dyDescent="0.25">
      <c r="E1629" t="str">
        <f>""</f>
        <v/>
      </c>
      <c r="F1629" t="str">
        <f>""</f>
        <v/>
      </c>
      <c r="H1629" t="str">
        <f>"Fuel"</f>
        <v>Fuel</v>
      </c>
    </row>
    <row r="1630" spans="5:8" x14ac:dyDescent="0.25">
      <c r="E1630" t="str">
        <f>""</f>
        <v/>
      </c>
      <c r="F1630" t="str">
        <f>""</f>
        <v/>
      </c>
      <c r="H1630" t="str">
        <f>"Tax"</f>
        <v>Tax</v>
      </c>
    </row>
    <row r="1631" spans="5:8" x14ac:dyDescent="0.25">
      <c r="E1631" t="str">
        <f>""</f>
        <v/>
      </c>
      <c r="F1631" t="str">
        <f>""</f>
        <v/>
      </c>
      <c r="H1631" t="str">
        <f>"Fuel"</f>
        <v>Fuel</v>
      </c>
    </row>
    <row r="1632" spans="5:8" x14ac:dyDescent="0.25">
      <c r="E1632" t="str">
        <f>""</f>
        <v/>
      </c>
      <c r="F1632" t="str">
        <f>""</f>
        <v/>
      </c>
      <c r="H1632" t="str">
        <f>"Tax"</f>
        <v>Tax</v>
      </c>
    </row>
    <row r="1633" spans="1:8" x14ac:dyDescent="0.25">
      <c r="A1633" t="s">
        <v>425</v>
      </c>
      <c r="B1633">
        <v>1746</v>
      </c>
      <c r="C1633" s="2">
        <v>369.6</v>
      </c>
      <c r="D1633" s="1">
        <v>43782</v>
      </c>
      <c r="E1633" t="str">
        <f>"348001"</f>
        <v>348001</v>
      </c>
      <c r="F1633" t="str">
        <f>"Sign Shop Materials"</f>
        <v>Sign Shop Materials</v>
      </c>
      <c r="G1633" s="2">
        <v>369.6</v>
      </c>
      <c r="H1633" t="str">
        <f>"24 X24"</f>
        <v>24 X24</v>
      </c>
    </row>
    <row r="1634" spans="1:8" x14ac:dyDescent="0.25">
      <c r="A1634" t="s">
        <v>426</v>
      </c>
      <c r="B1634">
        <v>84648</v>
      </c>
      <c r="C1634" s="2">
        <v>24711.41</v>
      </c>
      <c r="D1634" s="1">
        <v>43774</v>
      </c>
      <c r="E1634" t="str">
        <f>"10177190"</f>
        <v>10177190</v>
      </c>
      <c r="F1634" t="str">
        <f>"ACCT#5150-005117766 / 11012019"</f>
        <v>ACCT#5150-005117766 / 11012019</v>
      </c>
      <c r="G1634" s="2">
        <v>115.36</v>
      </c>
      <c r="H1634" t="str">
        <f>"ACCT#5150-005117766 / 11012019"</f>
        <v>ACCT#5150-005117766 / 11012019</v>
      </c>
    </row>
    <row r="1635" spans="1:8" x14ac:dyDescent="0.25">
      <c r="E1635" t="str">
        <f>"10177194"</f>
        <v>10177194</v>
      </c>
      <c r="F1635" t="str">
        <f>"ACCT#5150-005117838 / 11012019"</f>
        <v>ACCT#5150-005117838 / 11012019</v>
      </c>
      <c r="G1635" s="2">
        <v>106.76</v>
      </c>
      <c r="H1635" t="str">
        <f>"ACCT#5150-005117838 / 11012019"</f>
        <v>ACCT#5150-005117838 / 11012019</v>
      </c>
    </row>
    <row r="1636" spans="1:8" x14ac:dyDescent="0.25">
      <c r="E1636" t="str">
        <f>"10177196"</f>
        <v>10177196</v>
      </c>
      <c r="F1636" t="str">
        <f>"ACCT#5150-005117882 / 11012019"</f>
        <v>ACCT#5150-005117882 / 11012019</v>
      </c>
      <c r="G1636" s="2">
        <v>144.19</v>
      </c>
      <c r="H1636" t="str">
        <f>"ACCT#5150-005117882 / 11012019"</f>
        <v>ACCT#5150-005117882 / 11012019</v>
      </c>
    </row>
    <row r="1637" spans="1:8" x14ac:dyDescent="0.25">
      <c r="E1637" t="str">
        <f>"10177204"</f>
        <v>10177204</v>
      </c>
      <c r="F1637" t="str">
        <f>"ACCT#5150-005118183 / 11012019"</f>
        <v>ACCT#5150-005118183 / 11012019</v>
      </c>
      <c r="G1637" s="2">
        <v>622.41999999999996</v>
      </c>
      <c r="H1637" t="str">
        <f>"ACCT#5150-005118183 / 11012019"</f>
        <v>ACCT#5150-005118183 / 11012019</v>
      </c>
    </row>
    <row r="1638" spans="1:8" x14ac:dyDescent="0.25">
      <c r="E1638" t="str">
        <f>"10177254"</f>
        <v>10177254</v>
      </c>
      <c r="F1638" t="str">
        <f>"ACCT#5150-005129483 / 11012019"</f>
        <v>ACCT#5150-005129483 / 11012019</v>
      </c>
      <c r="G1638" s="2">
        <v>23347.5</v>
      </c>
      <c r="H1638" t="str">
        <f>"ACCT#5150-005129483 / 11012019"</f>
        <v>ACCT#5150-005129483 / 11012019</v>
      </c>
    </row>
    <row r="1639" spans="1:8" x14ac:dyDescent="0.25">
      <c r="E1639" t="str">
        <f>"10182122"</f>
        <v>10182122</v>
      </c>
      <c r="F1639" t="str">
        <f>"ACCT#5150-16203415 / 11012019"</f>
        <v>ACCT#5150-16203415 / 11012019</v>
      </c>
      <c r="G1639" s="2">
        <v>83.48</v>
      </c>
      <c r="H1639" t="str">
        <f>"ACCT#5150-16203415 / 11012019"</f>
        <v>ACCT#5150-16203415 / 11012019</v>
      </c>
    </row>
    <row r="1640" spans="1:8" x14ac:dyDescent="0.25">
      <c r="E1640" t="str">
        <f>"10182123"</f>
        <v>10182123</v>
      </c>
      <c r="F1640" t="str">
        <f>"ACCT#5150-16203417 / 11012019"</f>
        <v>ACCT#5150-16203417 / 11012019</v>
      </c>
      <c r="G1640" s="2">
        <v>28.89</v>
      </c>
      <c r="H1640" t="str">
        <f>"ACCT#5150-16203417 / 11012019"</f>
        <v>ACCT#5150-16203417 / 11012019</v>
      </c>
    </row>
    <row r="1641" spans="1:8" x14ac:dyDescent="0.25">
      <c r="E1641" t="str">
        <f>"201911052978"</f>
        <v>201911052978</v>
      </c>
      <c r="F1641" t="str">
        <f>"ACCT#5150-005117630 / 11012019"</f>
        <v>ACCT#5150-005117630 / 11012019</v>
      </c>
      <c r="G1641" s="2">
        <v>262.81</v>
      </c>
      <c r="H1641" t="str">
        <f>"WASTE CONNECTIONS LONE STAR. I"</f>
        <v>WASTE CONNECTIONS LONE STAR. I</v>
      </c>
    </row>
    <row r="1642" spans="1:8" x14ac:dyDescent="0.25">
      <c r="A1642" t="s">
        <v>426</v>
      </c>
      <c r="B1642">
        <v>84830</v>
      </c>
      <c r="C1642" s="2">
        <v>1361.07</v>
      </c>
      <c r="D1642" s="1">
        <v>43781</v>
      </c>
      <c r="E1642" t="str">
        <f>"10177294"</f>
        <v>10177294</v>
      </c>
      <c r="F1642" t="str">
        <f>"ACCT#5150-005135400"</f>
        <v>ACCT#5150-005135400</v>
      </c>
      <c r="G1642" s="2">
        <v>1361.07</v>
      </c>
      <c r="H1642" t="str">
        <f>"ACCT#5150-005135400"</f>
        <v>ACCT#5150-005135400</v>
      </c>
    </row>
    <row r="1643" spans="1:8" x14ac:dyDescent="0.25">
      <c r="A1643" t="s">
        <v>427</v>
      </c>
      <c r="B1643">
        <v>84831</v>
      </c>
      <c r="C1643" s="2">
        <v>413.78</v>
      </c>
      <c r="D1643" s="1">
        <v>43781</v>
      </c>
      <c r="E1643" t="str">
        <f>"0061330-2161-5"</f>
        <v>0061330-2161-5</v>
      </c>
      <c r="F1643" t="str">
        <f>"CUST ID:2-56581-95066/ANIMAL C"</f>
        <v>CUST ID:2-56581-95066/ANIMAL C</v>
      </c>
      <c r="G1643" s="2">
        <v>413.78</v>
      </c>
      <c r="H1643" t="str">
        <f>"CUST ID:2-56581-95066/ANIMAL C"</f>
        <v>CUST ID:2-56581-95066/ANIMAL C</v>
      </c>
    </row>
    <row r="1644" spans="1:8" x14ac:dyDescent="0.25">
      <c r="A1644" t="s">
        <v>427</v>
      </c>
      <c r="B1644">
        <v>129831</v>
      </c>
      <c r="C1644" s="2">
        <v>5115.57</v>
      </c>
      <c r="D1644" s="1">
        <v>43794</v>
      </c>
      <c r="E1644" t="str">
        <f>"0023572-2161-9"</f>
        <v>0023572-2161-9</v>
      </c>
      <c r="F1644" t="str">
        <f>"CUST ID:2-57060-55062/PCT#4"</f>
        <v>CUST ID:2-57060-55062/PCT#4</v>
      </c>
      <c r="G1644" s="2">
        <v>5005.3500000000004</v>
      </c>
      <c r="H1644" t="str">
        <f>"CUST ID:2-57060-55062/PCT#4"</f>
        <v>CUST ID:2-57060-55062/PCT#4</v>
      </c>
    </row>
    <row r="1645" spans="1:8" x14ac:dyDescent="0.25">
      <c r="E1645" t="str">
        <f>"0039526-2162-5"</f>
        <v>0039526-2162-5</v>
      </c>
      <c r="F1645" t="str">
        <f>"CUST ID:16-27603-83003/ANIMAL"</f>
        <v>CUST ID:16-27603-83003/ANIMAL</v>
      </c>
      <c r="G1645" s="2">
        <v>110.22</v>
      </c>
      <c r="H1645" t="str">
        <f>"CUST ID:16-27603-83003/ANIMAL"</f>
        <v>CUST ID:16-27603-83003/ANIMAL</v>
      </c>
    </row>
    <row r="1646" spans="1:8" x14ac:dyDescent="0.25">
      <c r="A1646" t="s">
        <v>428</v>
      </c>
      <c r="B1646">
        <v>129832</v>
      </c>
      <c r="C1646" s="2">
        <v>45630</v>
      </c>
      <c r="D1646" s="1">
        <v>43794</v>
      </c>
      <c r="E1646" t="str">
        <f>"4RFINV0009992"</f>
        <v>4RFINV0009992</v>
      </c>
      <c r="F1646" t="str">
        <f>"Watchguard Incar Video ca"</f>
        <v>Watchguard Incar Video ca</v>
      </c>
      <c r="G1646" s="2">
        <v>24920</v>
      </c>
      <c r="H1646" t="str">
        <f>"VIS-EXT-WIF-BUN"</f>
        <v>VIS-EXT-WIF-BUN</v>
      </c>
    </row>
    <row r="1647" spans="1:8" x14ac:dyDescent="0.25">
      <c r="E1647" t="str">
        <f>""</f>
        <v/>
      </c>
      <c r="F1647" t="str">
        <f>""</f>
        <v/>
      </c>
      <c r="H1647" t="str">
        <f>"KEY-EL4-DEV-004"</f>
        <v>KEY-EL4-DEV-004</v>
      </c>
    </row>
    <row r="1648" spans="1:8" x14ac:dyDescent="0.25">
      <c r="E1648" t="str">
        <f>""</f>
        <v/>
      </c>
      <c r="F1648" t="str">
        <f>""</f>
        <v/>
      </c>
      <c r="H1648" t="str">
        <f>"KEY-EL4-DEV-001"</f>
        <v>KEY-EL4-DEV-001</v>
      </c>
    </row>
    <row r="1649" spans="1:8" x14ac:dyDescent="0.25">
      <c r="E1649" t="str">
        <f>""</f>
        <v/>
      </c>
      <c r="F1649" t="str">
        <f>""</f>
        <v/>
      </c>
      <c r="H1649" t="str">
        <f>"CAM-4RE-PAN-NHD"</f>
        <v>CAM-4RE-PAN-NHD</v>
      </c>
    </row>
    <row r="1650" spans="1:8" x14ac:dyDescent="0.25">
      <c r="E1650" t="str">
        <f>""</f>
        <v/>
      </c>
      <c r="F1650" t="str">
        <f>""</f>
        <v/>
      </c>
      <c r="H1650" t="str">
        <f>"4RE-WRL-KIT-101"</f>
        <v>4RE-WRL-KIT-101</v>
      </c>
    </row>
    <row r="1651" spans="1:8" x14ac:dyDescent="0.25">
      <c r="E1651" t="str">
        <f>""</f>
        <v/>
      </c>
      <c r="F1651" t="str">
        <f>""</f>
        <v/>
      </c>
      <c r="H1651" t="str">
        <f>"Freight"</f>
        <v>Freight</v>
      </c>
    </row>
    <row r="1652" spans="1:8" x14ac:dyDescent="0.25">
      <c r="E1652" t="str">
        <f>"WARNINV003641A"</f>
        <v>WARNINV003641A</v>
      </c>
      <c r="F1652" t="str">
        <f>"Watchguard Warranty renew"</f>
        <v>Watchguard Warranty renew</v>
      </c>
      <c r="G1652" s="2">
        <v>20710</v>
      </c>
      <c r="H1652" t="str">
        <f>"WAR-4RE-CAR-3RD"</f>
        <v>WAR-4RE-CAR-3RD</v>
      </c>
    </row>
    <row r="1653" spans="1:8" x14ac:dyDescent="0.25">
      <c r="E1653" t="str">
        <f>""</f>
        <v/>
      </c>
      <c r="F1653" t="str">
        <f>""</f>
        <v/>
      </c>
      <c r="H1653" t="str">
        <f>"WAR-VIS-CAM-2ND"</f>
        <v>WAR-VIS-CAM-2ND</v>
      </c>
    </row>
    <row r="1654" spans="1:8" x14ac:dyDescent="0.25">
      <c r="E1654" t="str">
        <f>""</f>
        <v/>
      </c>
      <c r="F1654" t="str">
        <f>""</f>
        <v/>
      </c>
      <c r="H1654" t="str">
        <f>"WAR-VIS-CAM-2ND"</f>
        <v>WAR-VIS-CAM-2ND</v>
      </c>
    </row>
    <row r="1655" spans="1:8" x14ac:dyDescent="0.25">
      <c r="E1655" t="str">
        <f>""</f>
        <v/>
      </c>
      <c r="F1655" t="str">
        <f>""</f>
        <v/>
      </c>
      <c r="H1655" t="str">
        <f>"WAR-VIS-CAM-3RD"</f>
        <v>WAR-VIS-CAM-3RD</v>
      </c>
    </row>
    <row r="1656" spans="1:8" x14ac:dyDescent="0.25">
      <c r="E1656" t="str">
        <f>""</f>
        <v/>
      </c>
      <c r="F1656" t="str">
        <f>""</f>
        <v/>
      </c>
      <c r="H1656" t="str">
        <f>"WAR-VIS-CAM-3RD"</f>
        <v>WAR-VIS-CAM-3RD</v>
      </c>
    </row>
    <row r="1657" spans="1:8" x14ac:dyDescent="0.25">
      <c r="E1657" t="str">
        <f>""</f>
        <v/>
      </c>
      <c r="F1657" t="str">
        <f>""</f>
        <v/>
      </c>
      <c r="H1657" t="str">
        <f>"WAR-VIS-CAM-3RD"</f>
        <v>WAR-VIS-CAM-3RD</v>
      </c>
    </row>
    <row r="1658" spans="1:8" x14ac:dyDescent="0.25">
      <c r="E1658" t="str">
        <f>""</f>
        <v/>
      </c>
      <c r="F1658" t="str">
        <f>""</f>
        <v/>
      </c>
      <c r="H1658" t="str">
        <f>"WAR-VIS-CAM-3RD"</f>
        <v>WAR-VIS-CAM-3RD</v>
      </c>
    </row>
    <row r="1659" spans="1:8" x14ac:dyDescent="0.25">
      <c r="E1659" t="str">
        <f>""</f>
        <v/>
      </c>
      <c r="F1659" t="str">
        <f>""</f>
        <v/>
      </c>
      <c r="H1659" t="str">
        <f>"WAR-4RE-CAR-2ND"</f>
        <v>WAR-4RE-CAR-2ND</v>
      </c>
    </row>
    <row r="1660" spans="1:8" x14ac:dyDescent="0.25">
      <c r="E1660" t="str">
        <f>""</f>
        <v/>
      </c>
      <c r="F1660" t="str">
        <f>""</f>
        <v/>
      </c>
      <c r="H1660" t="str">
        <f>"WAR-4RE-CAR-2ND"</f>
        <v>WAR-4RE-CAR-2ND</v>
      </c>
    </row>
    <row r="1661" spans="1:8" x14ac:dyDescent="0.25">
      <c r="A1661" t="s">
        <v>429</v>
      </c>
      <c r="B1661">
        <v>84832</v>
      </c>
      <c r="C1661" s="2">
        <v>4816.5</v>
      </c>
      <c r="D1661" s="1">
        <v>43781</v>
      </c>
      <c r="E1661" t="str">
        <f>"201911012838"</f>
        <v>201911012838</v>
      </c>
      <c r="F1661" t="str">
        <f>"1/2 MEDICAL MALPRACTICE INSUR"</f>
        <v>1/2 MEDICAL MALPRACTICE INSUR</v>
      </c>
      <c r="G1661" s="2">
        <v>4816.5</v>
      </c>
      <c r="H1661" t="str">
        <f>"1/2 MEDICAL MALPRACTICE INSUR"</f>
        <v>1/2 MEDICAL MALPRACTICE INSUR</v>
      </c>
    </row>
    <row r="1662" spans="1:8" x14ac:dyDescent="0.25">
      <c r="A1662" t="s">
        <v>430</v>
      </c>
      <c r="B1662">
        <v>1773</v>
      </c>
      <c r="C1662" s="2">
        <v>9270.4500000000007</v>
      </c>
      <c r="D1662" s="1">
        <v>43795</v>
      </c>
      <c r="E1662" t="str">
        <f>"23538"</f>
        <v>23538</v>
      </c>
      <c r="F1662" t="str">
        <f>"INV 23538"</f>
        <v>INV 23538</v>
      </c>
      <c r="G1662" s="2">
        <v>9270.4500000000007</v>
      </c>
      <c r="H1662" t="str">
        <f>"INV 23538"</f>
        <v>INV 23538</v>
      </c>
    </row>
    <row r="1663" spans="1:8" x14ac:dyDescent="0.25">
      <c r="A1663" t="s">
        <v>431</v>
      </c>
      <c r="B1663">
        <v>84833</v>
      </c>
      <c r="C1663" s="2">
        <v>70</v>
      </c>
      <c r="D1663" s="1">
        <v>43781</v>
      </c>
      <c r="E1663" t="str">
        <f>"12786"</f>
        <v>12786</v>
      </c>
      <c r="F1663" t="str">
        <f>"SERVICE"</f>
        <v>SERVICE</v>
      </c>
      <c r="G1663" s="2">
        <v>70</v>
      </c>
      <c r="H1663" t="str">
        <f>"SERVICE"</f>
        <v>SERVICE</v>
      </c>
    </row>
    <row r="1664" spans="1:8" x14ac:dyDescent="0.25">
      <c r="A1664" t="s">
        <v>432</v>
      </c>
      <c r="B1664">
        <v>84834</v>
      </c>
      <c r="C1664" s="2">
        <v>70</v>
      </c>
      <c r="D1664" s="1">
        <v>43781</v>
      </c>
      <c r="E1664" t="str">
        <f>"13044"</f>
        <v>13044</v>
      </c>
      <c r="F1664" t="str">
        <f>"SERVICE"</f>
        <v>SERVICE</v>
      </c>
      <c r="G1664" s="2">
        <v>70</v>
      </c>
      <c r="H1664" t="str">
        <f>"SERVICE"</f>
        <v>SERVICE</v>
      </c>
    </row>
    <row r="1665" spans="1:8" x14ac:dyDescent="0.25">
      <c r="A1665" t="s">
        <v>433</v>
      </c>
      <c r="B1665">
        <v>129833</v>
      </c>
      <c r="C1665" s="2">
        <v>10000</v>
      </c>
      <c r="D1665" s="1">
        <v>43794</v>
      </c>
      <c r="E1665" t="str">
        <f>"1451"</f>
        <v>1451</v>
      </c>
      <c r="F1665" t="str">
        <f>"COLOVISTA DITCH &amp; CULVERT"</f>
        <v>COLOVISTA DITCH &amp; CULVERT</v>
      </c>
      <c r="G1665" s="2">
        <v>10000</v>
      </c>
      <c r="H1665" t="str">
        <f>"COLOVISTA DITCH &amp; CULVERT"</f>
        <v>COLOVISTA DITCH &amp; CULVERT</v>
      </c>
    </row>
    <row r="1666" spans="1:8" x14ac:dyDescent="0.25">
      <c r="A1666" t="s">
        <v>434</v>
      </c>
      <c r="B1666">
        <v>1828</v>
      </c>
      <c r="C1666" s="2">
        <v>16.98</v>
      </c>
      <c r="D1666" s="1">
        <v>43795</v>
      </c>
      <c r="E1666" t="str">
        <f>"09855403"</f>
        <v>09855403</v>
      </c>
      <c r="F1666" t="str">
        <f>"CUST#662445931/VTX0000X-000"</f>
        <v>CUST#662445931/VTX0000X-000</v>
      </c>
      <c r="G1666" s="2">
        <v>16.98</v>
      </c>
      <c r="H1666" t="str">
        <f>"CUST#662445931/VTX0000X-000"</f>
        <v>CUST#662445931/VTX0000X-000</v>
      </c>
    </row>
    <row r="1667" spans="1:8" x14ac:dyDescent="0.25">
      <c r="A1667" t="s">
        <v>435</v>
      </c>
      <c r="B1667">
        <v>84835</v>
      </c>
      <c r="C1667" s="2">
        <v>675.28</v>
      </c>
      <c r="D1667" s="1">
        <v>43781</v>
      </c>
      <c r="E1667" t="str">
        <f>"0013640"</f>
        <v>0013640</v>
      </c>
      <c r="F1667" t="str">
        <f>"TRANSLATION SVCS/MILEAGE"</f>
        <v>TRANSLATION SVCS/MILEAGE</v>
      </c>
      <c r="G1667" s="2">
        <v>675.28</v>
      </c>
      <c r="H1667" t="str">
        <f>"TRANSLATION SVCS/MILEAGE"</f>
        <v>TRANSLATION SVCS/MILEAGE</v>
      </c>
    </row>
    <row r="1668" spans="1:8" x14ac:dyDescent="0.25">
      <c r="A1668" t="s">
        <v>435</v>
      </c>
      <c r="B1668">
        <v>129834</v>
      </c>
      <c r="C1668" s="2">
        <v>767.28</v>
      </c>
      <c r="D1668" s="1">
        <v>43794</v>
      </c>
      <c r="E1668" t="str">
        <f>"0013638"</f>
        <v>0013638</v>
      </c>
      <c r="F1668" t="str">
        <f>"INTERPRETER/MILEAGE"</f>
        <v>INTERPRETER/MILEAGE</v>
      </c>
      <c r="G1668" s="2">
        <v>367.28</v>
      </c>
      <c r="H1668" t="str">
        <f>"INTERPRETER/MILEAGE"</f>
        <v>INTERPRETER/MILEAGE</v>
      </c>
    </row>
    <row r="1669" spans="1:8" x14ac:dyDescent="0.25">
      <c r="E1669" t="str">
        <f>"0013646"</f>
        <v>0013646</v>
      </c>
      <c r="F1669" t="str">
        <f>"TRIAL CANCELLATION"</f>
        <v>TRIAL CANCELLATION</v>
      </c>
      <c r="G1669" s="2">
        <v>400</v>
      </c>
      <c r="H1669" t="str">
        <f>"TRIAL CANCELLATION"</f>
        <v>TRIAL CANCELLATION</v>
      </c>
    </row>
    <row r="1670" spans="1:8" x14ac:dyDescent="0.25">
      <c r="A1670" t="s">
        <v>436</v>
      </c>
      <c r="B1670">
        <v>84836</v>
      </c>
      <c r="C1670" s="2">
        <v>1164.4000000000001</v>
      </c>
      <c r="D1670" s="1">
        <v>43781</v>
      </c>
      <c r="E1670" t="str">
        <f>"9009192562"</f>
        <v>9009192562</v>
      </c>
      <c r="F1670" t="str">
        <f>"CUST#2000053103/ANIMAL SHELTER"</f>
        <v>CUST#2000053103/ANIMAL SHELTER</v>
      </c>
      <c r="G1670" s="2">
        <v>1164.4000000000001</v>
      </c>
      <c r="H1670" t="str">
        <f>"CUST#2000053103/ANIMAL SHELTER"</f>
        <v>CUST#2000053103/ANIMAL SHELTER</v>
      </c>
    </row>
    <row r="1671" spans="1:8" x14ac:dyDescent="0.25">
      <c r="A1671" t="s">
        <v>436</v>
      </c>
      <c r="B1671">
        <v>129835</v>
      </c>
      <c r="C1671" s="2">
        <v>1670.12</v>
      </c>
      <c r="D1671" s="1">
        <v>43794</v>
      </c>
      <c r="E1671" t="str">
        <f>"9009274711"</f>
        <v>9009274711</v>
      </c>
      <c r="F1671" t="str">
        <f>"CUST#2000053103/ORD#1007836989"</f>
        <v>CUST#2000053103/ORD#1007836989</v>
      </c>
      <c r="G1671" s="2">
        <v>833.4</v>
      </c>
      <c r="H1671" t="str">
        <f>"CUST#2000053103/ORD#1007836989"</f>
        <v>CUST#2000053103/ORD#1007836989</v>
      </c>
    </row>
    <row r="1672" spans="1:8" x14ac:dyDescent="0.25">
      <c r="E1672" t="str">
        <f>""</f>
        <v/>
      </c>
      <c r="F1672" t="str">
        <f>""</f>
        <v/>
      </c>
      <c r="H1672" t="str">
        <f>"CUST#2000053103/ORD#1007836989"</f>
        <v>CUST#2000053103/ORD#1007836989</v>
      </c>
    </row>
    <row r="1673" spans="1:8" x14ac:dyDescent="0.25">
      <c r="E1673" t="str">
        <f>"9009284661"</f>
        <v>9009284661</v>
      </c>
      <c r="F1673" t="str">
        <f>"CUST#2000053103/ORD#1007836989"</f>
        <v>CUST#2000053103/ORD#1007836989</v>
      </c>
      <c r="G1673" s="2">
        <v>275.52</v>
      </c>
      <c r="H1673" t="str">
        <f>"CUST#2000053103/ORD#1007836989"</f>
        <v>CUST#2000053103/ORD#1007836989</v>
      </c>
    </row>
    <row r="1674" spans="1:8" x14ac:dyDescent="0.25">
      <c r="E1674" t="str">
        <f>"9009284687"</f>
        <v>9009284687</v>
      </c>
      <c r="F1674" t="str">
        <f>"CUST#2000053103/ORD#1007836989"</f>
        <v>CUST#2000053103/ORD#1007836989</v>
      </c>
      <c r="G1674" s="2">
        <v>312</v>
      </c>
      <c r="H1674" t="str">
        <f>"CUST#2000053103/ORD#1007836989"</f>
        <v>CUST#2000053103/ORD#1007836989</v>
      </c>
    </row>
    <row r="1675" spans="1:8" x14ac:dyDescent="0.25">
      <c r="E1675" t="str">
        <f>"9009327419"</f>
        <v>9009327419</v>
      </c>
      <c r="F1675" t="str">
        <f>"CUST#2000053103/ANIMAL SVCS"</f>
        <v>CUST#2000053103/ANIMAL SVCS</v>
      </c>
      <c r="G1675" s="2">
        <v>249.2</v>
      </c>
      <c r="H1675" t="str">
        <f>"CUST#2000053103/ANIMAL SVCS"</f>
        <v>CUST#2000053103/ANIMAL SVCS</v>
      </c>
    </row>
    <row r="1676" spans="1:8" x14ac:dyDescent="0.25">
      <c r="A1676" t="s">
        <v>437</v>
      </c>
      <c r="B1676">
        <v>84837</v>
      </c>
      <c r="C1676" s="2">
        <v>149.88999999999999</v>
      </c>
      <c r="D1676" s="1">
        <v>43781</v>
      </c>
      <c r="E1676" t="str">
        <f>"G4388937"</f>
        <v>G4388937</v>
      </c>
      <c r="F1676" t="str">
        <f>"Preorder for Ceiling Tile"</f>
        <v>Preorder for Ceiling Tile</v>
      </c>
      <c r="G1676" s="2">
        <v>149.88999999999999</v>
      </c>
      <c r="H1676" t="str">
        <f>"Zoro #: G4388937"</f>
        <v>Zoro #: G4388937</v>
      </c>
    </row>
    <row r="1677" spans="1:8" x14ac:dyDescent="0.25">
      <c r="A1677" t="s">
        <v>438</v>
      </c>
      <c r="B1677">
        <v>84838</v>
      </c>
      <c r="C1677" s="2">
        <v>50</v>
      </c>
      <c r="D1677" s="1">
        <v>43781</v>
      </c>
      <c r="E1677" t="str">
        <f>"201911063052"</f>
        <v>201911063052</v>
      </c>
      <c r="F1677" t="str">
        <f>"RESTITUTION"</f>
        <v>RESTITUTION</v>
      </c>
      <c r="G1677" s="2">
        <v>50</v>
      </c>
      <c r="H1677" t="str">
        <f>"RESTITUTION"</f>
        <v>RESTITUTION</v>
      </c>
    </row>
    <row r="1678" spans="1:8" x14ac:dyDescent="0.25">
      <c r="A1678" t="s">
        <v>59</v>
      </c>
      <c r="B1678">
        <v>84839</v>
      </c>
      <c r="C1678" s="2">
        <v>121.98</v>
      </c>
      <c r="D1678" s="1">
        <v>43781</v>
      </c>
      <c r="E1678" t="str">
        <f>"201911042851"</f>
        <v>201911042851</v>
      </c>
      <c r="F1678" t="str">
        <f>"ACCT#015397/JUVENILE BOOT CAMP"</f>
        <v>ACCT#015397/JUVENILE BOOT CAMP</v>
      </c>
      <c r="G1678" s="2">
        <v>121.98</v>
      </c>
      <c r="H1678" t="str">
        <f>"ACCT#015397/JUVENILE BOOT CAMP"</f>
        <v>ACCT#015397/JUVENILE BOOT CAMP</v>
      </c>
    </row>
    <row r="1679" spans="1:8" x14ac:dyDescent="0.25">
      <c r="A1679" t="s">
        <v>439</v>
      </c>
      <c r="B1679">
        <v>129838</v>
      </c>
      <c r="C1679" s="2">
        <v>100000</v>
      </c>
      <c r="D1679" s="1">
        <v>43794</v>
      </c>
      <c r="E1679" t="str">
        <f>"AUT19012212"</f>
        <v>AUT19012212</v>
      </c>
      <c r="F1679" t="str">
        <f>"LAND PURCHASE - LPHCP"</f>
        <v>LAND PURCHASE - LPHCP</v>
      </c>
      <c r="G1679" s="2">
        <v>100000</v>
      </c>
      <c r="H1679" t="str">
        <f>"LAND PURCHASE - LPHCP"</f>
        <v>LAND PURCHASE - LPHCP</v>
      </c>
    </row>
    <row r="1680" spans="1:8" x14ac:dyDescent="0.25">
      <c r="A1680" t="s">
        <v>98</v>
      </c>
      <c r="B1680">
        <v>84653</v>
      </c>
      <c r="C1680" s="2">
        <v>251.16</v>
      </c>
      <c r="D1680" s="1">
        <v>43777</v>
      </c>
      <c r="E1680" t="str">
        <f>"201911083064"</f>
        <v>201911083064</v>
      </c>
      <c r="F1680" t="str">
        <f>"ACCT#5000057374 / 11/03/2019"</f>
        <v>ACCT#5000057374 / 11/03/2019</v>
      </c>
      <c r="G1680" s="2">
        <v>251.16</v>
      </c>
      <c r="H1680" t="str">
        <f>"ACCT#5000057374 / 11/03/2019"</f>
        <v>ACCT#5000057374 / 11/03/2019</v>
      </c>
    </row>
    <row r="1681" spans="1:8" x14ac:dyDescent="0.25">
      <c r="A1681" t="s">
        <v>440</v>
      </c>
      <c r="B1681">
        <v>84840</v>
      </c>
      <c r="C1681" s="2">
        <v>3024.16</v>
      </c>
      <c r="D1681" s="1">
        <v>43781</v>
      </c>
      <c r="E1681" t="str">
        <f>"201911063020"</f>
        <v>201911063020</v>
      </c>
      <c r="F1681" t="str">
        <f>"ROW PURCHASE"</f>
        <v>ROW PURCHASE</v>
      </c>
      <c r="G1681" s="2">
        <v>3024.16</v>
      </c>
      <c r="H1681" t="str">
        <f>"ROW PURCHASE"</f>
        <v>ROW PURCHASE</v>
      </c>
    </row>
    <row r="1682" spans="1:8" x14ac:dyDescent="0.25">
      <c r="A1682" t="s">
        <v>441</v>
      </c>
      <c r="B1682">
        <v>84841</v>
      </c>
      <c r="C1682" s="2">
        <v>519.4</v>
      </c>
      <c r="D1682" s="1">
        <v>43781</v>
      </c>
      <c r="E1682" t="str">
        <f>"8922"</f>
        <v>8922</v>
      </c>
      <c r="F1682" t="str">
        <f>"inv# 8922"</f>
        <v>inv# 8922</v>
      </c>
      <c r="G1682" s="2">
        <v>519.4</v>
      </c>
      <c r="H1682" t="str">
        <f>"inv# 8922"</f>
        <v>inv# 8922</v>
      </c>
    </row>
    <row r="1683" spans="1:8" x14ac:dyDescent="0.25">
      <c r="A1683" t="s">
        <v>442</v>
      </c>
      <c r="B1683">
        <v>129836</v>
      </c>
      <c r="C1683" s="2">
        <v>115</v>
      </c>
      <c r="D1683" s="1">
        <v>43794</v>
      </c>
      <c r="E1683" t="str">
        <f>"41256"</f>
        <v>41256</v>
      </c>
      <c r="F1683" t="str">
        <f>"IT SVCS/JUVENILE BOOT CAMP"</f>
        <v>IT SVCS/JUVENILE BOOT CAMP</v>
      </c>
      <c r="G1683" s="2">
        <v>115</v>
      </c>
      <c r="H1683" t="str">
        <f>"IT SVCS/JUVENILE BOOT CAMP"</f>
        <v>IT SVCS/JUVENILE BOOT CAMP</v>
      </c>
    </row>
    <row r="1684" spans="1:8" x14ac:dyDescent="0.25">
      <c r="A1684" t="s">
        <v>443</v>
      </c>
      <c r="B1684">
        <v>280</v>
      </c>
      <c r="C1684" s="2">
        <v>115712.5</v>
      </c>
      <c r="D1684" s="1">
        <v>43794</v>
      </c>
      <c r="E1684" t="str">
        <f>"LOAN #:BASTROP12"</f>
        <v>LOAN #:BASTROP12</v>
      </c>
      <c r="F1684" t="str">
        <f>"DEBT SERVICE PMT - SERIES 2012"</f>
        <v>DEBT SERVICE PMT - SERIES 2012</v>
      </c>
      <c r="G1684" s="2">
        <v>37387.5</v>
      </c>
      <c r="H1684" t="str">
        <f>"DEBT SERVICE PMT - SERIES 2012"</f>
        <v>DEBT SERVICE PMT - SERIES 2012</v>
      </c>
    </row>
    <row r="1685" spans="1:8" x14ac:dyDescent="0.25">
      <c r="E1685" t="str">
        <f>"LOAN #:BASTROP13"</f>
        <v>LOAN #:BASTROP13</v>
      </c>
      <c r="F1685" t="str">
        <f>"DEBT SERVICE PMT - SERIES 2013"</f>
        <v>DEBT SERVICE PMT - SERIES 2013</v>
      </c>
      <c r="G1685" s="2">
        <v>78325</v>
      </c>
      <c r="H1685" t="str">
        <f>"DEBT SERVICE PMT - SERIES 2013"</f>
        <v>DEBT SERVICE PMT - SERIES 2013</v>
      </c>
    </row>
    <row r="1686" spans="1:8" x14ac:dyDescent="0.25">
      <c r="A1686" t="s">
        <v>444</v>
      </c>
      <c r="B1686">
        <v>84842</v>
      </c>
      <c r="C1686" s="2">
        <v>40084.35</v>
      </c>
      <c r="D1686" s="1">
        <v>43781</v>
      </c>
      <c r="E1686" t="str">
        <f>"201911063019"</f>
        <v>201911063019</v>
      </c>
      <c r="F1686" t="str">
        <f>"ROW PURCHASE"</f>
        <v>ROW PURCHASE</v>
      </c>
      <c r="G1686" s="2">
        <v>40084.35</v>
      </c>
      <c r="H1686" t="str">
        <f>"ROW PURCHASE"</f>
        <v>ROW PURCHASE</v>
      </c>
    </row>
    <row r="1687" spans="1:8" x14ac:dyDescent="0.25">
      <c r="A1687" t="s">
        <v>445</v>
      </c>
      <c r="B1687">
        <v>84843</v>
      </c>
      <c r="C1687" s="2">
        <v>18.04</v>
      </c>
      <c r="D1687" s="1">
        <v>43781</v>
      </c>
      <c r="E1687" t="str">
        <f>"201910312814"</f>
        <v>201910312814</v>
      </c>
      <c r="F1687" t="str">
        <f>"REIMBURSE GLUE FOR BOOTS"</f>
        <v>REIMBURSE GLUE FOR BOOTS</v>
      </c>
      <c r="G1687" s="2">
        <v>18.04</v>
      </c>
      <c r="H1687" t="str">
        <f>"REIMBURSE GLUE FOR BOOTS"</f>
        <v>REIMBURSE GLUE FOR BOOTS</v>
      </c>
    </row>
    <row r="1688" spans="1:8" x14ac:dyDescent="0.25">
      <c r="A1688" t="s">
        <v>445</v>
      </c>
      <c r="B1688">
        <v>129837</v>
      </c>
      <c r="C1688" s="2">
        <v>51.68</v>
      </c>
      <c r="D1688" s="1">
        <v>43794</v>
      </c>
      <c r="E1688" t="str">
        <f>"201911203477"</f>
        <v>201911203477</v>
      </c>
      <c r="F1688" t="str">
        <f>"REIMBURSEMENT FOR CADET UNIFOR"</f>
        <v>REIMBURSEMENT FOR CADET UNIFOR</v>
      </c>
      <c r="G1688" s="2">
        <v>51.68</v>
      </c>
      <c r="H1688" t="str">
        <f>"REIMBURSEMENT FOR CADET UNIFOR"</f>
        <v>REIMBURSEMENT FOR CADET UNIFOR</v>
      </c>
    </row>
    <row r="1689" spans="1:8" x14ac:dyDescent="0.25">
      <c r="A1689" t="s">
        <v>424</v>
      </c>
      <c r="B1689">
        <v>84844</v>
      </c>
      <c r="C1689" s="2">
        <v>3075.42</v>
      </c>
      <c r="D1689" s="1">
        <v>43781</v>
      </c>
      <c r="E1689" t="str">
        <f>"201911053003"</f>
        <v>201911053003</v>
      </c>
      <c r="F1689" t="str">
        <f>"acct# 869395921"</f>
        <v>acct# 869395921</v>
      </c>
      <c r="G1689" s="2">
        <v>486.18</v>
      </c>
      <c r="H1689" t="str">
        <f>"Fue"</f>
        <v>Fue</v>
      </c>
    </row>
    <row r="1690" spans="1:8" x14ac:dyDescent="0.25">
      <c r="E1690" t="str">
        <f>""</f>
        <v/>
      </c>
      <c r="F1690" t="str">
        <f>""</f>
        <v/>
      </c>
      <c r="H1690" t="str">
        <f>"Tax"</f>
        <v>Tax</v>
      </c>
    </row>
    <row r="1691" spans="1:8" x14ac:dyDescent="0.25">
      <c r="E1691" t="str">
        <f>"201911053009"</f>
        <v>201911053009</v>
      </c>
      <c r="F1691" t="str">
        <f>"acct# 869395921"</f>
        <v>acct# 869395921</v>
      </c>
      <c r="G1691" s="2">
        <v>2589.2399999999998</v>
      </c>
      <c r="H1691" t="str">
        <f>"Fuel"</f>
        <v>Fuel</v>
      </c>
    </row>
    <row r="1692" spans="1:8" x14ac:dyDescent="0.25">
      <c r="E1692" t="str">
        <f>""</f>
        <v/>
      </c>
      <c r="F1692" t="str">
        <f>""</f>
        <v/>
      </c>
      <c r="H1692" t="str">
        <f>"Tax"</f>
        <v>Tax</v>
      </c>
    </row>
    <row r="1693" spans="1:8" x14ac:dyDescent="0.25">
      <c r="E1693" t="str">
        <f>""</f>
        <v/>
      </c>
      <c r="F1693" t="str">
        <f>""</f>
        <v/>
      </c>
      <c r="H1693" t="str">
        <f>"Maintance"</f>
        <v>Maintance</v>
      </c>
    </row>
    <row r="1694" spans="1:8" x14ac:dyDescent="0.25">
      <c r="A1694" t="s">
        <v>446</v>
      </c>
      <c r="B1694">
        <v>84845</v>
      </c>
      <c r="C1694" s="2">
        <v>386</v>
      </c>
      <c r="D1694" s="1">
        <v>43781</v>
      </c>
      <c r="E1694" t="str">
        <f>"4435"</f>
        <v>4435</v>
      </c>
      <c r="F1694" t="str">
        <f>"SHIRTS/JUVENILE BOOTCAMP"</f>
        <v>SHIRTS/JUVENILE BOOTCAMP</v>
      </c>
      <c r="G1694" s="2">
        <v>386</v>
      </c>
      <c r="H1694" t="str">
        <f>"SHIRTS/JUVENILE BOOTCAMP"</f>
        <v>SHIRTS/JUVENILE BOOTCAMP</v>
      </c>
    </row>
    <row r="1695" spans="1:8" x14ac:dyDescent="0.25">
      <c r="A1695" t="s">
        <v>447</v>
      </c>
      <c r="B1695">
        <v>276</v>
      </c>
      <c r="C1695" s="2">
        <v>5236.72</v>
      </c>
      <c r="D1695" s="1">
        <v>43788</v>
      </c>
      <c r="E1695" t="str">
        <f>"201911193454"</f>
        <v>201911193454</v>
      </c>
      <c r="F1695" t="str">
        <f>"Roy Williams"</f>
        <v>Roy Williams</v>
      </c>
      <c r="G1695" s="2">
        <v>73.62</v>
      </c>
      <c r="H1695" t="str">
        <f>"Roy Williams"</f>
        <v>Roy Williams</v>
      </c>
    </row>
    <row r="1696" spans="1:8" x14ac:dyDescent="0.25">
      <c r="E1696" t="str">
        <f>"AS 201910302805"</f>
        <v>AS 201910302805</v>
      </c>
      <c r="F1696" t="str">
        <f t="shared" ref="F1696:F1709" si="23">"ALLSTATE"</f>
        <v>ALLSTATE</v>
      </c>
      <c r="G1696" s="2">
        <v>510.92</v>
      </c>
      <c r="H1696" t="str">
        <f t="shared" ref="H1696:H1709" si="24">"ALLSTATE"</f>
        <v>ALLSTATE</v>
      </c>
    </row>
    <row r="1697" spans="1:8" x14ac:dyDescent="0.25">
      <c r="E1697" t="str">
        <f>"AS 201910302806"</f>
        <v>AS 201910302806</v>
      </c>
      <c r="F1697" t="str">
        <f t="shared" si="23"/>
        <v>ALLSTATE</v>
      </c>
      <c r="G1697" s="2">
        <v>27.14</v>
      </c>
      <c r="H1697" t="str">
        <f t="shared" si="24"/>
        <v>ALLSTATE</v>
      </c>
    </row>
    <row r="1698" spans="1:8" x14ac:dyDescent="0.25">
      <c r="E1698" t="str">
        <f>"AS 201911133212"</f>
        <v>AS 201911133212</v>
      </c>
      <c r="F1698" t="str">
        <f t="shared" si="23"/>
        <v>ALLSTATE</v>
      </c>
      <c r="G1698" s="2">
        <v>510.92</v>
      </c>
      <c r="H1698" t="str">
        <f t="shared" si="24"/>
        <v>ALLSTATE</v>
      </c>
    </row>
    <row r="1699" spans="1:8" x14ac:dyDescent="0.25">
      <c r="E1699" t="str">
        <f>"AS 201911133213"</f>
        <v>AS 201911133213</v>
      </c>
      <c r="F1699" t="str">
        <f t="shared" si="23"/>
        <v>ALLSTATE</v>
      </c>
      <c r="G1699" s="2">
        <v>27.14</v>
      </c>
      <c r="H1699" t="str">
        <f t="shared" si="24"/>
        <v>ALLSTATE</v>
      </c>
    </row>
    <row r="1700" spans="1:8" x14ac:dyDescent="0.25">
      <c r="E1700" t="str">
        <f>"ASD201910302805"</f>
        <v>ASD201910302805</v>
      </c>
      <c r="F1700" t="str">
        <f t="shared" si="23"/>
        <v>ALLSTATE</v>
      </c>
      <c r="G1700" s="2">
        <v>170.21</v>
      </c>
      <c r="H1700" t="str">
        <f t="shared" si="24"/>
        <v>ALLSTATE</v>
      </c>
    </row>
    <row r="1701" spans="1:8" x14ac:dyDescent="0.25">
      <c r="E1701" t="str">
        <f>"ASD201911133212"</f>
        <v>ASD201911133212</v>
      </c>
      <c r="F1701" t="str">
        <f t="shared" si="23"/>
        <v>ALLSTATE</v>
      </c>
      <c r="G1701" s="2">
        <v>170.21</v>
      </c>
      <c r="H1701" t="str">
        <f t="shared" si="24"/>
        <v>ALLSTATE</v>
      </c>
    </row>
    <row r="1702" spans="1:8" x14ac:dyDescent="0.25">
      <c r="E1702" t="str">
        <f>"ASI201910302805"</f>
        <v>ASI201910302805</v>
      </c>
      <c r="F1702" t="str">
        <f t="shared" si="23"/>
        <v>ALLSTATE</v>
      </c>
      <c r="G1702" s="2">
        <v>621.97</v>
      </c>
      <c r="H1702" t="str">
        <f t="shared" si="24"/>
        <v>ALLSTATE</v>
      </c>
    </row>
    <row r="1703" spans="1:8" x14ac:dyDescent="0.25">
      <c r="E1703" t="str">
        <f>"ASI201910302806"</f>
        <v>ASI201910302806</v>
      </c>
      <c r="F1703" t="str">
        <f t="shared" si="23"/>
        <v>ALLSTATE</v>
      </c>
      <c r="G1703" s="2">
        <v>67.150000000000006</v>
      </c>
      <c r="H1703" t="str">
        <f t="shared" si="24"/>
        <v>ALLSTATE</v>
      </c>
    </row>
    <row r="1704" spans="1:8" x14ac:dyDescent="0.25">
      <c r="E1704" t="str">
        <f>"ASI201911133212"</f>
        <v>ASI201911133212</v>
      </c>
      <c r="F1704" t="str">
        <f t="shared" si="23"/>
        <v>ALLSTATE</v>
      </c>
      <c r="G1704" s="2">
        <v>621.97</v>
      </c>
      <c r="H1704" t="str">
        <f t="shared" si="24"/>
        <v>ALLSTATE</v>
      </c>
    </row>
    <row r="1705" spans="1:8" x14ac:dyDescent="0.25">
      <c r="E1705" t="str">
        <f>"ASI201911133213"</f>
        <v>ASI201911133213</v>
      </c>
      <c r="F1705" t="str">
        <f t="shared" si="23"/>
        <v>ALLSTATE</v>
      </c>
      <c r="G1705" s="2">
        <v>67.150000000000006</v>
      </c>
      <c r="H1705" t="str">
        <f t="shared" si="24"/>
        <v>ALLSTATE</v>
      </c>
    </row>
    <row r="1706" spans="1:8" x14ac:dyDescent="0.25">
      <c r="E1706" t="str">
        <f>"AST201910302805"</f>
        <v>AST201910302805</v>
      </c>
      <c r="F1706" t="str">
        <f t="shared" si="23"/>
        <v>ALLSTATE</v>
      </c>
      <c r="G1706" s="2">
        <v>1104.73</v>
      </c>
      <c r="H1706" t="str">
        <f t="shared" si="24"/>
        <v>ALLSTATE</v>
      </c>
    </row>
    <row r="1707" spans="1:8" x14ac:dyDescent="0.25">
      <c r="E1707" t="str">
        <f>"AST201910302806"</f>
        <v>AST201910302806</v>
      </c>
      <c r="F1707" t="str">
        <f t="shared" si="23"/>
        <v>ALLSTATE</v>
      </c>
      <c r="G1707" s="2">
        <v>42.61</v>
      </c>
      <c r="H1707" t="str">
        <f t="shared" si="24"/>
        <v>ALLSTATE</v>
      </c>
    </row>
    <row r="1708" spans="1:8" x14ac:dyDescent="0.25">
      <c r="E1708" t="str">
        <f>"AST201911133212"</f>
        <v>AST201911133212</v>
      </c>
      <c r="F1708" t="str">
        <f t="shared" si="23"/>
        <v>ALLSTATE</v>
      </c>
      <c r="G1708" s="2">
        <v>1178.3699999999999</v>
      </c>
      <c r="H1708" t="str">
        <f t="shared" si="24"/>
        <v>ALLSTATE</v>
      </c>
    </row>
    <row r="1709" spans="1:8" x14ac:dyDescent="0.25">
      <c r="E1709" t="str">
        <f>"AST201911133213"</f>
        <v>AST201911133213</v>
      </c>
      <c r="F1709" t="str">
        <f t="shared" si="23"/>
        <v>ALLSTATE</v>
      </c>
      <c r="G1709" s="2">
        <v>42.61</v>
      </c>
      <c r="H1709" t="str">
        <f t="shared" si="24"/>
        <v>ALLSTATE</v>
      </c>
    </row>
    <row r="1710" spans="1:8" x14ac:dyDescent="0.25">
      <c r="A1710" t="s">
        <v>448</v>
      </c>
      <c r="B1710">
        <v>284</v>
      </c>
      <c r="C1710" s="2">
        <v>26279.22</v>
      </c>
      <c r="D1710" s="1">
        <v>43794</v>
      </c>
      <c r="E1710" t="str">
        <f>"201911193348"</f>
        <v>201911193348</v>
      </c>
      <c r="F1710" t="str">
        <f>"AmWINS Group Benefits  Inc."</f>
        <v>AmWINS Group Benefits  Inc.</v>
      </c>
      <c r="G1710" s="2">
        <v>26279.22</v>
      </c>
      <c r="H1710" t="str">
        <f>"AmWINS Group Benefits  Inc."</f>
        <v>AmWINS Group Benefits  Inc.</v>
      </c>
    </row>
    <row r="1711" spans="1:8" x14ac:dyDescent="0.25">
      <c r="A1711" t="s">
        <v>449</v>
      </c>
      <c r="B1711">
        <v>259</v>
      </c>
      <c r="C1711" s="2">
        <v>2802.48</v>
      </c>
      <c r="D1711" s="1">
        <v>43770</v>
      </c>
      <c r="E1711" t="str">
        <f>"DHM201910302807"</f>
        <v>DHM201910302807</v>
      </c>
      <c r="F1711" t="str">
        <f>"AP - DENTAL HMO"</f>
        <v>AP - DENTAL HMO</v>
      </c>
      <c r="G1711" s="2">
        <v>61.39</v>
      </c>
      <c r="H1711" t="str">
        <f>"AP - DENTAL HMO"</f>
        <v>AP - DENTAL HMO</v>
      </c>
    </row>
    <row r="1712" spans="1:8" x14ac:dyDescent="0.25">
      <c r="E1712" t="str">
        <f>"DTX201910302807"</f>
        <v>DTX201910302807</v>
      </c>
      <c r="F1712" t="str">
        <f>"AP - TEXAS DENTAL"</f>
        <v>AP - TEXAS DENTAL</v>
      </c>
      <c r="G1712" s="2">
        <v>418.99</v>
      </c>
      <c r="H1712" t="str">
        <f>"AP - TEXAS DENTAL"</f>
        <v>AP - TEXAS DENTAL</v>
      </c>
    </row>
    <row r="1713" spans="1:8" x14ac:dyDescent="0.25">
      <c r="E1713" t="str">
        <f>"FD 201910302807"</f>
        <v>FD 201910302807</v>
      </c>
      <c r="F1713" t="str">
        <f>"AP - FT DEARBORN PRE-TAX"</f>
        <v>AP - FT DEARBORN PRE-TAX</v>
      </c>
      <c r="G1713" s="2">
        <v>188.97</v>
      </c>
      <c r="H1713" t="str">
        <f>"AP - FT DEARBORN PRE-TAX"</f>
        <v>AP - FT DEARBORN PRE-TAX</v>
      </c>
    </row>
    <row r="1714" spans="1:8" x14ac:dyDescent="0.25">
      <c r="E1714" t="str">
        <f>"FDT201910302807"</f>
        <v>FDT201910302807</v>
      </c>
      <c r="F1714" t="str">
        <f>"AP - FT DEARBORN AFTER TAX"</f>
        <v>AP - FT DEARBORN AFTER TAX</v>
      </c>
      <c r="G1714" s="2">
        <v>69.819999999999993</v>
      </c>
      <c r="H1714" t="str">
        <f>"AP - FT DEARBORN AFTER TAX"</f>
        <v>AP - FT DEARBORN AFTER TAX</v>
      </c>
    </row>
    <row r="1715" spans="1:8" x14ac:dyDescent="0.25">
      <c r="E1715" t="str">
        <f>"FLX201910302807"</f>
        <v>FLX201910302807</v>
      </c>
      <c r="F1715" t="str">
        <f>"AP - TEX FLEX"</f>
        <v>AP - TEX FLEX</v>
      </c>
      <c r="G1715" s="2">
        <v>209.5</v>
      </c>
      <c r="H1715" t="str">
        <f>"AP - TEX FLEX"</f>
        <v>AP - TEX FLEX</v>
      </c>
    </row>
    <row r="1716" spans="1:8" x14ac:dyDescent="0.25">
      <c r="E1716" t="str">
        <f>"MHS201910302807"</f>
        <v>MHS201910302807</v>
      </c>
      <c r="F1716" t="str">
        <f>"AP - HEALTH SELECT MEDICAL"</f>
        <v>AP - HEALTH SELECT MEDICAL</v>
      </c>
      <c r="G1716" s="2">
        <v>1257.6500000000001</v>
      </c>
      <c r="H1716" t="str">
        <f>"AP - HEALTH SELECT MEDICAL"</f>
        <v>AP - HEALTH SELECT MEDICAL</v>
      </c>
    </row>
    <row r="1717" spans="1:8" x14ac:dyDescent="0.25">
      <c r="E1717" t="str">
        <f>"MSW201910302807"</f>
        <v>MSW201910302807</v>
      </c>
      <c r="F1717" t="str">
        <f>"AP - SCOTT &amp; WHITE MEDICAL"</f>
        <v>AP - SCOTT &amp; WHITE MEDICAL</v>
      </c>
      <c r="G1717" s="2">
        <v>551.08000000000004</v>
      </c>
      <c r="H1717" t="str">
        <f>"AP - SCOTT &amp; WHITE MEDICAL"</f>
        <v>AP - SCOTT &amp; WHITE MEDICAL</v>
      </c>
    </row>
    <row r="1718" spans="1:8" x14ac:dyDescent="0.25">
      <c r="E1718" t="str">
        <f>"SPE201910302807"</f>
        <v>SPE201910302807</v>
      </c>
      <c r="F1718" t="str">
        <f>"AP - STATE VISION"</f>
        <v>AP - STATE VISION</v>
      </c>
      <c r="G1718" s="2">
        <v>45.08</v>
      </c>
      <c r="H1718" t="str">
        <f>"AP - STATE VISION"</f>
        <v>AP - STATE VISION</v>
      </c>
    </row>
    <row r="1719" spans="1:8" x14ac:dyDescent="0.25">
      <c r="A1719" t="s">
        <v>449</v>
      </c>
      <c r="B1719">
        <v>270</v>
      </c>
      <c r="C1719" s="2">
        <v>2807.6</v>
      </c>
      <c r="D1719" s="1">
        <v>43784</v>
      </c>
      <c r="E1719" t="str">
        <f>"DHM201911133214"</f>
        <v>DHM201911133214</v>
      </c>
      <c r="F1719" t="str">
        <f>"AP - DENTAL HMO"</f>
        <v>AP - DENTAL HMO</v>
      </c>
      <c r="G1719" s="2">
        <v>61.39</v>
      </c>
      <c r="H1719" t="str">
        <f>"AP - DENTAL HMO"</f>
        <v>AP - DENTAL HMO</v>
      </c>
    </row>
    <row r="1720" spans="1:8" x14ac:dyDescent="0.25">
      <c r="E1720" t="str">
        <f>"DTX201911133214"</f>
        <v>DTX201911133214</v>
      </c>
      <c r="F1720" t="str">
        <f>"AP - TEXAS DENTAL"</f>
        <v>AP - TEXAS DENTAL</v>
      </c>
      <c r="G1720" s="2">
        <v>418.99</v>
      </c>
      <c r="H1720" t="str">
        <f>"AP - TEXAS DENTAL"</f>
        <v>AP - TEXAS DENTAL</v>
      </c>
    </row>
    <row r="1721" spans="1:8" x14ac:dyDescent="0.25">
      <c r="E1721" t="str">
        <f>"FD 201911133214"</f>
        <v>FD 201911133214</v>
      </c>
      <c r="F1721" t="str">
        <f>"AP - FT DEARBORN PRE-TAX"</f>
        <v>AP - FT DEARBORN PRE-TAX</v>
      </c>
      <c r="G1721" s="2">
        <v>188.97</v>
      </c>
      <c r="H1721" t="str">
        <f>"AP - FT DEARBORN PRE-TAX"</f>
        <v>AP - FT DEARBORN PRE-TAX</v>
      </c>
    </row>
    <row r="1722" spans="1:8" x14ac:dyDescent="0.25">
      <c r="E1722" t="str">
        <f>"FDT201911133214"</f>
        <v>FDT201911133214</v>
      </c>
      <c r="F1722" t="str">
        <f>"AP - FT DEARBORN AFTER TAX"</f>
        <v>AP - FT DEARBORN AFTER TAX</v>
      </c>
      <c r="G1722" s="2">
        <v>69.819999999999993</v>
      </c>
      <c r="H1722" t="str">
        <f>"AP - FT DEARBORN AFTER TAX"</f>
        <v>AP - FT DEARBORN AFTER TAX</v>
      </c>
    </row>
    <row r="1723" spans="1:8" x14ac:dyDescent="0.25">
      <c r="E1723" t="str">
        <f>"FLX201911133214"</f>
        <v>FLX201911133214</v>
      </c>
      <c r="F1723" t="str">
        <f>"AP - TEX FLEX"</f>
        <v>AP - TEX FLEX</v>
      </c>
      <c r="G1723" s="2">
        <v>209.5</v>
      </c>
      <c r="H1723" t="str">
        <f>"AP - TEX FLEX"</f>
        <v>AP - TEX FLEX</v>
      </c>
    </row>
    <row r="1724" spans="1:8" x14ac:dyDescent="0.25">
      <c r="E1724" t="str">
        <f>"MHS201911133214"</f>
        <v>MHS201911133214</v>
      </c>
      <c r="F1724" t="str">
        <f>"AP - HEALTH SELECT MEDICAL"</f>
        <v>AP - HEALTH SELECT MEDICAL</v>
      </c>
      <c r="G1724" s="2">
        <v>1257.6500000000001</v>
      </c>
      <c r="H1724" t="str">
        <f>"AP - HEALTH SELECT MEDICAL"</f>
        <v>AP - HEALTH SELECT MEDICAL</v>
      </c>
    </row>
    <row r="1725" spans="1:8" x14ac:dyDescent="0.25">
      <c r="E1725" t="str">
        <f>"MSW201911133214"</f>
        <v>MSW201911133214</v>
      </c>
      <c r="F1725" t="str">
        <f>"AP - SCOTT &amp; WHITE MEDICAL"</f>
        <v>AP - SCOTT &amp; WHITE MEDICAL</v>
      </c>
      <c r="G1725" s="2">
        <v>551.08000000000004</v>
      </c>
      <c r="H1725" t="str">
        <f>"AP - SCOTT &amp; WHITE MEDICAL"</f>
        <v>AP - SCOTT &amp; WHITE MEDICAL</v>
      </c>
    </row>
    <row r="1726" spans="1:8" x14ac:dyDescent="0.25">
      <c r="E1726" t="str">
        <f>"SPE201911133214"</f>
        <v>SPE201911133214</v>
      </c>
      <c r="F1726" t="str">
        <f>"AP - STATE VISION"</f>
        <v>AP - STATE VISION</v>
      </c>
      <c r="G1726" s="2">
        <v>50.2</v>
      </c>
      <c r="H1726" t="str">
        <f>"AP - STATE VISION"</f>
        <v>AP - STATE VISION</v>
      </c>
    </row>
    <row r="1727" spans="1:8" x14ac:dyDescent="0.25">
      <c r="A1727" t="s">
        <v>450</v>
      </c>
      <c r="B1727">
        <v>277</v>
      </c>
      <c r="C1727" s="2">
        <v>5028.8599999999997</v>
      </c>
      <c r="D1727" s="1">
        <v>43788</v>
      </c>
      <c r="E1727" t="str">
        <f>"201911193455"</f>
        <v>201911193455</v>
      </c>
      <c r="F1727" t="str">
        <f>"COLONIAL LIFE &amp; ACCIDENT INS."</f>
        <v>COLONIAL LIFE &amp; ACCIDENT INS.</v>
      </c>
      <c r="G1727" s="2">
        <v>0.48</v>
      </c>
      <c r="H1727" t="str">
        <f>"COLONIAL LIFE &amp; ACCIDENT INS."</f>
        <v>COLONIAL LIFE &amp; ACCIDENT INS.</v>
      </c>
    </row>
    <row r="1728" spans="1:8" x14ac:dyDescent="0.25">
      <c r="E1728" t="str">
        <f>"CL 201910302805"</f>
        <v>CL 201910302805</v>
      </c>
      <c r="F1728" t="str">
        <f t="shared" ref="F1728:F1746" si="25">"COLONIAL"</f>
        <v>COLONIAL</v>
      </c>
      <c r="G1728" s="2">
        <v>635.71</v>
      </c>
      <c r="H1728" t="str">
        <f t="shared" ref="H1728:H1746" si="26">"COLONIAL"</f>
        <v>COLONIAL</v>
      </c>
    </row>
    <row r="1729" spans="5:8" x14ac:dyDescent="0.25">
      <c r="E1729" t="str">
        <f>"CL 201910302806"</f>
        <v>CL 201910302806</v>
      </c>
      <c r="F1729" t="str">
        <f t="shared" si="25"/>
        <v>COLONIAL</v>
      </c>
      <c r="G1729" s="2">
        <v>14.49</v>
      </c>
      <c r="H1729" t="str">
        <f t="shared" si="26"/>
        <v>COLONIAL</v>
      </c>
    </row>
    <row r="1730" spans="5:8" x14ac:dyDescent="0.25">
      <c r="E1730" t="str">
        <f>"CL 201911133212"</f>
        <v>CL 201911133212</v>
      </c>
      <c r="F1730" t="str">
        <f t="shared" si="25"/>
        <v>COLONIAL</v>
      </c>
      <c r="G1730" s="2">
        <v>635.71</v>
      </c>
      <c r="H1730" t="str">
        <f t="shared" si="26"/>
        <v>COLONIAL</v>
      </c>
    </row>
    <row r="1731" spans="5:8" x14ac:dyDescent="0.25">
      <c r="E1731" t="str">
        <f>"CL 201911133213"</f>
        <v>CL 201911133213</v>
      </c>
      <c r="F1731" t="str">
        <f t="shared" si="25"/>
        <v>COLONIAL</v>
      </c>
      <c r="G1731" s="2">
        <v>14.49</v>
      </c>
      <c r="H1731" t="str">
        <f t="shared" si="26"/>
        <v>COLONIAL</v>
      </c>
    </row>
    <row r="1732" spans="5:8" x14ac:dyDescent="0.25">
      <c r="E1732" t="str">
        <f>"CLC201910302805"</f>
        <v>CLC201910302805</v>
      </c>
      <c r="F1732" t="str">
        <f t="shared" si="25"/>
        <v>COLONIAL</v>
      </c>
      <c r="G1732" s="2">
        <v>33.99</v>
      </c>
      <c r="H1732" t="str">
        <f t="shared" si="26"/>
        <v>COLONIAL</v>
      </c>
    </row>
    <row r="1733" spans="5:8" x14ac:dyDescent="0.25">
      <c r="E1733" t="str">
        <f>"CLC201911133212"</f>
        <v>CLC201911133212</v>
      </c>
      <c r="F1733" t="str">
        <f t="shared" si="25"/>
        <v>COLONIAL</v>
      </c>
      <c r="G1733" s="2">
        <v>33.99</v>
      </c>
      <c r="H1733" t="str">
        <f t="shared" si="26"/>
        <v>COLONIAL</v>
      </c>
    </row>
    <row r="1734" spans="5:8" x14ac:dyDescent="0.25">
      <c r="E1734" t="str">
        <f>"CLI201910302805"</f>
        <v>CLI201910302805</v>
      </c>
      <c r="F1734" t="str">
        <f t="shared" si="25"/>
        <v>COLONIAL</v>
      </c>
      <c r="G1734" s="2">
        <v>615.96</v>
      </c>
      <c r="H1734" t="str">
        <f t="shared" si="26"/>
        <v>COLONIAL</v>
      </c>
    </row>
    <row r="1735" spans="5:8" x14ac:dyDescent="0.25">
      <c r="E1735" t="str">
        <f>"CLI201911133212"</f>
        <v>CLI201911133212</v>
      </c>
      <c r="F1735" t="str">
        <f t="shared" si="25"/>
        <v>COLONIAL</v>
      </c>
      <c r="G1735" s="2">
        <v>615.96</v>
      </c>
      <c r="H1735" t="str">
        <f t="shared" si="26"/>
        <v>COLONIAL</v>
      </c>
    </row>
    <row r="1736" spans="5:8" x14ac:dyDescent="0.25">
      <c r="E1736" t="str">
        <f>"CLK201910302805"</f>
        <v>CLK201910302805</v>
      </c>
      <c r="F1736" t="str">
        <f t="shared" si="25"/>
        <v>COLONIAL</v>
      </c>
      <c r="G1736" s="2">
        <v>27.09</v>
      </c>
      <c r="H1736" t="str">
        <f t="shared" si="26"/>
        <v>COLONIAL</v>
      </c>
    </row>
    <row r="1737" spans="5:8" x14ac:dyDescent="0.25">
      <c r="E1737" t="str">
        <f>"CLK201911133212"</f>
        <v>CLK201911133212</v>
      </c>
      <c r="F1737" t="str">
        <f t="shared" si="25"/>
        <v>COLONIAL</v>
      </c>
      <c r="G1737" s="2">
        <v>27.09</v>
      </c>
      <c r="H1737" t="str">
        <f t="shared" si="26"/>
        <v>COLONIAL</v>
      </c>
    </row>
    <row r="1738" spans="5:8" x14ac:dyDescent="0.25">
      <c r="E1738" t="str">
        <f>"CLS201910302805"</f>
        <v>CLS201910302805</v>
      </c>
      <c r="F1738" t="str">
        <f t="shared" si="25"/>
        <v>COLONIAL</v>
      </c>
      <c r="G1738" s="2">
        <v>385.78</v>
      </c>
      <c r="H1738" t="str">
        <f t="shared" si="26"/>
        <v>COLONIAL</v>
      </c>
    </row>
    <row r="1739" spans="5:8" x14ac:dyDescent="0.25">
      <c r="E1739" t="str">
        <f>"CLS201911133212"</f>
        <v>CLS201911133212</v>
      </c>
      <c r="F1739" t="str">
        <f t="shared" si="25"/>
        <v>COLONIAL</v>
      </c>
      <c r="G1739" s="2">
        <v>385.78</v>
      </c>
      <c r="H1739" t="str">
        <f t="shared" si="26"/>
        <v>COLONIAL</v>
      </c>
    </row>
    <row r="1740" spans="5:8" x14ac:dyDescent="0.25">
      <c r="E1740" t="str">
        <f>"CLS201911133213"</f>
        <v>CLS201911133213</v>
      </c>
      <c r="F1740" t="str">
        <f t="shared" si="25"/>
        <v>COLONIAL</v>
      </c>
      <c r="G1740" s="2">
        <v>31.46</v>
      </c>
      <c r="H1740" t="str">
        <f t="shared" si="26"/>
        <v>COLONIAL</v>
      </c>
    </row>
    <row r="1741" spans="5:8" x14ac:dyDescent="0.25">
      <c r="E1741" t="str">
        <f>"CLT201910302805"</f>
        <v>CLT201910302805</v>
      </c>
      <c r="F1741" t="str">
        <f t="shared" si="25"/>
        <v>COLONIAL</v>
      </c>
      <c r="G1741" s="2">
        <v>365.09</v>
      </c>
      <c r="H1741" t="str">
        <f t="shared" si="26"/>
        <v>COLONIAL</v>
      </c>
    </row>
    <row r="1742" spans="5:8" x14ac:dyDescent="0.25">
      <c r="E1742" t="str">
        <f>"CLT201911133212"</f>
        <v>CLT201911133212</v>
      </c>
      <c r="F1742" t="str">
        <f t="shared" si="25"/>
        <v>COLONIAL</v>
      </c>
      <c r="G1742" s="2">
        <v>365.09</v>
      </c>
      <c r="H1742" t="str">
        <f t="shared" si="26"/>
        <v>COLONIAL</v>
      </c>
    </row>
    <row r="1743" spans="5:8" x14ac:dyDescent="0.25">
      <c r="E1743" t="str">
        <f>"CLU201910302805"</f>
        <v>CLU201910302805</v>
      </c>
      <c r="F1743" t="str">
        <f t="shared" si="25"/>
        <v>COLONIAL</v>
      </c>
      <c r="G1743" s="2">
        <v>111.55</v>
      </c>
      <c r="H1743" t="str">
        <f t="shared" si="26"/>
        <v>COLONIAL</v>
      </c>
    </row>
    <row r="1744" spans="5:8" x14ac:dyDescent="0.25">
      <c r="E1744" t="str">
        <f>"CLU201911133212"</f>
        <v>CLU201911133212</v>
      </c>
      <c r="F1744" t="str">
        <f t="shared" si="25"/>
        <v>COLONIAL</v>
      </c>
      <c r="G1744" s="2">
        <v>111.55</v>
      </c>
      <c r="H1744" t="str">
        <f t="shared" si="26"/>
        <v>COLONIAL</v>
      </c>
    </row>
    <row r="1745" spans="1:8" x14ac:dyDescent="0.25">
      <c r="E1745" t="str">
        <f>"CLW201910302805"</f>
        <v>CLW201910302805</v>
      </c>
      <c r="F1745" t="str">
        <f t="shared" si="25"/>
        <v>COLONIAL</v>
      </c>
      <c r="G1745" s="2">
        <v>308.8</v>
      </c>
      <c r="H1745" t="str">
        <f t="shared" si="26"/>
        <v>COLONIAL</v>
      </c>
    </row>
    <row r="1746" spans="1:8" x14ac:dyDescent="0.25">
      <c r="E1746" t="str">
        <f>"CLW201911133212"</f>
        <v>CLW201911133212</v>
      </c>
      <c r="F1746" t="str">
        <f t="shared" si="25"/>
        <v>COLONIAL</v>
      </c>
      <c r="G1746" s="2">
        <v>308.8</v>
      </c>
      <c r="H1746" t="str">
        <f t="shared" si="26"/>
        <v>COLONIAL</v>
      </c>
    </row>
    <row r="1747" spans="1:8" x14ac:dyDescent="0.25">
      <c r="A1747" t="s">
        <v>451</v>
      </c>
      <c r="B1747">
        <v>260</v>
      </c>
      <c r="C1747" s="2">
        <v>9191.69</v>
      </c>
      <c r="D1747" s="1">
        <v>43770</v>
      </c>
      <c r="E1747" t="str">
        <f>"CPI201910302805"</f>
        <v>CPI201910302805</v>
      </c>
      <c r="F1747" t="str">
        <f>"DEFERRED COMP 457B PAYABLE"</f>
        <v>DEFERRED COMP 457B PAYABLE</v>
      </c>
      <c r="G1747" s="2">
        <v>9084.19</v>
      </c>
      <c r="H1747" t="str">
        <f>"DEFERRED COMP 457B PAYABLE"</f>
        <v>DEFERRED COMP 457B PAYABLE</v>
      </c>
    </row>
    <row r="1748" spans="1:8" x14ac:dyDescent="0.25">
      <c r="E1748" t="str">
        <f>"CPI201910302806"</f>
        <v>CPI201910302806</v>
      </c>
      <c r="F1748" t="str">
        <f>"DEFERRED COMP 457B PAYABLE"</f>
        <v>DEFERRED COMP 457B PAYABLE</v>
      </c>
      <c r="G1748" s="2">
        <v>107.5</v>
      </c>
      <c r="H1748" t="str">
        <f>"DEFERRED COMP 457B PAYABLE"</f>
        <v>DEFERRED COMP 457B PAYABLE</v>
      </c>
    </row>
    <row r="1749" spans="1:8" x14ac:dyDescent="0.25">
      <c r="A1749" t="s">
        <v>451</v>
      </c>
      <c r="B1749">
        <v>271</v>
      </c>
      <c r="C1749" s="2">
        <v>9291.2800000000007</v>
      </c>
      <c r="D1749" s="1">
        <v>43784</v>
      </c>
      <c r="E1749" t="str">
        <f>"CPI201911133212"</f>
        <v>CPI201911133212</v>
      </c>
      <c r="F1749" t="str">
        <f>"DEFERRED COMP 457B PAYABLE"</f>
        <v>DEFERRED COMP 457B PAYABLE</v>
      </c>
      <c r="G1749" s="2">
        <v>9183.7800000000007</v>
      </c>
      <c r="H1749" t="str">
        <f>"DEFERRED COMP 457B PAYABLE"</f>
        <v>DEFERRED COMP 457B PAYABLE</v>
      </c>
    </row>
    <row r="1750" spans="1:8" x14ac:dyDescent="0.25">
      <c r="E1750" t="str">
        <f>"CPI201911133213"</f>
        <v>CPI201911133213</v>
      </c>
      <c r="F1750" t="str">
        <f>"DEFERRED COMP 457B PAYABLE"</f>
        <v>DEFERRED COMP 457B PAYABLE</v>
      </c>
      <c r="G1750" s="2">
        <v>107.5</v>
      </c>
      <c r="H1750" t="str">
        <f>"DEFERRED COMP 457B PAYABLE"</f>
        <v>DEFERRED COMP 457B PAYABLE</v>
      </c>
    </row>
    <row r="1751" spans="1:8" x14ac:dyDescent="0.25">
      <c r="A1751" t="s">
        <v>452</v>
      </c>
      <c r="B1751">
        <v>47675</v>
      </c>
      <c r="C1751" s="2">
        <v>853.85</v>
      </c>
      <c r="D1751" s="1">
        <v>43770</v>
      </c>
      <c r="E1751" t="str">
        <f>"B13201910302805"</f>
        <v>B13201910302805</v>
      </c>
      <c r="F1751" t="str">
        <f>"Rosa Warren 15-10357-TMD"</f>
        <v>Rosa Warren 15-10357-TMD</v>
      </c>
      <c r="G1751" s="2">
        <v>853.85</v>
      </c>
      <c r="H1751" t="str">
        <f>"Rosa Warren 15-10357-TMD"</f>
        <v>Rosa Warren 15-10357-TMD</v>
      </c>
    </row>
    <row r="1752" spans="1:8" x14ac:dyDescent="0.25">
      <c r="A1752" t="s">
        <v>452</v>
      </c>
      <c r="B1752">
        <v>47695</v>
      </c>
      <c r="C1752" s="2">
        <v>853.85</v>
      </c>
      <c r="D1752" s="1">
        <v>43784</v>
      </c>
      <c r="E1752" t="str">
        <f>"B13201911133212"</f>
        <v>B13201911133212</v>
      </c>
      <c r="F1752" t="str">
        <f>"Rosa Warren 15-10357-TMD"</f>
        <v>Rosa Warren 15-10357-TMD</v>
      </c>
      <c r="G1752" s="2">
        <v>853.85</v>
      </c>
      <c r="H1752" t="str">
        <f>"Rosa Warren 15-10357-TMD"</f>
        <v>Rosa Warren 15-10357-TMD</v>
      </c>
    </row>
    <row r="1753" spans="1:8" x14ac:dyDescent="0.25">
      <c r="A1753" t="s">
        <v>452</v>
      </c>
      <c r="B1753">
        <v>47719</v>
      </c>
      <c r="C1753" s="2">
        <v>853.85</v>
      </c>
      <c r="D1753" s="1">
        <v>43796</v>
      </c>
      <c r="E1753" t="str">
        <f>"B13201911263510"</f>
        <v>B13201911263510</v>
      </c>
      <c r="F1753" t="str">
        <f>"Rosa Warren 15-10357-TMD"</f>
        <v>Rosa Warren 15-10357-TMD</v>
      </c>
      <c r="G1753" s="2">
        <v>853.85</v>
      </c>
      <c r="H1753" t="str">
        <f>"Rosa Warren 15-10357-TMD"</f>
        <v>Rosa Warren 15-10357-TMD</v>
      </c>
    </row>
    <row r="1754" spans="1:8" x14ac:dyDescent="0.25">
      <c r="A1754" t="s">
        <v>453</v>
      </c>
      <c r="B1754">
        <v>285</v>
      </c>
      <c r="C1754" s="2">
        <v>42126.26</v>
      </c>
      <c r="D1754" s="1">
        <v>43794</v>
      </c>
      <c r="E1754" t="str">
        <f>"201911253509"</f>
        <v>201911253509</v>
      </c>
      <c r="F1754" t="str">
        <f>"GUARDIAN Not on  Bill"</f>
        <v>GUARDIAN Not on  Bill</v>
      </c>
      <c r="G1754" s="2">
        <v>-17.66</v>
      </c>
      <c r="H1754" t="str">
        <f>"GUARDIAN Not on  Bill"</f>
        <v>GUARDIAN Not on  Bill</v>
      </c>
    </row>
    <row r="1755" spans="1:8" x14ac:dyDescent="0.25">
      <c r="E1755" t="str">
        <f>"201911193342"</f>
        <v>201911193342</v>
      </c>
      <c r="F1755" t="str">
        <f>"RETIREE NOV 2019"</f>
        <v>RETIREE NOV 2019</v>
      </c>
      <c r="G1755" s="2">
        <v>3527.57</v>
      </c>
      <c r="H1755" t="str">
        <f>"RETIREE NOV 2019"</f>
        <v>RETIREE NOV 2019</v>
      </c>
    </row>
    <row r="1756" spans="1:8" x14ac:dyDescent="0.25">
      <c r="E1756" t="str">
        <f>"201911193345"</f>
        <v>201911193345</v>
      </c>
      <c r="F1756" t="str">
        <f>"GUARDIAN ROUNDING NOV 19"</f>
        <v>GUARDIAN ROUNDING NOV 19</v>
      </c>
      <c r="G1756" s="2">
        <v>8.83</v>
      </c>
      <c r="H1756" t="str">
        <f>"GUARDIAN ROUNDING NOV 19"</f>
        <v>GUARDIAN ROUNDING NOV 19</v>
      </c>
    </row>
    <row r="1757" spans="1:8" x14ac:dyDescent="0.25">
      <c r="E1757" t="str">
        <f>"201911193346"</f>
        <v>201911193346</v>
      </c>
      <c r="F1757" t="str">
        <f>"DEDUCTIONS NOT TAKEN FROM CHKS"</f>
        <v>DEDUCTIONS NOT TAKEN FROM CHKS</v>
      </c>
      <c r="G1757" s="2">
        <v>211.87</v>
      </c>
      <c r="H1757" t="str">
        <f>"DEDUCTIONS NOT TAKEN FROM CHKS"</f>
        <v>DEDUCTIONS NOT TAKEN FROM CHKS</v>
      </c>
    </row>
    <row r="1758" spans="1:8" x14ac:dyDescent="0.25">
      <c r="E1758" t="str">
        <f>"ADC201910302805"</f>
        <v>ADC201910302805</v>
      </c>
      <c r="F1758" t="str">
        <f t="shared" ref="F1758:F1770" si="27">"GUARDIAN"</f>
        <v>GUARDIAN</v>
      </c>
      <c r="G1758" s="2">
        <v>4.68</v>
      </c>
      <c r="H1758" t="str">
        <f t="shared" ref="H1758:H1821" si="28">"GUARDIAN"</f>
        <v>GUARDIAN</v>
      </c>
    </row>
    <row r="1759" spans="1:8" x14ac:dyDescent="0.25">
      <c r="E1759" t="str">
        <f>"ADC201910302806"</f>
        <v>ADC201910302806</v>
      </c>
      <c r="F1759" t="str">
        <f t="shared" si="27"/>
        <v>GUARDIAN</v>
      </c>
      <c r="G1759" s="2">
        <v>0.16</v>
      </c>
      <c r="H1759" t="str">
        <f t="shared" si="28"/>
        <v>GUARDIAN</v>
      </c>
    </row>
    <row r="1760" spans="1:8" x14ac:dyDescent="0.25">
      <c r="E1760" t="str">
        <f>"ADC201911133212"</f>
        <v>ADC201911133212</v>
      </c>
      <c r="F1760" t="str">
        <f t="shared" si="27"/>
        <v>GUARDIAN</v>
      </c>
      <c r="G1760" s="2">
        <v>4.68</v>
      </c>
      <c r="H1760" t="str">
        <f t="shared" si="28"/>
        <v>GUARDIAN</v>
      </c>
    </row>
    <row r="1761" spans="5:8" x14ac:dyDescent="0.25">
      <c r="E1761" t="str">
        <f>"ADC201911133213"</f>
        <v>ADC201911133213</v>
      </c>
      <c r="F1761" t="str">
        <f t="shared" si="27"/>
        <v>GUARDIAN</v>
      </c>
      <c r="G1761" s="2">
        <v>0.16</v>
      </c>
      <c r="H1761" t="str">
        <f t="shared" si="28"/>
        <v>GUARDIAN</v>
      </c>
    </row>
    <row r="1762" spans="5:8" x14ac:dyDescent="0.25">
      <c r="E1762" t="str">
        <f>"ADE201910302805"</f>
        <v>ADE201910302805</v>
      </c>
      <c r="F1762" t="str">
        <f t="shared" si="27"/>
        <v>GUARDIAN</v>
      </c>
      <c r="G1762" s="2">
        <v>233.87</v>
      </c>
      <c r="H1762" t="str">
        <f t="shared" si="28"/>
        <v>GUARDIAN</v>
      </c>
    </row>
    <row r="1763" spans="5:8" x14ac:dyDescent="0.25">
      <c r="E1763" t="str">
        <f>"ADE201910302806"</f>
        <v>ADE201910302806</v>
      </c>
      <c r="F1763" t="str">
        <f t="shared" si="27"/>
        <v>GUARDIAN</v>
      </c>
      <c r="G1763" s="2">
        <v>6.3</v>
      </c>
      <c r="H1763" t="str">
        <f t="shared" si="28"/>
        <v>GUARDIAN</v>
      </c>
    </row>
    <row r="1764" spans="5:8" x14ac:dyDescent="0.25">
      <c r="E1764" t="str">
        <f>"ADE201911133212"</f>
        <v>ADE201911133212</v>
      </c>
      <c r="F1764" t="str">
        <f t="shared" si="27"/>
        <v>GUARDIAN</v>
      </c>
      <c r="G1764" s="2">
        <v>233.87</v>
      </c>
      <c r="H1764" t="str">
        <f t="shared" si="28"/>
        <v>GUARDIAN</v>
      </c>
    </row>
    <row r="1765" spans="5:8" x14ac:dyDescent="0.25">
      <c r="E1765" t="str">
        <f>"ADE201911133213"</f>
        <v>ADE201911133213</v>
      </c>
      <c r="F1765" t="str">
        <f t="shared" si="27"/>
        <v>GUARDIAN</v>
      </c>
      <c r="G1765" s="2">
        <v>6.3</v>
      </c>
      <c r="H1765" t="str">
        <f t="shared" si="28"/>
        <v>GUARDIAN</v>
      </c>
    </row>
    <row r="1766" spans="5:8" x14ac:dyDescent="0.25">
      <c r="E1766" t="str">
        <f>"ADS201910302805"</f>
        <v>ADS201910302805</v>
      </c>
      <c r="F1766" t="str">
        <f t="shared" si="27"/>
        <v>GUARDIAN</v>
      </c>
      <c r="G1766" s="2">
        <v>40.47</v>
      </c>
      <c r="H1766" t="str">
        <f t="shared" si="28"/>
        <v>GUARDIAN</v>
      </c>
    </row>
    <row r="1767" spans="5:8" x14ac:dyDescent="0.25">
      <c r="E1767" t="str">
        <f>"ADS201910302806"</f>
        <v>ADS201910302806</v>
      </c>
      <c r="F1767" t="str">
        <f t="shared" si="27"/>
        <v>GUARDIAN</v>
      </c>
      <c r="G1767" s="2">
        <v>0.53</v>
      </c>
      <c r="H1767" t="str">
        <f t="shared" si="28"/>
        <v>GUARDIAN</v>
      </c>
    </row>
    <row r="1768" spans="5:8" x14ac:dyDescent="0.25">
      <c r="E1768" t="str">
        <f>"ADS201911133212"</f>
        <v>ADS201911133212</v>
      </c>
      <c r="F1768" t="str">
        <f t="shared" si="27"/>
        <v>GUARDIAN</v>
      </c>
      <c r="G1768" s="2">
        <v>40.47</v>
      </c>
      <c r="H1768" t="str">
        <f t="shared" si="28"/>
        <v>GUARDIAN</v>
      </c>
    </row>
    <row r="1769" spans="5:8" x14ac:dyDescent="0.25">
      <c r="E1769" t="str">
        <f>"ADS201911133213"</f>
        <v>ADS201911133213</v>
      </c>
      <c r="F1769" t="str">
        <f t="shared" si="27"/>
        <v>GUARDIAN</v>
      </c>
      <c r="G1769" s="2">
        <v>0.53</v>
      </c>
      <c r="H1769" t="str">
        <f t="shared" si="28"/>
        <v>GUARDIAN</v>
      </c>
    </row>
    <row r="1770" spans="5:8" x14ac:dyDescent="0.25">
      <c r="E1770" t="str">
        <f>"GDC201910302805"</f>
        <v>GDC201910302805</v>
      </c>
      <c r="F1770" t="str">
        <f t="shared" si="27"/>
        <v>GUARDIAN</v>
      </c>
      <c r="G1770" s="2">
        <v>2750.76</v>
      </c>
      <c r="H1770" t="str">
        <f t="shared" si="28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8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8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8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8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8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8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8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28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8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28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28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8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8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8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8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8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28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28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28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28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28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28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28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28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8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8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28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8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28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8"/>
        <v>GUARDIAN</v>
      </c>
    </row>
    <row r="1801" spans="5:8" x14ac:dyDescent="0.25">
      <c r="E1801" t="str">
        <f>"GDC201910302806"</f>
        <v>GDC201910302806</v>
      </c>
      <c r="F1801" t="str">
        <f>"GUARDIAN"</f>
        <v>GUARDIAN</v>
      </c>
      <c r="G1801" s="2">
        <v>135.84</v>
      </c>
      <c r="H1801" t="str">
        <f t="shared" si="28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8"/>
        <v>GUARDIAN</v>
      </c>
    </row>
    <row r="1803" spans="5:8" x14ac:dyDescent="0.25">
      <c r="E1803" t="str">
        <f>"GDC201911133212"</f>
        <v>GDC201911133212</v>
      </c>
      <c r="F1803" t="str">
        <f>"GUARDIAN"</f>
        <v>GUARDIAN</v>
      </c>
      <c r="G1803" s="2">
        <v>2768.47</v>
      </c>
      <c r="H1803" t="str">
        <f t="shared" si="28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8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28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28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8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8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8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8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8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8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28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8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8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8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8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8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8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8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8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ref="H1822:H1885" si="29">"GUARDIAN"</f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9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9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9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9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9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9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9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9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9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9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9"/>
        <v>GUARDIAN</v>
      </c>
    </row>
    <row r="1834" spans="5:8" x14ac:dyDescent="0.25">
      <c r="E1834" t="str">
        <f>"GDC201911133213"</f>
        <v>GDC201911133213</v>
      </c>
      <c r="F1834" t="str">
        <f>"GUARDIAN"</f>
        <v>GUARDIAN</v>
      </c>
      <c r="G1834" s="2">
        <v>135.84</v>
      </c>
      <c r="H1834" t="str">
        <f t="shared" si="29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9"/>
        <v>GUARDIAN</v>
      </c>
    </row>
    <row r="1836" spans="5:8" x14ac:dyDescent="0.25">
      <c r="E1836" t="str">
        <f>"GDE201910302805"</f>
        <v>GDE201910302805</v>
      </c>
      <c r="F1836" t="str">
        <f>"GUARDIAN"</f>
        <v>GUARDIAN</v>
      </c>
      <c r="G1836" s="2">
        <v>4309.2</v>
      </c>
      <c r="H1836" t="str">
        <f t="shared" si="29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9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29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9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9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29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29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29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29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9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29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9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29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29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9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9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9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9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29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29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9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9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9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9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9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29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9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29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29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29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29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29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29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29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29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29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29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29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29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29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29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29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29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29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29"/>
        <v>GUARDIAN</v>
      </c>
    </row>
    <row r="1881" spans="5:8" x14ac:dyDescent="0.25">
      <c r="E1881" t="str">
        <f>"GDE201910302806"</f>
        <v>GDE201910302806</v>
      </c>
      <c r="F1881" t="str">
        <f>"GUARDIAN"</f>
        <v>GUARDIAN</v>
      </c>
      <c r="G1881" s="2">
        <v>184.68</v>
      </c>
      <c r="H1881" t="str">
        <f t="shared" si="29"/>
        <v>GUARDIAN</v>
      </c>
    </row>
    <row r="1882" spans="5:8" x14ac:dyDescent="0.25">
      <c r="E1882" t="str">
        <f>"GDE201911133212"</f>
        <v>GDE201911133212</v>
      </c>
      <c r="F1882" t="str">
        <f>"GUARDIAN"</f>
        <v>GUARDIAN</v>
      </c>
      <c r="G1882" s="2">
        <v>4309.2</v>
      </c>
      <c r="H1882" t="str">
        <f t="shared" si="29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29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29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29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ref="H1886:H1949" si="30">"GUARDIAN"</f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30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30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30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30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30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30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30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30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30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30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30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30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30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30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30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30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30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30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30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30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30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30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30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30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30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30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30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30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30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30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30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30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30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30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30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30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30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30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30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30"/>
        <v>GUARDIAN</v>
      </c>
    </row>
    <row r="1927" spans="5:8" x14ac:dyDescent="0.25">
      <c r="E1927" t="str">
        <f>"GDE201911133213"</f>
        <v>GDE201911133213</v>
      </c>
      <c r="F1927" t="str">
        <f>"GUARDIAN"</f>
        <v>GUARDIAN</v>
      </c>
      <c r="G1927" s="2">
        <v>184.68</v>
      </c>
      <c r="H1927" t="str">
        <f t="shared" si="30"/>
        <v>GUARDIAN</v>
      </c>
    </row>
    <row r="1928" spans="5:8" x14ac:dyDescent="0.25">
      <c r="E1928" t="str">
        <f>"GDF201910302805"</f>
        <v>GDF201910302805</v>
      </c>
      <c r="F1928" t="str">
        <f>"GUARDIAN"</f>
        <v>GUARDIAN</v>
      </c>
      <c r="G1928" s="2">
        <v>2309.66</v>
      </c>
      <c r="H1928" t="str">
        <f t="shared" si="30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30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30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30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30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30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30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30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30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30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30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30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30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30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30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30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30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30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30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30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30"/>
        <v>GUARDIAN</v>
      </c>
    </row>
    <row r="1949" spans="5:8" x14ac:dyDescent="0.25">
      <c r="E1949" t="str">
        <f>"GDF201910302806"</f>
        <v>GDF201910302806</v>
      </c>
      <c r="F1949" t="str">
        <f>"GUARDIAN"</f>
        <v>GUARDIAN</v>
      </c>
      <c r="G1949" s="2">
        <v>100.42</v>
      </c>
      <c r="H1949" t="str">
        <f t="shared" si="30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ref="H1950:H2013" si="31">"GUARDIAN"</f>
        <v>GUARDIAN</v>
      </c>
    </row>
    <row r="1951" spans="5:8" x14ac:dyDescent="0.25">
      <c r="E1951" t="str">
        <f>"GDF201911133212"</f>
        <v>GDF201911133212</v>
      </c>
      <c r="F1951" t="str">
        <f>"GUARDIAN"</f>
        <v>GUARDIAN</v>
      </c>
      <c r="G1951" s="2">
        <v>2259.4499999999998</v>
      </c>
      <c r="H1951" t="str">
        <f t="shared" si="31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31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31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31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31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31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31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31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31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31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31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31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31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31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31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31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31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31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31"/>
        <v>GUARDIAN</v>
      </c>
    </row>
    <row r="1970" spans="5:8" x14ac:dyDescent="0.25">
      <c r="E1970" t="str">
        <f>""</f>
        <v/>
      </c>
      <c r="F1970" t="str">
        <f>""</f>
        <v/>
      </c>
      <c r="H1970" t="str">
        <f t="shared" si="31"/>
        <v>GUARDIAN</v>
      </c>
    </row>
    <row r="1971" spans="5:8" x14ac:dyDescent="0.25">
      <c r="E1971" t="str">
        <f>""</f>
        <v/>
      </c>
      <c r="F1971" t="str">
        <f>""</f>
        <v/>
      </c>
      <c r="H1971" t="str">
        <f t="shared" si="31"/>
        <v>GUARDIAN</v>
      </c>
    </row>
    <row r="1972" spans="5:8" x14ac:dyDescent="0.25">
      <c r="E1972" t="str">
        <f>"GDF201911133213"</f>
        <v>GDF201911133213</v>
      </c>
      <c r="F1972" t="str">
        <f>"GUARDIAN"</f>
        <v>GUARDIAN</v>
      </c>
      <c r="G1972" s="2">
        <v>100.42</v>
      </c>
      <c r="H1972" t="str">
        <f t="shared" si="31"/>
        <v>GUARDIAN</v>
      </c>
    </row>
    <row r="1973" spans="5:8" x14ac:dyDescent="0.25">
      <c r="E1973" t="str">
        <f>""</f>
        <v/>
      </c>
      <c r="F1973" t="str">
        <f>""</f>
        <v/>
      </c>
      <c r="H1973" t="str">
        <f t="shared" si="31"/>
        <v>GUARDIAN</v>
      </c>
    </row>
    <row r="1974" spans="5:8" x14ac:dyDescent="0.25">
      <c r="E1974" t="str">
        <f>"GDS201910302805"</f>
        <v>GDS201910302805</v>
      </c>
      <c r="F1974" t="str">
        <f>"GUARDIAN"</f>
        <v>GUARDIAN</v>
      </c>
      <c r="G1974" s="2">
        <v>1923.24</v>
      </c>
      <c r="H1974" t="str">
        <f t="shared" si="31"/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31"/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31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31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31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31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31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31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31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31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31"/>
        <v>GUARDIAN</v>
      </c>
    </row>
    <row r="1985" spans="5:8" x14ac:dyDescent="0.25">
      <c r="E1985" t="str">
        <f>""</f>
        <v/>
      </c>
      <c r="F1985" t="str">
        <f>""</f>
        <v/>
      </c>
      <c r="H1985" t="str">
        <f t="shared" si="31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31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31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31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31"/>
        <v>GUARDIAN</v>
      </c>
    </row>
    <row r="1990" spans="5:8" x14ac:dyDescent="0.25">
      <c r="E1990" t="str">
        <f>""</f>
        <v/>
      </c>
      <c r="F1990" t="str">
        <f>""</f>
        <v/>
      </c>
      <c r="H1990" t="str">
        <f t="shared" si="31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31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31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31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31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31"/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si="31"/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31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31"/>
        <v>GUARDIAN</v>
      </c>
    </row>
    <row r="1999" spans="5:8" x14ac:dyDescent="0.25">
      <c r="E1999" t="str">
        <f>"GDS201911133212"</f>
        <v>GDS201911133212</v>
      </c>
      <c r="F1999" t="str">
        <f>"GUARDIAN"</f>
        <v>GUARDIAN</v>
      </c>
      <c r="G1999" s="2">
        <v>1923.24</v>
      </c>
      <c r="H1999" t="str">
        <f t="shared" si="31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31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31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31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31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31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31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31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31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31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31"/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31"/>
        <v>GUARDIAN</v>
      </c>
    </row>
    <row r="2011" spans="5:8" x14ac:dyDescent="0.25">
      <c r="E2011" t="str">
        <f>""</f>
        <v/>
      </c>
      <c r="F2011" t="str">
        <f>""</f>
        <v/>
      </c>
      <c r="H2011" t="str">
        <f t="shared" si="31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31"/>
        <v>GUARDIAN</v>
      </c>
    </row>
    <row r="2013" spans="5:8" x14ac:dyDescent="0.25">
      <c r="E2013" t="str">
        <f>""</f>
        <v/>
      </c>
      <c r="F2013" t="str">
        <f>""</f>
        <v/>
      </c>
      <c r="H2013" t="str">
        <f t="shared" si="31"/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ref="H2014:H2023" si="32">"GUARDIAN"</f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si="32"/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si="32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32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32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32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32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32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32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32"/>
        <v>GUARDIAN</v>
      </c>
    </row>
    <row r="2024" spans="5:8" x14ac:dyDescent="0.25">
      <c r="E2024" t="str">
        <f>"GV1201910302805"</f>
        <v>GV1201910302805</v>
      </c>
      <c r="F2024" t="str">
        <f>"GUARDIAN VISION"</f>
        <v>GUARDIAN VISION</v>
      </c>
      <c r="G2024" s="2">
        <v>414.4</v>
      </c>
      <c r="H2024" t="str">
        <f>"GUARDIAN VISION"</f>
        <v>GUARDIAN VISION</v>
      </c>
    </row>
    <row r="2025" spans="5:8" x14ac:dyDescent="0.25">
      <c r="E2025" t="str">
        <f>"GV1201911133212"</f>
        <v>GV1201911133212</v>
      </c>
      <c r="F2025" t="str">
        <f>"GUARDIAN VISION"</f>
        <v>GUARDIAN VISION</v>
      </c>
      <c r="G2025" s="2">
        <v>414.4</v>
      </c>
      <c r="H2025" t="str">
        <f>"GUARDIAN VISION"</f>
        <v>GUARDIAN VISION</v>
      </c>
    </row>
    <row r="2026" spans="5:8" x14ac:dyDescent="0.25">
      <c r="E2026" t="str">
        <f>"GVE201910302805"</f>
        <v>GVE201910302805</v>
      </c>
      <c r="F2026" t="str">
        <f>"GUARDIAN VISION VENDOR"</f>
        <v>GUARDIAN VISION VENDOR</v>
      </c>
      <c r="G2026" s="2">
        <v>623.61</v>
      </c>
      <c r="H2026" t="str">
        <f>"GUARDIAN VISION VENDOR"</f>
        <v>GUARDIAN VISION VENDOR</v>
      </c>
    </row>
    <row r="2027" spans="5:8" x14ac:dyDescent="0.25">
      <c r="E2027" t="str">
        <f>"GVE201910302806"</f>
        <v>GVE201910302806</v>
      </c>
      <c r="F2027" t="str">
        <f>"GUARDIAN VISION VENDOR"</f>
        <v>GUARDIAN VISION VENDOR</v>
      </c>
      <c r="G2027" s="2">
        <v>36.9</v>
      </c>
      <c r="H2027" t="str">
        <f>"GUARDIAN VISION VENDOR"</f>
        <v>GUARDIAN VISION VENDOR</v>
      </c>
    </row>
    <row r="2028" spans="5:8" x14ac:dyDescent="0.25">
      <c r="E2028" t="str">
        <f>"GVE201911133212"</f>
        <v>GVE201911133212</v>
      </c>
      <c r="F2028" t="str">
        <f>"GUARDIAN VISION VENDOR"</f>
        <v>GUARDIAN VISION VENDOR</v>
      </c>
      <c r="G2028" s="2">
        <v>623.61</v>
      </c>
      <c r="H2028" t="str">
        <f>"GUARDIAN VISION VENDOR"</f>
        <v>GUARDIAN VISION VENDOR</v>
      </c>
    </row>
    <row r="2029" spans="5:8" x14ac:dyDescent="0.25">
      <c r="E2029" t="str">
        <f>"GVE201911133213"</f>
        <v>GVE201911133213</v>
      </c>
      <c r="F2029" t="str">
        <f>"GUARDIAN VISION VENDOR"</f>
        <v>GUARDIAN VISION VENDOR</v>
      </c>
      <c r="G2029" s="2">
        <v>33.21</v>
      </c>
      <c r="H2029" t="str">
        <f>"GUARDIAN VISION VENDOR"</f>
        <v>GUARDIAN VISION VENDOR</v>
      </c>
    </row>
    <row r="2030" spans="5:8" x14ac:dyDescent="0.25">
      <c r="E2030" t="str">
        <f>"GVF201910302805"</f>
        <v>GVF201910302805</v>
      </c>
      <c r="F2030" t="str">
        <f>"GUARDIAN VISION"</f>
        <v>GUARDIAN VISION</v>
      </c>
      <c r="G2030" s="2">
        <v>581.15</v>
      </c>
      <c r="H2030" t="str">
        <f>"GUARDIAN VISION"</f>
        <v>GUARDIAN VISION</v>
      </c>
    </row>
    <row r="2031" spans="5:8" x14ac:dyDescent="0.25">
      <c r="E2031" t="str">
        <f>"GVF201910302806"</f>
        <v>GVF201910302806</v>
      </c>
      <c r="F2031" t="str">
        <f>"GUARDIAN VISION VENDOR"</f>
        <v>GUARDIAN VISION VENDOR</v>
      </c>
      <c r="G2031" s="2">
        <v>39.4</v>
      </c>
      <c r="H2031" t="str">
        <f>"GUARDIAN VISION VENDOR"</f>
        <v>GUARDIAN VISION VENDOR</v>
      </c>
    </row>
    <row r="2032" spans="5:8" x14ac:dyDescent="0.25">
      <c r="E2032" t="str">
        <f>"GVF201911133212"</f>
        <v>GVF201911133212</v>
      </c>
      <c r="F2032" t="str">
        <f>"GUARDIAN VISION"</f>
        <v>GUARDIAN VISION</v>
      </c>
      <c r="G2032" s="2">
        <v>581.15</v>
      </c>
      <c r="H2032" t="str">
        <f>"GUARDIAN VISION"</f>
        <v>GUARDIAN VISION</v>
      </c>
    </row>
    <row r="2033" spans="5:8" x14ac:dyDescent="0.25">
      <c r="E2033" t="str">
        <f>"GVF201911133213"</f>
        <v>GVF201911133213</v>
      </c>
      <c r="F2033" t="str">
        <f>"GUARDIAN VISION VENDOR"</f>
        <v>GUARDIAN VISION VENDOR</v>
      </c>
      <c r="G2033" s="2">
        <v>39.4</v>
      </c>
      <c r="H2033" t="str">
        <f>"GUARDIAN VISION VENDOR"</f>
        <v>GUARDIAN VISION VENDOR</v>
      </c>
    </row>
    <row r="2034" spans="5:8" x14ac:dyDescent="0.25">
      <c r="E2034" t="str">
        <f>"LIA201910302805"</f>
        <v>LIA201910302805</v>
      </c>
      <c r="F2034" t="str">
        <f>"GUARDIAN"</f>
        <v>GUARDIAN</v>
      </c>
      <c r="G2034" s="2">
        <v>189.26</v>
      </c>
      <c r="H2034" t="str">
        <f t="shared" ref="H2034:H2065" si="33">"GUARDIAN"</f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33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33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33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33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33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33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33"/>
        <v>GUARDIAN</v>
      </c>
    </row>
    <row r="2042" spans="5:8" x14ac:dyDescent="0.25">
      <c r="E2042" t="str">
        <f>""</f>
        <v/>
      </c>
      <c r="F2042" t="str">
        <f>""</f>
        <v/>
      </c>
      <c r="H2042" t="str">
        <f t="shared" si="33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33"/>
        <v>GUARDIAN</v>
      </c>
    </row>
    <row r="2044" spans="5:8" x14ac:dyDescent="0.25">
      <c r="E2044" t="str">
        <f>""</f>
        <v/>
      </c>
      <c r="F2044" t="str">
        <f>""</f>
        <v/>
      </c>
      <c r="H2044" t="str">
        <f t="shared" si="33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si="33"/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33"/>
        <v>GUARDIAN</v>
      </c>
    </row>
    <row r="2047" spans="5:8" x14ac:dyDescent="0.25">
      <c r="E2047" t="str">
        <f>""</f>
        <v/>
      </c>
      <c r="F2047" t="str">
        <f>""</f>
        <v/>
      </c>
      <c r="H2047" t="str">
        <f t="shared" si="33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33"/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33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33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si="33"/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si="33"/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33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33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33"/>
        <v>GUARDIAN</v>
      </c>
    </row>
    <row r="2056" spans="5:8" x14ac:dyDescent="0.25">
      <c r="E2056" t="str">
        <f>"LIA201910302806"</f>
        <v>LIA201910302806</v>
      </c>
      <c r="F2056" t="str">
        <f>"GUARDIAN"</f>
        <v>GUARDIAN</v>
      </c>
      <c r="G2056" s="2">
        <v>40.799999999999997</v>
      </c>
      <c r="H2056" t="str">
        <f t="shared" si="33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33"/>
        <v>GUARDIAN</v>
      </c>
    </row>
    <row r="2058" spans="5:8" x14ac:dyDescent="0.25">
      <c r="E2058" t="str">
        <f>"LIA201911133212"</f>
        <v>LIA201911133212</v>
      </c>
      <c r="F2058" t="str">
        <f>"GUARDIAN"</f>
        <v>GUARDIAN</v>
      </c>
      <c r="G2058" s="2">
        <v>189.26</v>
      </c>
      <c r="H2058" t="str">
        <f t="shared" si="33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si="33"/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33"/>
        <v>GUARDIAN</v>
      </c>
    </row>
    <row r="2061" spans="5:8" x14ac:dyDescent="0.25">
      <c r="E2061" t="str">
        <f>""</f>
        <v/>
      </c>
      <c r="F2061" t="str">
        <f>""</f>
        <v/>
      </c>
      <c r="H2061" t="str">
        <f t="shared" si="33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33"/>
        <v>GUARDIAN</v>
      </c>
    </row>
    <row r="2063" spans="5:8" x14ac:dyDescent="0.25">
      <c r="E2063" t="str">
        <f>""</f>
        <v/>
      </c>
      <c r="F2063" t="str">
        <f>""</f>
        <v/>
      </c>
      <c r="H2063" t="str">
        <f t="shared" si="33"/>
        <v>GUARDIAN</v>
      </c>
    </row>
    <row r="2064" spans="5:8" x14ac:dyDescent="0.25">
      <c r="E2064" t="str">
        <f>""</f>
        <v/>
      </c>
      <c r="F2064" t="str">
        <f>""</f>
        <v/>
      </c>
      <c r="H2064" t="str">
        <f t="shared" si="33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33"/>
        <v>GUARDIAN</v>
      </c>
    </row>
    <row r="2066" spans="5:8" x14ac:dyDescent="0.25">
      <c r="E2066" t="str">
        <f>""</f>
        <v/>
      </c>
      <c r="F2066" t="str">
        <f>""</f>
        <v/>
      </c>
      <c r="H2066" t="str">
        <f t="shared" ref="H2066:H2097" si="34">"GUARDIAN"</f>
        <v>GUARDIAN</v>
      </c>
    </row>
    <row r="2067" spans="5:8" x14ac:dyDescent="0.25">
      <c r="E2067" t="str">
        <f>""</f>
        <v/>
      </c>
      <c r="F2067" t="str">
        <f>""</f>
        <v/>
      </c>
      <c r="H2067" t="str">
        <f t="shared" si="34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34"/>
        <v>GUARDIAN</v>
      </c>
    </row>
    <row r="2069" spans="5:8" x14ac:dyDescent="0.25">
      <c r="E2069" t="str">
        <f>""</f>
        <v/>
      </c>
      <c r="F2069" t="str">
        <f>""</f>
        <v/>
      </c>
      <c r="H2069" t="str">
        <f t="shared" si="34"/>
        <v>GUARDIAN</v>
      </c>
    </row>
    <row r="2070" spans="5:8" x14ac:dyDescent="0.25">
      <c r="E2070" t="str">
        <f>""</f>
        <v/>
      </c>
      <c r="F2070" t="str">
        <f>""</f>
        <v/>
      </c>
      <c r="H2070" t="str">
        <f t="shared" si="34"/>
        <v>GUARDIAN</v>
      </c>
    </row>
    <row r="2071" spans="5:8" x14ac:dyDescent="0.25">
      <c r="E2071" t="str">
        <f>""</f>
        <v/>
      </c>
      <c r="F2071" t="str">
        <f>""</f>
        <v/>
      </c>
      <c r="H2071" t="str">
        <f t="shared" si="34"/>
        <v>GUARDIAN</v>
      </c>
    </row>
    <row r="2072" spans="5:8" x14ac:dyDescent="0.25">
      <c r="E2072" t="str">
        <f>""</f>
        <v/>
      </c>
      <c r="F2072" t="str">
        <f>""</f>
        <v/>
      </c>
      <c r="H2072" t="str">
        <f t="shared" si="34"/>
        <v>GUARDIAN</v>
      </c>
    </row>
    <row r="2073" spans="5:8" x14ac:dyDescent="0.25">
      <c r="E2073" t="str">
        <f>""</f>
        <v/>
      </c>
      <c r="F2073" t="str">
        <f>""</f>
        <v/>
      </c>
      <c r="H2073" t="str">
        <f t="shared" si="34"/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34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34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34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34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34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34"/>
        <v>GUARDIAN</v>
      </c>
    </row>
    <row r="2080" spans="5:8" x14ac:dyDescent="0.25">
      <c r="E2080" t="str">
        <f>"LIA201911133213"</f>
        <v>LIA201911133213</v>
      </c>
      <c r="F2080" t="str">
        <f>"GUARDIAN"</f>
        <v>GUARDIAN</v>
      </c>
      <c r="G2080" s="2">
        <v>40.799999999999997</v>
      </c>
      <c r="H2080" t="str">
        <f t="shared" si="34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34"/>
        <v>GUARDIAN</v>
      </c>
    </row>
    <row r="2082" spans="5:8" x14ac:dyDescent="0.25">
      <c r="E2082" t="str">
        <f>"LIC201910302805"</f>
        <v>LIC201910302805</v>
      </c>
      <c r="F2082" t="str">
        <f>"GUARDIAN"</f>
        <v>GUARDIAN</v>
      </c>
      <c r="G2082" s="2">
        <v>31.38</v>
      </c>
      <c r="H2082" t="str">
        <f t="shared" si="34"/>
        <v>GUARDIAN</v>
      </c>
    </row>
    <row r="2083" spans="5:8" x14ac:dyDescent="0.25">
      <c r="E2083" t="str">
        <f>"LIC201910302806"</f>
        <v>LIC201910302806</v>
      </c>
      <c r="F2083" t="str">
        <f>"GUARDIAN"</f>
        <v>GUARDIAN</v>
      </c>
      <c r="G2083" s="2">
        <v>1.05</v>
      </c>
      <c r="H2083" t="str">
        <f t="shared" si="34"/>
        <v>GUARDIAN</v>
      </c>
    </row>
    <row r="2084" spans="5:8" x14ac:dyDescent="0.25">
      <c r="E2084" t="str">
        <f>"LIC201911133212"</f>
        <v>LIC201911133212</v>
      </c>
      <c r="F2084" t="str">
        <f>"GUARDIAN"</f>
        <v>GUARDIAN</v>
      </c>
      <c r="G2084" s="2">
        <v>31.38</v>
      </c>
      <c r="H2084" t="str">
        <f t="shared" si="34"/>
        <v>GUARDIAN</v>
      </c>
    </row>
    <row r="2085" spans="5:8" x14ac:dyDescent="0.25">
      <c r="E2085" t="str">
        <f>"LIC201911133213"</f>
        <v>LIC201911133213</v>
      </c>
      <c r="F2085" t="str">
        <f>"GUARDIAN"</f>
        <v>GUARDIAN</v>
      </c>
      <c r="G2085" s="2">
        <v>1.05</v>
      </c>
      <c r="H2085" t="str">
        <f t="shared" si="34"/>
        <v>GUARDIAN</v>
      </c>
    </row>
    <row r="2086" spans="5:8" x14ac:dyDescent="0.25">
      <c r="E2086" t="str">
        <f>"LIE201910302805"</f>
        <v>LIE201910302805</v>
      </c>
      <c r="F2086" t="str">
        <f>"GUARDIAN"</f>
        <v>GUARDIAN</v>
      </c>
      <c r="G2086" s="2">
        <v>3751.62</v>
      </c>
      <c r="H2086" t="str">
        <f t="shared" si="34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34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34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34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34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34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34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34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34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34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34"/>
        <v>GUARDIAN</v>
      </c>
    </row>
    <row r="2097" spans="5:8" x14ac:dyDescent="0.25">
      <c r="E2097" t="str">
        <f>""</f>
        <v/>
      </c>
      <c r="F2097" t="str">
        <f>""</f>
        <v/>
      </c>
      <c r="H2097" t="str">
        <f t="shared" si="34"/>
        <v>GUARDIAN</v>
      </c>
    </row>
    <row r="2098" spans="5:8" x14ac:dyDescent="0.25">
      <c r="E2098" t="str">
        <f>""</f>
        <v/>
      </c>
      <c r="F2098" t="str">
        <f>""</f>
        <v/>
      </c>
      <c r="H2098" t="str">
        <f t="shared" ref="H2098:H2129" si="35">"GUARDIAN"</f>
        <v>GUARDIAN</v>
      </c>
    </row>
    <row r="2099" spans="5:8" x14ac:dyDescent="0.25">
      <c r="E2099" t="str">
        <f>""</f>
        <v/>
      </c>
      <c r="F2099" t="str">
        <f>""</f>
        <v/>
      </c>
      <c r="H2099" t="str">
        <f t="shared" si="35"/>
        <v>GUARDIAN</v>
      </c>
    </row>
    <row r="2100" spans="5:8" x14ac:dyDescent="0.25">
      <c r="E2100" t="str">
        <f>""</f>
        <v/>
      </c>
      <c r="F2100" t="str">
        <f>""</f>
        <v/>
      </c>
      <c r="H2100" t="str">
        <f t="shared" si="35"/>
        <v>GUARDIAN</v>
      </c>
    </row>
    <row r="2101" spans="5:8" x14ac:dyDescent="0.25">
      <c r="E2101" t="str">
        <f>""</f>
        <v/>
      </c>
      <c r="F2101" t="str">
        <f>""</f>
        <v/>
      </c>
      <c r="H2101" t="str">
        <f t="shared" si="35"/>
        <v>GUARDIAN</v>
      </c>
    </row>
    <row r="2102" spans="5:8" x14ac:dyDescent="0.25">
      <c r="E2102" t="str">
        <f>""</f>
        <v/>
      </c>
      <c r="F2102" t="str">
        <f>""</f>
        <v/>
      </c>
      <c r="H2102" t="str">
        <f t="shared" si="35"/>
        <v>GUARDIAN</v>
      </c>
    </row>
    <row r="2103" spans="5:8" x14ac:dyDescent="0.25">
      <c r="E2103" t="str">
        <f>""</f>
        <v/>
      </c>
      <c r="F2103" t="str">
        <f>""</f>
        <v/>
      </c>
      <c r="H2103" t="str">
        <f t="shared" si="35"/>
        <v>GUARDIAN</v>
      </c>
    </row>
    <row r="2104" spans="5:8" x14ac:dyDescent="0.25">
      <c r="E2104" t="str">
        <f>""</f>
        <v/>
      </c>
      <c r="F2104" t="str">
        <f>""</f>
        <v/>
      </c>
      <c r="H2104" t="str">
        <f t="shared" si="35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si="35"/>
        <v>GUARDIAN</v>
      </c>
    </row>
    <row r="2106" spans="5:8" x14ac:dyDescent="0.25">
      <c r="E2106" t="str">
        <f>""</f>
        <v/>
      </c>
      <c r="F2106" t="str">
        <f>""</f>
        <v/>
      </c>
      <c r="H2106" t="str">
        <f t="shared" si="35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35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35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35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35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35"/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35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35"/>
        <v>GUARDIAN</v>
      </c>
    </row>
    <row r="2114" spans="5:8" x14ac:dyDescent="0.25">
      <c r="E2114" t="str">
        <f>""</f>
        <v/>
      </c>
      <c r="F2114" t="str">
        <f>""</f>
        <v/>
      </c>
      <c r="H2114" t="str">
        <f t="shared" si="35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si="35"/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si="35"/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35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35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35"/>
        <v>GUARDIAN</v>
      </c>
    </row>
    <row r="2120" spans="5:8" x14ac:dyDescent="0.25">
      <c r="E2120" t="str">
        <f>""</f>
        <v/>
      </c>
      <c r="F2120" t="str">
        <f>""</f>
        <v/>
      </c>
      <c r="H2120" t="str">
        <f t="shared" si="35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35"/>
        <v>GUARDIAN</v>
      </c>
    </row>
    <row r="2122" spans="5:8" x14ac:dyDescent="0.25">
      <c r="E2122" t="str">
        <f>""</f>
        <v/>
      </c>
      <c r="F2122" t="str">
        <f>""</f>
        <v/>
      </c>
      <c r="H2122" t="str">
        <f t="shared" si="35"/>
        <v>GUARDIAN</v>
      </c>
    </row>
    <row r="2123" spans="5:8" x14ac:dyDescent="0.25">
      <c r="E2123" t="str">
        <f>""</f>
        <v/>
      </c>
      <c r="F2123" t="str">
        <f>""</f>
        <v/>
      </c>
      <c r="H2123" t="str">
        <f t="shared" si="35"/>
        <v>GUARDIAN</v>
      </c>
    </row>
    <row r="2124" spans="5:8" x14ac:dyDescent="0.25">
      <c r="E2124" t="str">
        <f>""</f>
        <v/>
      </c>
      <c r="F2124" t="str">
        <f>""</f>
        <v/>
      </c>
      <c r="H2124" t="str">
        <f t="shared" si="35"/>
        <v>GUARDIAN</v>
      </c>
    </row>
    <row r="2125" spans="5:8" x14ac:dyDescent="0.25">
      <c r="E2125" t="str">
        <f>""</f>
        <v/>
      </c>
      <c r="F2125" t="str">
        <f>""</f>
        <v/>
      </c>
      <c r="H2125" t="str">
        <f t="shared" si="35"/>
        <v>GUARDIAN</v>
      </c>
    </row>
    <row r="2126" spans="5:8" x14ac:dyDescent="0.25">
      <c r="E2126" t="str">
        <f>""</f>
        <v/>
      </c>
      <c r="F2126" t="str">
        <f>""</f>
        <v/>
      </c>
      <c r="H2126" t="str">
        <f t="shared" si="35"/>
        <v>GUARDIAN</v>
      </c>
    </row>
    <row r="2127" spans="5:8" x14ac:dyDescent="0.25">
      <c r="E2127" t="str">
        <f>""</f>
        <v/>
      </c>
      <c r="F2127" t="str">
        <f>""</f>
        <v/>
      </c>
      <c r="H2127" t="str">
        <f t="shared" si="35"/>
        <v>GUARDIAN</v>
      </c>
    </row>
    <row r="2128" spans="5:8" x14ac:dyDescent="0.25">
      <c r="E2128" t="str">
        <f>""</f>
        <v/>
      </c>
      <c r="F2128" t="str">
        <f>""</f>
        <v/>
      </c>
      <c r="H2128" t="str">
        <f t="shared" si="35"/>
        <v>GUARDIAN</v>
      </c>
    </row>
    <row r="2129" spans="5:8" x14ac:dyDescent="0.25">
      <c r="E2129" t="str">
        <f>""</f>
        <v/>
      </c>
      <c r="F2129" t="str">
        <f>""</f>
        <v/>
      </c>
      <c r="H2129" t="str">
        <f t="shared" si="35"/>
        <v>GUARDIAN</v>
      </c>
    </row>
    <row r="2130" spans="5:8" x14ac:dyDescent="0.25">
      <c r="E2130" t="str">
        <f>""</f>
        <v/>
      </c>
      <c r="F2130" t="str">
        <f>""</f>
        <v/>
      </c>
      <c r="H2130" t="str">
        <f t="shared" ref="H2130:H2161" si="36">"GUARDIAN"</f>
        <v>GUARDIAN</v>
      </c>
    </row>
    <row r="2131" spans="5:8" x14ac:dyDescent="0.25">
      <c r="E2131" t="str">
        <f>""</f>
        <v/>
      </c>
      <c r="F2131" t="str">
        <f>""</f>
        <v/>
      </c>
      <c r="H2131" t="str">
        <f t="shared" si="36"/>
        <v>GUARDIAN</v>
      </c>
    </row>
    <row r="2132" spans="5:8" x14ac:dyDescent="0.25">
      <c r="E2132" t="str">
        <f>""</f>
        <v/>
      </c>
      <c r="F2132" t="str">
        <f>""</f>
        <v/>
      </c>
      <c r="H2132" t="str">
        <f t="shared" si="36"/>
        <v>GUARDIAN</v>
      </c>
    </row>
    <row r="2133" spans="5:8" x14ac:dyDescent="0.25">
      <c r="E2133" t="str">
        <f>""</f>
        <v/>
      </c>
      <c r="F2133" t="str">
        <f>""</f>
        <v/>
      </c>
      <c r="H2133" t="str">
        <f t="shared" si="36"/>
        <v>GUARDIAN</v>
      </c>
    </row>
    <row r="2134" spans="5:8" x14ac:dyDescent="0.25">
      <c r="E2134" t="str">
        <f>""</f>
        <v/>
      </c>
      <c r="F2134" t="str">
        <f>""</f>
        <v/>
      </c>
      <c r="H2134" t="str">
        <f t="shared" si="36"/>
        <v>GUARDIAN</v>
      </c>
    </row>
    <row r="2135" spans="5:8" x14ac:dyDescent="0.25">
      <c r="E2135" t="str">
        <f>""</f>
        <v/>
      </c>
      <c r="F2135" t="str">
        <f>""</f>
        <v/>
      </c>
      <c r="H2135" t="str">
        <f t="shared" si="36"/>
        <v>GUARDIAN</v>
      </c>
    </row>
    <row r="2136" spans="5:8" x14ac:dyDescent="0.25">
      <c r="E2136" t="str">
        <f>""</f>
        <v/>
      </c>
      <c r="F2136" t="str">
        <f>""</f>
        <v/>
      </c>
      <c r="H2136" t="str">
        <f t="shared" si="36"/>
        <v>GUARDIAN</v>
      </c>
    </row>
    <row r="2137" spans="5:8" x14ac:dyDescent="0.25">
      <c r="E2137" t="str">
        <f>"LIE201910302806"</f>
        <v>LIE201910302806</v>
      </c>
      <c r="F2137" t="str">
        <f>"GUARDIAN"</f>
        <v>GUARDIAN</v>
      </c>
      <c r="G2137" s="2">
        <v>94.2</v>
      </c>
      <c r="H2137" t="str">
        <f t="shared" si="36"/>
        <v>GUARDIAN</v>
      </c>
    </row>
    <row r="2138" spans="5:8" x14ac:dyDescent="0.25">
      <c r="E2138" t="str">
        <f>""</f>
        <v/>
      </c>
      <c r="F2138" t="str">
        <f>""</f>
        <v/>
      </c>
      <c r="H2138" t="str">
        <f t="shared" si="36"/>
        <v>GUARDIAN</v>
      </c>
    </row>
    <row r="2139" spans="5:8" x14ac:dyDescent="0.25">
      <c r="E2139" t="str">
        <f>"LIE201911133212"</f>
        <v>LIE201911133212</v>
      </c>
      <c r="F2139" t="str">
        <f>"GUARDIAN"</f>
        <v>GUARDIAN</v>
      </c>
      <c r="G2139" s="2">
        <v>3806.02</v>
      </c>
      <c r="H2139" t="str">
        <f t="shared" si="36"/>
        <v>GUARDIAN</v>
      </c>
    </row>
    <row r="2140" spans="5:8" x14ac:dyDescent="0.25">
      <c r="E2140" t="str">
        <f>""</f>
        <v/>
      </c>
      <c r="F2140" t="str">
        <f>""</f>
        <v/>
      </c>
      <c r="H2140" t="str">
        <f t="shared" si="36"/>
        <v>GUARDIAN</v>
      </c>
    </row>
    <row r="2141" spans="5:8" x14ac:dyDescent="0.25">
      <c r="E2141" t="str">
        <f>""</f>
        <v/>
      </c>
      <c r="F2141" t="str">
        <f>""</f>
        <v/>
      </c>
      <c r="H2141" t="str">
        <f t="shared" si="36"/>
        <v>GUARDIAN</v>
      </c>
    </row>
    <row r="2142" spans="5:8" x14ac:dyDescent="0.25">
      <c r="E2142" t="str">
        <f>""</f>
        <v/>
      </c>
      <c r="F2142" t="str">
        <f>""</f>
        <v/>
      </c>
      <c r="H2142" t="str">
        <f t="shared" si="36"/>
        <v>GUARDIAN</v>
      </c>
    </row>
    <row r="2143" spans="5:8" x14ac:dyDescent="0.25">
      <c r="E2143" t="str">
        <f>""</f>
        <v/>
      </c>
      <c r="F2143" t="str">
        <f>""</f>
        <v/>
      </c>
      <c r="H2143" t="str">
        <f t="shared" si="36"/>
        <v>GUARDIAN</v>
      </c>
    </row>
    <row r="2144" spans="5:8" x14ac:dyDescent="0.25">
      <c r="E2144" t="str">
        <f>""</f>
        <v/>
      </c>
      <c r="F2144" t="str">
        <f>""</f>
        <v/>
      </c>
      <c r="H2144" t="str">
        <f t="shared" si="36"/>
        <v>GUARDIAN</v>
      </c>
    </row>
    <row r="2145" spans="5:8" x14ac:dyDescent="0.25">
      <c r="E2145" t="str">
        <f>""</f>
        <v/>
      </c>
      <c r="F2145" t="str">
        <f>""</f>
        <v/>
      </c>
      <c r="H2145" t="str">
        <f t="shared" si="36"/>
        <v>GUARDIAN</v>
      </c>
    </row>
    <row r="2146" spans="5:8" x14ac:dyDescent="0.25">
      <c r="E2146" t="str">
        <f>""</f>
        <v/>
      </c>
      <c r="F2146" t="str">
        <f>""</f>
        <v/>
      </c>
      <c r="H2146" t="str">
        <f t="shared" si="36"/>
        <v>GUARDIAN</v>
      </c>
    </row>
    <row r="2147" spans="5:8" x14ac:dyDescent="0.25">
      <c r="E2147" t="str">
        <f>""</f>
        <v/>
      </c>
      <c r="F2147" t="str">
        <f>""</f>
        <v/>
      </c>
      <c r="H2147" t="str">
        <f t="shared" si="36"/>
        <v>GUARDIAN</v>
      </c>
    </row>
    <row r="2148" spans="5:8" x14ac:dyDescent="0.25">
      <c r="E2148" t="str">
        <f>""</f>
        <v/>
      </c>
      <c r="F2148" t="str">
        <f>""</f>
        <v/>
      </c>
      <c r="H2148" t="str">
        <f t="shared" si="36"/>
        <v>GUARDIAN</v>
      </c>
    </row>
    <row r="2149" spans="5:8" x14ac:dyDescent="0.25">
      <c r="E2149" t="str">
        <f>""</f>
        <v/>
      </c>
      <c r="F2149" t="str">
        <f>""</f>
        <v/>
      </c>
      <c r="H2149" t="str">
        <f t="shared" si="36"/>
        <v>GUARDIAN</v>
      </c>
    </row>
    <row r="2150" spans="5:8" x14ac:dyDescent="0.25">
      <c r="E2150" t="str">
        <f>""</f>
        <v/>
      </c>
      <c r="F2150" t="str">
        <f>""</f>
        <v/>
      </c>
      <c r="H2150" t="str">
        <f t="shared" si="36"/>
        <v>GUARDIAN</v>
      </c>
    </row>
    <row r="2151" spans="5:8" x14ac:dyDescent="0.25">
      <c r="E2151" t="str">
        <f>""</f>
        <v/>
      </c>
      <c r="F2151" t="str">
        <f>""</f>
        <v/>
      </c>
      <c r="H2151" t="str">
        <f t="shared" si="36"/>
        <v>GUARDIAN</v>
      </c>
    </row>
    <row r="2152" spans="5:8" x14ac:dyDescent="0.25">
      <c r="E2152" t="str">
        <f>""</f>
        <v/>
      </c>
      <c r="F2152" t="str">
        <f>""</f>
        <v/>
      </c>
      <c r="H2152" t="str">
        <f t="shared" si="36"/>
        <v>GUARDIAN</v>
      </c>
    </row>
    <row r="2153" spans="5:8" x14ac:dyDescent="0.25">
      <c r="E2153" t="str">
        <f>""</f>
        <v/>
      </c>
      <c r="F2153" t="str">
        <f>""</f>
        <v/>
      </c>
      <c r="H2153" t="str">
        <f t="shared" si="36"/>
        <v>GUARDIAN</v>
      </c>
    </row>
    <row r="2154" spans="5:8" x14ac:dyDescent="0.25">
      <c r="E2154" t="str">
        <f>""</f>
        <v/>
      </c>
      <c r="F2154" t="str">
        <f>""</f>
        <v/>
      </c>
      <c r="H2154" t="str">
        <f t="shared" si="36"/>
        <v>GUARDIAN</v>
      </c>
    </row>
    <row r="2155" spans="5:8" x14ac:dyDescent="0.25">
      <c r="E2155" t="str">
        <f>""</f>
        <v/>
      </c>
      <c r="F2155" t="str">
        <f>""</f>
        <v/>
      </c>
      <c r="H2155" t="str">
        <f t="shared" si="36"/>
        <v>GUARDIAN</v>
      </c>
    </row>
    <row r="2156" spans="5:8" x14ac:dyDescent="0.25">
      <c r="E2156" t="str">
        <f>""</f>
        <v/>
      </c>
      <c r="F2156" t="str">
        <f>""</f>
        <v/>
      </c>
      <c r="H2156" t="str">
        <f t="shared" si="36"/>
        <v>GUARDIAN</v>
      </c>
    </row>
    <row r="2157" spans="5:8" x14ac:dyDescent="0.25">
      <c r="E2157" t="str">
        <f>""</f>
        <v/>
      </c>
      <c r="F2157" t="str">
        <f>""</f>
        <v/>
      </c>
      <c r="H2157" t="str">
        <f t="shared" si="36"/>
        <v>GUARDIAN</v>
      </c>
    </row>
    <row r="2158" spans="5:8" x14ac:dyDescent="0.25">
      <c r="E2158" t="str">
        <f>""</f>
        <v/>
      </c>
      <c r="F2158" t="str">
        <f>""</f>
        <v/>
      </c>
      <c r="H2158" t="str">
        <f t="shared" si="36"/>
        <v>GUARDIAN</v>
      </c>
    </row>
    <row r="2159" spans="5:8" x14ac:dyDescent="0.25">
      <c r="E2159" t="str">
        <f>""</f>
        <v/>
      </c>
      <c r="F2159" t="str">
        <f>""</f>
        <v/>
      </c>
      <c r="H2159" t="str">
        <f t="shared" si="36"/>
        <v>GUARDIAN</v>
      </c>
    </row>
    <row r="2160" spans="5:8" x14ac:dyDescent="0.25">
      <c r="E2160" t="str">
        <f>""</f>
        <v/>
      </c>
      <c r="F2160" t="str">
        <f>""</f>
        <v/>
      </c>
      <c r="H2160" t="str">
        <f t="shared" si="36"/>
        <v>GUARDIAN</v>
      </c>
    </row>
    <row r="2161" spans="5:8" x14ac:dyDescent="0.25">
      <c r="E2161" t="str">
        <f>""</f>
        <v/>
      </c>
      <c r="F2161" t="str">
        <f>""</f>
        <v/>
      </c>
      <c r="H2161" t="str">
        <f t="shared" si="36"/>
        <v>GUARDIAN</v>
      </c>
    </row>
    <row r="2162" spans="5:8" x14ac:dyDescent="0.25">
      <c r="E2162" t="str">
        <f>""</f>
        <v/>
      </c>
      <c r="F2162" t="str">
        <f>""</f>
        <v/>
      </c>
      <c r="H2162" t="str">
        <f t="shared" ref="H2162:H2193" si="37">"GUARDIAN"</f>
        <v>GUARDIAN</v>
      </c>
    </row>
    <row r="2163" spans="5:8" x14ac:dyDescent="0.25">
      <c r="E2163" t="str">
        <f>""</f>
        <v/>
      </c>
      <c r="F2163" t="str">
        <f>""</f>
        <v/>
      </c>
      <c r="H2163" t="str">
        <f t="shared" si="37"/>
        <v>GUARDIAN</v>
      </c>
    </row>
    <row r="2164" spans="5:8" x14ac:dyDescent="0.25">
      <c r="E2164" t="str">
        <f>""</f>
        <v/>
      </c>
      <c r="F2164" t="str">
        <f>""</f>
        <v/>
      </c>
      <c r="H2164" t="str">
        <f t="shared" si="37"/>
        <v>GUARDIAN</v>
      </c>
    </row>
    <row r="2165" spans="5:8" x14ac:dyDescent="0.25">
      <c r="E2165" t="str">
        <f>""</f>
        <v/>
      </c>
      <c r="F2165" t="str">
        <f>""</f>
        <v/>
      </c>
      <c r="H2165" t="str">
        <f t="shared" si="37"/>
        <v>GUARDIAN</v>
      </c>
    </row>
    <row r="2166" spans="5:8" x14ac:dyDescent="0.25">
      <c r="E2166" t="str">
        <f>""</f>
        <v/>
      </c>
      <c r="F2166" t="str">
        <f>""</f>
        <v/>
      </c>
      <c r="H2166" t="str">
        <f t="shared" si="37"/>
        <v>GUARDIAN</v>
      </c>
    </row>
    <row r="2167" spans="5:8" x14ac:dyDescent="0.25">
      <c r="E2167" t="str">
        <f>""</f>
        <v/>
      </c>
      <c r="F2167" t="str">
        <f>""</f>
        <v/>
      </c>
      <c r="H2167" t="str">
        <f t="shared" si="37"/>
        <v>GUARDIAN</v>
      </c>
    </row>
    <row r="2168" spans="5:8" x14ac:dyDescent="0.25">
      <c r="E2168" t="str">
        <f>""</f>
        <v/>
      </c>
      <c r="F2168" t="str">
        <f>""</f>
        <v/>
      </c>
      <c r="H2168" t="str">
        <f t="shared" si="37"/>
        <v>GUARDIAN</v>
      </c>
    </row>
    <row r="2169" spans="5:8" x14ac:dyDescent="0.25">
      <c r="E2169" t="str">
        <f>""</f>
        <v/>
      </c>
      <c r="F2169" t="str">
        <f>""</f>
        <v/>
      </c>
      <c r="H2169" t="str">
        <f t="shared" si="37"/>
        <v>GUARDIAN</v>
      </c>
    </row>
    <row r="2170" spans="5:8" x14ac:dyDescent="0.25">
      <c r="E2170" t="str">
        <f>""</f>
        <v/>
      </c>
      <c r="F2170" t="str">
        <f>""</f>
        <v/>
      </c>
      <c r="H2170" t="str">
        <f t="shared" si="37"/>
        <v>GUARDIAN</v>
      </c>
    </row>
    <row r="2171" spans="5:8" x14ac:dyDescent="0.25">
      <c r="E2171" t="str">
        <f>""</f>
        <v/>
      </c>
      <c r="F2171" t="str">
        <f>""</f>
        <v/>
      </c>
      <c r="H2171" t="str">
        <f t="shared" si="37"/>
        <v>GUARDIAN</v>
      </c>
    </row>
    <row r="2172" spans="5:8" x14ac:dyDescent="0.25">
      <c r="E2172" t="str">
        <f>""</f>
        <v/>
      </c>
      <c r="F2172" t="str">
        <f>""</f>
        <v/>
      </c>
      <c r="H2172" t="str">
        <f t="shared" si="37"/>
        <v>GUARDIAN</v>
      </c>
    </row>
    <row r="2173" spans="5:8" x14ac:dyDescent="0.25">
      <c r="E2173" t="str">
        <f>""</f>
        <v/>
      </c>
      <c r="F2173" t="str">
        <f>""</f>
        <v/>
      </c>
      <c r="H2173" t="str">
        <f t="shared" si="37"/>
        <v>GUARDIAN</v>
      </c>
    </row>
    <row r="2174" spans="5:8" x14ac:dyDescent="0.25">
      <c r="E2174" t="str">
        <f>""</f>
        <v/>
      </c>
      <c r="F2174" t="str">
        <f>""</f>
        <v/>
      </c>
      <c r="H2174" t="str">
        <f t="shared" si="37"/>
        <v>GUARDIAN</v>
      </c>
    </row>
    <row r="2175" spans="5:8" x14ac:dyDescent="0.25">
      <c r="E2175" t="str">
        <f>""</f>
        <v/>
      </c>
      <c r="F2175" t="str">
        <f>""</f>
        <v/>
      </c>
      <c r="H2175" t="str">
        <f t="shared" si="37"/>
        <v>GUARDIAN</v>
      </c>
    </row>
    <row r="2176" spans="5:8" x14ac:dyDescent="0.25">
      <c r="E2176" t="str">
        <f>""</f>
        <v/>
      </c>
      <c r="F2176" t="str">
        <f>""</f>
        <v/>
      </c>
      <c r="H2176" t="str">
        <f t="shared" si="37"/>
        <v>GUARDIAN</v>
      </c>
    </row>
    <row r="2177" spans="5:8" x14ac:dyDescent="0.25">
      <c r="E2177" t="str">
        <f>""</f>
        <v/>
      </c>
      <c r="F2177" t="str">
        <f>""</f>
        <v/>
      </c>
      <c r="H2177" t="str">
        <f t="shared" si="37"/>
        <v>GUARDIAN</v>
      </c>
    </row>
    <row r="2178" spans="5:8" x14ac:dyDescent="0.25">
      <c r="E2178" t="str">
        <f>""</f>
        <v/>
      </c>
      <c r="F2178" t="str">
        <f>""</f>
        <v/>
      </c>
      <c r="H2178" t="str">
        <f t="shared" si="37"/>
        <v>GUARDIAN</v>
      </c>
    </row>
    <row r="2179" spans="5:8" x14ac:dyDescent="0.25">
      <c r="E2179" t="str">
        <f>""</f>
        <v/>
      </c>
      <c r="F2179" t="str">
        <f>""</f>
        <v/>
      </c>
      <c r="H2179" t="str">
        <f t="shared" si="37"/>
        <v>GUARDIAN</v>
      </c>
    </row>
    <row r="2180" spans="5:8" x14ac:dyDescent="0.25">
      <c r="E2180" t="str">
        <f>""</f>
        <v/>
      </c>
      <c r="F2180" t="str">
        <f>""</f>
        <v/>
      </c>
      <c r="H2180" t="str">
        <f t="shared" si="37"/>
        <v>GUARDIAN</v>
      </c>
    </row>
    <row r="2181" spans="5:8" x14ac:dyDescent="0.25">
      <c r="E2181" t="str">
        <f>""</f>
        <v/>
      </c>
      <c r="F2181" t="str">
        <f>""</f>
        <v/>
      </c>
      <c r="H2181" t="str">
        <f t="shared" si="37"/>
        <v>GUARDIAN</v>
      </c>
    </row>
    <row r="2182" spans="5:8" x14ac:dyDescent="0.25">
      <c r="E2182" t="str">
        <f>""</f>
        <v/>
      </c>
      <c r="F2182" t="str">
        <f>""</f>
        <v/>
      </c>
      <c r="H2182" t="str">
        <f t="shared" si="37"/>
        <v>GUARDIAN</v>
      </c>
    </row>
    <row r="2183" spans="5:8" x14ac:dyDescent="0.25">
      <c r="E2183" t="str">
        <f>""</f>
        <v/>
      </c>
      <c r="F2183" t="str">
        <f>""</f>
        <v/>
      </c>
      <c r="H2183" t="str">
        <f t="shared" si="37"/>
        <v>GUARDIAN</v>
      </c>
    </row>
    <row r="2184" spans="5:8" x14ac:dyDescent="0.25">
      <c r="E2184" t="str">
        <f>""</f>
        <v/>
      </c>
      <c r="F2184" t="str">
        <f>""</f>
        <v/>
      </c>
      <c r="H2184" t="str">
        <f t="shared" si="37"/>
        <v>GUARDIAN</v>
      </c>
    </row>
    <row r="2185" spans="5:8" x14ac:dyDescent="0.25">
      <c r="E2185" t="str">
        <f>""</f>
        <v/>
      </c>
      <c r="F2185" t="str">
        <f>""</f>
        <v/>
      </c>
      <c r="H2185" t="str">
        <f t="shared" si="37"/>
        <v>GUARDIAN</v>
      </c>
    </row>
    <row r="2186" spans="5:8" x14ac:dyDescent="0.25">
      <c r="E2186" t="str">
        <f>""</f>
        <v/>
      </c>
      <c r="F2186" t="str">
        <f>""</f>
        <v/>
      </c>
      <c r="H2186" t="str">
        <f t="shared" si="37"/>
        <v>GUARDIAN</v>
      </c>
    </row>
    <row r="2187" spans="5:8" x14ac:dyDescent="0.25">
      <c r="E2187" t="str">
        <f>""</f>
        <v/>
      </c>
      <c r="F2187" t="str">
        <f>""</f>
        <v/>
      </c>
      <c r="H2187" t="str">
        <f t="shared" si="37"/>
        <v>GUARDIAN</v>
      </c>
    </row>
    <row r="2188" spans="5:8" x14ac:dyDescent="0.25">
      <c r="E2188" t="str">
        <f>""</f>
        <v/>
      </c>
      <c r="F2188" t="str">
        <f>""</f>
        <v/>
      </c>
      <c r="H2188" t="str">
        <f t="shared" si="37"/>
        <v>GUARDIAN</v>
      </c>
    </row>
    <row r="2189" spans="5:8" x14ac:dyDescent="0.25">
      <c r="E2189" t="str">
        <f>""</f>
        <v/>
      </c>
      <c r="F2189" t="str">
        <f>""</f>
        <v/>
      </c>
      <c r="H2189" t="str">
        <f t="shared" si="37"/>
        <v>GUARDIAN</v>
      </c>
    </row>
    <row r="2190" spans="5:8" x14ac:dyDescent="0.25">
      <c r="E2190" t="str">
        <f>"LIE201911133213"</f>
        <v>LIE201911133213</v>
      </c>
      <c r="F2190" t="str">
        <f>"GUARDIAN"</f>
        <v>GUARDIAN</v>
      </c>
      <c r="G2190" s="2">
        <v>90.2</v>
      </c>
      <c r="H2190" t="str">
        <f t="shared" si="37"/>
        <v>GUARDIAN</v>
      </c>
    </row>
    <row r="2191" spans="5:8" x14ac:dyDescent="0.25">
      <c r="E2191" t="str">
        <f>""</f>
        <v/>
      </c>
      <c r="F2191" t="str">
        <f>""</f>
        <v/>
      </c>
      <c r="H2191" t="str">
        <f t="shared" si="37"/>
        <v>GUARDIAN</v>
      </c>
    </row>
    <row r="2192" spans="5:8" x14ac:dyDescent="0.25">
      <c r="E2192" t="str">
        <f>"LIS201910302805"</f>
        <v>LIS201910302805</v>
      </c>
      <c r="F2192" t="str">
        <f t="shared" ref="F2192:F2203" si="38">"GUARDIAN"</f>
        <v>GUARDIAN</v>
      </c>
      <c r="G2192" s="2">
        <v>505.67</v>
      </c>
      <c r="H2192" t="str">
        <f t="shared" si="37"/>
        <v>GUARDIAN</v>
      </c>
    </row>
    <row r="2193" spans="1:8" x14ac:dyDescent="0.25">
      <c r="E2193" t="str">
        <f>"LIS201910302806"</f>
        <v>LIS201910302806</v>
      </c>
      <c r="F2193" t="str">
        <f t="shared" si="38"/>
        <v>GUARDIAN</v>
      </c>
      <c r="G2193" s="2">
        <v>36.15</v>
      </c>
      <c r="H2193" t="str">
        <f t="shared" si="37"/>
        <v>GUARDIAN</v>
      </c>
    </row>
    <row r="2194" spans="1:8" x14ac:dyDescent="0.25">
      <c r="E2194" t="str">
        <f>"LIS201911133212"</f>
        <v>LIS201911133212</v>
      </c>
      <c r="F2194" t="str">
        <f t="shared" si="38"/>
        <v>GUARDIAN</v>
      </c>
      <c r="G2194" s="2">
        <v>505.67</v>
      </c>
      <c r="H2194" t="str">
        <f t="shared" ref="H2194:H2203" si="39">"GUARDIAN"</f>
        <v>GUARDIAN</v>
      </c>
    </row>
    <row r="2195" spans="1:8" x14ac:dyDescent="0.25">
      <c r="E2195" t="str">
        <f>"LIS201911133213"</f>
        <v>LIS201911133213</v>
      </c>
      <c r="F2195" t="str">
        <f t="shared" si="38"/>
        <v>GUARDIAN</v>
      </c>
      <c r="G2195" s="2">
        <v>36.15</v>
      </c>
      <c r="H2195" t="str">
        <f t="shared" si="39"/>
        <v>GUARDIAN</v>
      </c>
    </row>
    <row r="2196" spans="1:8" x14ac:dyDescent="0.25">
      <c r="E2196" t="str">
        <f>"LTD201910302805"</f>
        <v>LTD201910302805</v>
      </c>
      <c r="F2196" t="str">
        <f t="shared" si="38"/>
        <v>GUARDIAN</v>
      </c>
      <c r="G2196" s="2">
        <v>839.21</v>
      </c>
      <c r="H2196" t="str">
        <f t="shared" si="39"/>
        <v>GUARDIAN</v>
      </c>
    </row>
    <row r="2197" spans="1:8" x14ac:dyDescent="0.25">
      <c r="E2197" t="str">
        <f>"LTD201910302806"</f>
        <v>LTD201910302806</v>
      </c>
      <c r="F2197" t="str">
        <f t="shared" si="38"/>
        <v>GUARDIAN</v>
      </c>
      <c r="G2197" s="2">
        <v>6.11</v>
      </c>
      <c r="H2197" t="str">
        <f t="shared" si="39"/>
        <v>GUARDIAN</v>
      </c>
    </row>
    <row r="2198" spans="1:8" x14ac:dyDescent="0.25">
      <c r="E2198" t="str">
        <f>"LTD201911133212"</f>
        <v>LTD201911133212</v>
      </c>
      <c r="F2198" t="str">
        <f t="shared" si="38"/>
        <v>GUARDIAN</v>
      </c>
      <c r="G2198" s="2">
        <v>839.21</v>
      </c>
      <c r="H2198" t="str">
        <f t="shared" si="39"/>
        <v>GUARDIAN</v>
      </c>
    </row>
    <row r="2199" spans="1:8" x14ac:dyDescent="0.25">
      <c r="E2199" t="str">
        <f>"LTD201911133213"</f>
        <v>LTD201911133213</v>
      </c>
      <c r="F2199" t="str">
        <f t="shared" si="38"/>
        <v>GUARDIAN</v>
      </c>
      <c r="G2199" s="2">
        <v>6.11</v>
      </c>
      <c r="H2199" t="str">
        <f t="shared" si="39"/>
        <v>GUARDIAN</v>
      </c>
    </row>
    <row r="2200" spans="1:8" x14ac:dyDescent="0.25">
      <c r="A2200" t="s">
        <v>453</v>
      </c>
      <c r="B2200">
        <v>286</v>
      </c>
      <c r="C2200" s="2">
        <v>109.1</v>
      </c>
      <c r="D2200" s="1">
        <v>43794</v>
      </c>
      <c r="E2200" t="str">
        <f>"AEG201910302805"</f>
        <v>AEG201910302805</v>
      </c>
      <c r="F2200" t="str">
        <f t="shared" si="38"/>
        <v>GUARDIAN</v>
      </c>
      <c r="G2200" s="2">
        <v>6.66</v>
      </c>
      <c r="H2200" t="str">
        <f t="shared" si="39"/>
        <v>GUARDIAN</v>
      </c>
    </row>
    <row r="2201" spans="1:8" x14ac:dyDescent="0.25">
      <c r="E2201" t="str">
        <f>"AEG201911133212"</f>
        <v>AEG201911133212</v>
      </c>
      <c r="F2201" t="str">
        <f t="shared" si="38"/>
        <v>GUARDIAN</v>
      </c>
      <c r="G2201" s="2">
        <v>6.66</v>
      </c>
      <c r="H2201" t="str">
        <f t="shared" si="39"/>
        <v>GUARDIAN</v>
      </c>
    </row>
    <row r="2202" spans="1:8" x14ac:dyDescent="0.25">
      <c r="E2202" t="str">
        <f>"AFG201910302805"</f>
        <v>AFG201910302805</v>
      </c>
      <c r="F2202" t="str">
        <f t="shared" si="38"/>
        <v>GUARDIAN</v>
      </c>
      <c r="G2202" s="2">
        <v>47.89</v>
      </c>
      <c r="H2202" t="str">
        <f t="shared" si="39"/>
        <v>GUARDIAN</v>
      </c>
    </row>
    <row r="2203" spans="1:8" x14ac:dyDescent="0.25">
      <c r="E2203" t="str">
        <f>"AFG201911133212"</f>
        <v>AFG201911133212</v>
      </c>
      <c r="F2203" t="str">
        <f t="shared" si="38"/>
        <v>GUARDIAN</v>
      </c>
      <c r="G2203" s="2">
        <v>47.89</v>
      </c>
      <c r="H2203" t="str">
        <f t="shared" si="39"/>
        <v>GUARDIAN</v>
      </c>
    </row>
    <row r="2204" spans="1:8" x14ac:dyDescent="0.25">
      <c r="A2204" t="s">
        <v>454</v>
      </c>
      <c r="B2204">
        <v>258</v>
      </c>
      <c r="C2204" s="2">
        <v>241146.27</v>
      </c>
      <c r="D2204" s="1">
        <v>43770</v>
      </c>
      <c r="E2204" t="str">
        <f>"T1 201910302805"</f>
        <v>T1 201910302805</v>
      </c>
      <c r="F2204" t="str">
        <f>"FEDERAL WITHHOLDING"</f>
        <v>FEDERAL WITHHOLDING</v>
      </c>
      <c r="G2204" s="2">
        <v>81544.88</v>
      </c>
      <c r="H2204" t="str">
        <f>"FEDERAL WITHHOLDING"</f>
        <v>FEDERAL WITHHOLDING</v>
      </c>
    </row>
    <row r="2205" spans="1:8" x14ac:dyDescent="0.25">
      <c r="E2205" t="str">
        <f>"T1 201910302806"</f>
        <v>T1 201910302806</v>
      </c>
      <c r="F2205" t="str">
        <f>"FEDERAL WITHHOLDING"</f>
        <v>FEDERAL WITHHOLDING</v>
      </c>
      <c r="G2205" s="2">
        <v>3049.37</v>
      </c>
      <c r="H2205" t="str">
        <f>"FEDERAL WITHHOLDING"</f>
        <v>FEDERAL WITHHOLDING</v>
      </c>
    </row>
    <row r="2206" spans="1:8" x14ac:dyDescent="0.25">
      <c r="E2206" t="str">
        <f>"T1 201910302807"</f>
        <v>T1 201910302807</v>
      </c>
      <c r="F2206" t="str">
        <f>"FEDERAL WITHHOLDING"</f>
        <v>FEDERAL WITHHOLDING</v>
      </c>
      <c r="G2206" s="2">
        <v>3141.76</v>
      </c>
      <c r="H2206" t="str">
        <f>"FEDERAL WITHHOLDING"</f>
        <v>FEDERAL WITHHOLDING</v>
      </c>
    </row>
    <row r="2207" spans="1:8" x14ac:dyDescent="0.25">
      <c r="E2207" t="str">
        <f>"T3 201910302805"</f>
        <v>T3 201910302805</v>
      </c>
      <c r="F2207" t="str">
        <f>"SOCIAL SECURITY TAXES"</f>
        <v>SOCIAL SECURITY TAXES</v>
      </c>
      <c r="G2207" s="2">
        <v>115234.96</v>
      </c>
      <c r="H2207" t="str">
        <f t="shared" ref="H2207:H2238" si="40">"SOCIAL SECURITY TAXES"</f>
        <v>SOCIAL SECURITY TAXES</v>
      </c>
    </row>
    <row r="2208" spans="1:8" x14ac:dyDescent="0.25">
      <c r="E2208" t="str">
        <f>""</f>
        <v/>
      </c>
      <c r="F2208" t="str">
        <f>""</f>
        <v/>
      </c>
      <c r="H2208" t="str">
        <f t="shared" si="40"/>
        <v>SOCIAL SECURITY TAXES</v>
      </c>
    </row>
    <row r="2209" spans="5:8" x14ac:dyDescent="0.25">
      <c r="E2209" t="str">
        <f>""</f>
        <v/>
      </c>
      <c r="F2209" t="str">
        <f>""</f>
        <v/>
      </c>
      <c r="H2209" t="str">
        <f t="shared" si="40"/>
        <v>SOCIAL SECURITY TAXES</v>
      </c>
    </row>
    <row r="2210" spans="5:8" x14ac:dyDescent="0.25">
      <c r="E2210" t="str">
        <f>""</f>
        <v/>
      </c>
      <c r="F2210" t="str">
        <f>""</f>
        <v/>
      </c>
      <c r="H2210" t="str">
        <f t="shared" si="40"/>
        <v>SOCIAL SECURITY TAXES</v>
      </c>
    </row>
    <row r="2211" spans="5:8" x14ac:dyDescent="0.25">
      <c r="E2211" t="str">
        <f>""</f>
        <v/>
      </c>
      <c r="F2211" t="str">
        <f>""</f>
        <v/>
      </c>
      <c r="H2211" t="str">
        <f t="shared" si="40"/>
        <v>SOCIAL SECURITY TAXES</v>
      </c>
    </row>
    <row r="2212" spans="5:8" x14ac:dyDescent="0.25">
      <c r="E2212" t="str">
        <f>""</f>
        <v/>
      </c>
      <c r="F2212" t="str">
        <f>""</f>
        <v/>
      </c>
      <c r="H2212" t="str">
        <f t="shared" si="40"/>
        <v>SOCIAL SECURITY TAXES</v>
      </c>
    </row>
    <row r="2213" spans="5:8" x14ac:dyDescent="0.25">
      <c r="E2213" t="str">
        <f>""</f>
        <v/>
      </c>
      <c r="F2213" t="str">
        <f>""</f>
        <v/>
      </c>
      <c r="H2213" t="str">
        <f t="shared" si="40"/>
        <v>SOCIAL SECURITY TAXES</v>
      </c>
    </row>
    <row r="2214" spans="5:8" x14ac:dyDescent="0.25">
      <c r="E2214" t="str">
        <f>""</f>
        <v/>
      </c>
      <c r="F2214" t="str">
        <f>""</f>
        <v/>
      </c>
      <c r="H2214" t="str">
        <f t="shared" si="40"/>
        <v>SOCIAL SECURITY TAXES</v>
      </c>
    </row>
    <row r="2215" spans="5:8" x14ac:dyDescent="0.25">
      <c r="E2215" t="str">
        <f>""</f>
        <v/>
      </c>
      <c r="F2215" t="str">
        <f>""</f>
        <v/>
      </c>
      <c r="H2215" t="str">
        <f t="shared" si="40"/>
        <v>SOCIAL SECURITY TAXES</v>
      </c>
    </row>
    <row r="2216" spans="5:8" x14ac:dyDescent="0.25">
      <c r="E2216" t="str">
        <f>""</f>
        <v/>
      </c>
      <c r="F2216" t="str">
        <f>""</f>
        <v/>
      </c>
      <c r="H2216" t="str">
        <f t="shared" si="40"/>
        <v>SOCIAL SECURITY TAXES</v>
      </c>
    </row>
    <row r="2217" spans="5:8" x14ac:dyDescent="0.25">
      <c r="E2217" t="str">
        <f>""</f>
        <v/>
      </c>
      <c r="F2217" t="str">
        <f>""</f>
        <v/>
      </c>
      <c r="H2217" t="str">
        <f t="shared" si="40"/>
        <v>SOCIAL SECURITY TAXES</v>
      </c>
    </row>
    <row r="2218" spans="5:8" x14ac:dyDescent="0.25">
      <c r="E2218" t="str">
        <f>""</f>
        <v/>
      </c>
      <c r="F2218" t="str">
        <f>""</f>
        <v/>
      </c>
      <c r="H2218" t="str">
        <f t="shared" si="40"/>
        <v>SOCIAL SECURITY TAXES</v>
      </c>
    </row>
    <row r="2219" spans="5:8" x14ac:dyDescent="0.25">
      <c r="E2219" t="str">
        <f>""</f>
        <v/>
      </c>
      <c r="F2219" t="str">
        <f>""</f>
        <v/>
      </c>
      <c r="H2219" t="str">
        <f t="shared" si="40"/>
        <v>SOCIAL SECURITY TAXES</v>
      </c>
    </row>
    <row r="2220" spans="5:8" x14ac:dyDescent="0.25">
      <c r="E2220" t="str">
        <f>""</f>
        <v/>
      </c>
      <c r="F2220" t="str">
        <f>""</f>
        <v/>
      </c>
      <c r="H2220" t="str">
        <f t="shared" si="40"/>
        <v>SOCIAL SECURITY TAXES</v>
      </c>
    </row>
    <row r="2221" spans="5:8" x14ac:dyDescent="0.25">
      <c r="E2221" t="str">
        <f>""</f>
        <v/>
      </c>
      <c r="F2221" t="str">
        <f>""</f>
        <v/>
      </c>
      <c r="H2221" t="str">
        <f t="shared" si="40"/>
        <v>SOCIAL SECURITY TAXES</v>
      </c>
    </row>
    <row r="2222" spans="5:8" x14ac:dyDescent="0.25">
      <c r="E2222" t="str">
        <f>""</f>
        <v/>
      </c>
      <c r="F2222" t="str">
        <f>""</f>
        <v/>
      </c>
      <c r="H2222" t="str">
        <f t="shared" si="40"/>
        <v>SOCIAL SECURITY TAXES</v>
      </c>
    </row>
    <row r="2223" spans="5:8" x14ac:dyDescent="0.25">
      <c r="E2223" t="str">
        <f>""</f>
        <v/>
      </c>
      <c r="F2223" t="str">
        <f>""</f>
        <v/>
      </c>
      <c r="H2223" t="str">
        <f t="shared" si="40"/>
        <v>SOCIAL SECURITY TAXES</v>
      </c>
    </row>
    <row r="2224" spans="5:8" x14ac:dyDescent="0.25">
      <c r="E2224" t="str">
        <f>""</f>
        <v/>
      </c>
      <c r="F2224" t="str">
        <f>""</f>
        <v/>
      </c>
      <c r="H2224" t="str">
        <f t="shared" si="40"/>
        <v>SOCIAL SECURITY TAXES</v>
      </c>
    </row>
    <row r="2225" spans="5:8" x14ac:dyDescent="0.25">
      <c r="E2225" t="str">
        <f>""</f>
        <v/>
      </c>
      <c r="F2225" t="str">
        <f>""</f>
        <v/>
      </c>
      <c r="H2225" t="str">
        <f t="shared" si="40"/>
        <v>SOCIAL SECURITY TAXES</v>
      </c>
    </row>
    <row r="2226" spans="5:8" x14ac:dyDescent="0.25">
      <c r="E2226" t="str">
        <f>""</f>
        <v/>
      </c>
      <c r="F2226" t="str">
        <f>""</f>
        <v/>
      </c>
      <c r="H2226" t="str">
        <f t="shared" si="40"/>
        <v>SOCIAL SECURITY TAXES</v>
      </c>
    </row>
    <row r="2227" spans="5:8" x14ac:dyDescent="0.25">
      <c r="E2227" t="str">
        <f>""</f>
        <v/>
      </c>
      <c r="F2227" t="str">
        <f>""</f>
        <v/>
      </c>
      <c r="H2227" t="str">
        <f t="shared" si="40"/>
        <v>SOCIAL SECURITY TAXES</v>
      </c>
    </row>
    <row r="2228" spans="5:8" x14ac:dyDescent="0.25">
      <c r="E2228" t="str">
        <f>""</f>
        <v/>
      </c>
      <c r="F2228" t="str">
        <f>""</f>
        <v/>
      </c>
      <c r="H2228" t="str">
        <f t="shared" si="40"/>
        <v>SOCIAL SECURITY TAXES</v>
      </c>
    </row>
    <row r="2229" spans="5:8" x14ac:dyDescent="0.25">
      <c r="E2229" t="str">
        <f>""</f>
        <v/>
      </c>
      <c r="F2229" t="str">
        <f>""</f>
        <v/>
      </c>
      <c r="H2229" t="str">
        <f t="shared" si="40"/>
        <v>SOCIAL SECURITY TAXES</v>
      </c>
    </row>
    <row r="2230" spans="5:8" x14ac:dyDescent="0.25">
      <c r="E2230" t="str">
        <f>""</f>
        <v/>
      </c>
      <c r="F2230" t="str">
        <f>""</f>
        <v/>
      </c>
      <c r="H2230" t="str">
        <f t="shared" si="40"/>
        <v>SOCIAL SECURITY TAXES</v>
      </c>
    </row>
    <row r="2231" spans="5:8" x14ac:dyDescent="0.25">
      <c r="E2231" t="str">
        <f>""</f>
        <v/>
      </c>
      <c r="F2231" t="str">
        <f>""</f>
        <v/>
      </c>
      <c r="H2231" t="str">
        <f t="shared" si="40"/>
        <v>SOCIAL SECURITY TAXES</v>
      </c>
    </row>
    <row r="2232" spans="5:8" x14ac:dyDescent="0.25">
      <c r="E2232" t="str">
        <f>""</f>
        <v/>
      </c>
      <c r="F2232" t="str">
        <f>""</f>
        <v/>
      </c>
      <c r="H2232" t="str">
        <f t="shared" si="40"/>
        <v>SOCIAL SECURITY TAXES</v>
      </c>
    </row>
    <row r="2233" spans="5:8" x14ac:dyDescent="0.25">
      <c r="E2233" t="str">
        <f>""</f>
        <v/>
      </c>
      <c r="F2233" t="str">
        <f>""</f>
        <v/>
      </c>
      <c r="H2233" t="str">
        <f t="shared" si="40"/>
        <v>SOCIAL SECURITY TAXES</v>
      </c>
    </row>
    <row r="2234" spans="5:8" x14ac:dyDescent="0.25">
      <c r="E2234" t="str">
        <f>""</f>
        <v/>
      </c>
      <c r="F2234" t="str">
        <f>""</f>
        <v/>
      </c>
      <c r="H2234" t="str">
        <f t="shared" si="40"/>
        <v>SOCIAL SECURITY TAXES</v>
      </c>
    </row>
    <row r="2235" spans="5:8" x14ac:dyDescent="0.25">
      <c r="E2235" t="str">
        <f>""</f>
        <v/>
      </c>
      <c r="F2235" t="str">
        <f>""</f>
        <v/>
      </c>
      <c r="H2235" t="str">
        <f t="shared" si="40"/>
        <v>SOCIAL SECURITY TAXES</v>
      </c>
    </row>
    <row r="2236" spans="5:8" x14ac:dyDescent="0.25">
      <c r="E2236" t="str">
        <f>""</f>
        <v/>
      </c>
      <c r="F2236" t="str">
        <f>""</f>
        <v/>
      </c>
      <c r="H2236" t="str">
        <f t="shared" si="40"/>
        <v>SOCIAL SECURITY TAXES</v>
      </c>
    </row>
    <row r="2237" spans="5:8" x14ac:dyDescent="0.25">
      <c r="E2237" t="str">
        <f>""</f>
        <v/>
      </c>
      <c r="F2237" t="str">
        <f>""</f>
        <v/>
      </c>
      <c r="H2237" t="str">
        <f t="shared" si="40"/>
        <v>SOCIAL SECURITY TAXES</v>
      </c>
    </row>
    <row r="2238" spans="5:8" x14ac:dyDescent="0.25">
      <c r="E2238" t="str">
        <f>""</f>
        <v/>
      </c>
      <c r="F2238" t="str">
        <f>""</f>
        <v/>
      </c>
      <c r="H2238" t="str">
        <f t="shared" si="40"/>
        <v>SOCIAL SECURITY TAXES</v>
      </c>
    </row>
    <row r="2239" spans="5:8" x14ac:dyDescent="0.25">
      <c r="E2239" t="str">
        <f>""</f>
        <v/>
      </c>
      <c r="F2239" t="str">
        <f>""</f>
        <v/>
      </c>
      <c r="H2239" t="str">
        <f t="shared" ref="H2239:H2263" si="41">"SOCIAL SECURITY TAXES"</f>
        <v>SOCIAL SECURITY TAXES</v>
      </c>
    </row>
    <row r="2240" spans="5:8" x14ac:dyDescent="0.25">
      <c r="E2240" t="str">
        <f>""</f>
        <v/>
      </c>
      <c r="F2240" t="str">
        <f>""</f>
        <v/>
      </c>
      <c r="H2240" t="str">
        <f t="shared" si="41"/>
        <v>SOCIAL SECURITY TAXES</v>
      </c>
    </row>
    <row r="2241" spans="5:8" x14ac:dyDescent="0.25">
      <c r="E2241" t="str">
        <f>""</f>
        <v/>
      </c>
      <c r="F2241" t="str">
        <f>""</f>
        <v/>
      </c>
      <c r="H2241" t="str">
        <f t="shared" si="41"/>
        <v>SOCIAL SECURITY TAXES</v>
      </c>
    </row>
    <row r="2242" spans="5:8" x14ac:dyDescent="0.25">
      <c r="E2242" t="str">
        <f>""</f>
        <v/>
      </c>
      <c r="F2242" t="str">
        <f>""</f>
        <v/>
      </c>
      <c r="H2242" t="str">
        <f t="shared" si="41"/>
        <v>SOCIAL SECURITY TAXES</v>
      </c>
    </row>
    <row r="2243" spans="5:8" x14ac:dyDescent="0.25">
      <c r="E2243" t="str">
        <f>""</f>
        <v/>
      </c>
      <c r="F2243" t="str">
        <f>""</f>
        <v/>
      </c>
      <c r="H2243" t="str">
        <f t="shared" si="41"/>
        <v>SOCIAL SECURITY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41"/>
        <v>SOCIAL SECURITY TAXES</v>
      </c>
    </row>
    <row r="2245" spans="5:8" x14ac:dyDescent="0.25">
      <c r="E2245" t="str">
        <f>""</f>
        <v/>
      </c>
      <c r="F2245" t="str">
        <f>""</f>
        <v/>
      </c>
      <c r="H2245" t="str">
        <f t="shared" si="41"/>
        <v>SOCIAL SECURITY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41"/>
        <v>SOCIAL SECURITY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41"/>
        <v>SOCIAL SECURITY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41"/>
        <v>SOCIAL SECURITY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41"/>
        <v>SOCIAL SECURITY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41"/>
        <v>SOCIAL SECURITY TAXES</v>
      </c>
    </row>
    <row r="2251" spans="5:8" x14ac:dyDescent="0.25">
      <c r="E2251" t="str">
        <f>""</f>
        <v/>
      </c>
      <c r="F2251" t="str">
        <f>""</f>
        <v/>
      </c>
      <c r="H2251" t="str">
        <f t="shared" si="41"/>
        <v>SOCIAL SECURITY TAXES</v>
      </c>
    </row>
    <row r="2252" spans="5:8" x14ac:dyDescent="0.25">
      <c r="E2252" t="str">
        <f>""</f>
        <v/>
      </c>
      <c r="F2252" t="str">
        <f>""</f>
        <v/>
      </c>
      <c r="H2252" t="str">
        <f t="shared" si="41"/>
        <v>SOCIAL SECURITY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41"/>
        <v>SOCIAL SECURITY TAXES</v>
      </c>
    </row>
    <row r="2254" spans="5:8" x14ac:dyDescent="0.25">
      <c r="E2254" t="str">
        <f>""</f>
        <v/>
      </c>
      <c r="F2254" t="str">
        <f>""</f>
        <v/>
      </c>
      <c r="H2254" t="str">
        <f t="shared" si="41"/>
        <v>SOCIAL SECURITY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41"/>
        <v>SOCIAL SECURITY TAXES</v>
      </c>
    </row>
    <row r="2256" spans="5:8" x14ac:dyDescent="0.25">
      <c r="E2256" t="str">
        <f>""</f>
        <v/>
      </c>
      <c r="F2256" t="str">
        <f>""</f>
        <v/>
      </c>
      <c r="H2256" t="str">
        <f t="shared" si="41"/>
        <v>SOCIAL SECURITY TAXES</v>
      </c>
    </row>
    <row r="2257" spans="5:8" x14ac:dyDescent="0.25">
      <c r="E2257" t="str">
        <f>""</f>
        <v/>
      </c>
      <c r="F2257" t="str">
        <f>""</f>
        <v/>
      </c>
      <c r="H2257" t="str">
        <f t="shared" si="41"/>
        <v>SOCIAL SECURITY TAXES</v>
      </c>
    </row>
    <row r="2258" spans="5:8" x14ac:dyDescent="0.25">
      <c r="E2258" t="str">
        <f>""</f>
        <v/>
      </c>
      <c r="F2258" t="str">
        <f>""</f>
        <v/>
      </c>
      <c r="H2258" t="str">
        <f t="shared" si="41"/>
        <v>SOCIAL SECURITY TAXES</v>
      </c>
    </row>
    <row r="2259" spans="5:8" x14ac:dyDescent="0.25">
      <c r="E2259" t="str">
        <f>""</f>
        <v/>
      </c>
      <c r="F2259" t="str">
        <f>""</f>
        <v/>
      </c>
      <c r="H2259" t="str">
        <f t="shared" si="41"/>
        <v>SOCIAL SECURITY TAXES</v>
      </c>
    </row>
    <row r="2260" spans="5:8" x14ac:dyDescent="0.25">
      <c r="E2260" t="str">
        <f>"T3 201910302806"</f>
        <v>T3 201910302806</v>
      </c>
      <c r="F2260" t="str">
        <f>"SOCIAL SECURITY TAXES"</f>
        <v>SOCIAL SECURITY TAXES</v>
      </c>
      <c r="G2260" s="2">
        <v>4188.88</v>
      </c>
      <c r="H2260" t="str">
        <f t="shared" si="41"/>
        <v>SOCIAL SECURITY TAXES</v>
      </c>
    </row>
    <row r="2261" spans="5:8" x14ac:dyDescent="0.25">
      <c r="E2261" t="str">
        <f>""</f>
        <v/>
      </c>
      <c r="F2261" t="str">
        <f>""</f>
        <v/>
      </c>
      <c r="H2261" t="str">
        <f t="shared" si="41"/>
        <v>SOCIAL SECURITY TAXES</v>
      </c>
    </row>
    <row r="2262" spans="5:8" x14ac:dyDescent="0.25">
      <c r="E2262" t="str">
        <f>"T3 201910302807"</f>
        <v>T3 201910302807</v>
      </c>
      <c r="F2262" t="str">
        <f>"SOCIAL SECURITY TAXES"</f>
        <v>SOCIAL SECURITY TAXES</v>
      </c>
      <c r="G2262" s="2">
        <v>4908.8</v>
      </c>
      <c r="H2262" t="str">
        <f t="shared" si="41"/>
        <v>SOCIAL SECURITY TAXES</v>
      </c>
    </row>
    <row r="2263" spans="5:8" x14ac:dyDescent="0.25">
      <c r="E2263" t="str">
        <f>""</f>
        <v/>
      </c>
      <c r="F2263" t="str">
        <f>""</f>
        <v/>
      </c>
      <c r="H2263" t="str">
        <f t="shared" si="41"/>
        <v>SOCIAL SECURITY TAXES</v>
      </c>
    </row>
    <row r="2264" spans="5:8" x14ac:dyDescent="0.25">
      <c r="E2264" t="str">
        <f>"T4 201910302805"</f>
        <v>T4 201910302805</v>
      </c>
      <c r="F2264" t="str">
        <f>"MEDICARE TAXES"</f>
        <v>MEDICARE TAXES</v>
      </c>
      <c r="G2264" s="2">
        <v>26950</v>
      </c>
      <c r="H2264" t="str">
        <f t="shared" ref="H2264:H2295" si="42">"MEDICARE TAXES"</f>
        <v>MEDICARE TAXES</v>
      </c>
    </row>
    <row r="2265" spans="5:8" x14ac:dyDescent="0.25">
      <c r="E2265" t="str">
        <f>""</f>
        <v/>
      </c>
      <c r="F2265" t="str">
        <f>""</f>
        <v/>
      </c>
      <c r="H2265" t="str">
        <f t="shared" si="42"/>
        <v>MEDICARE TAXES</v>
      </c>
    </row>
    <row r="2266" spans="5:8" x14ac:dyDescent="0.25">
      <c r="E2266" t="str">
        <f>""</f>
        <v/>
      </c>
      <c r="F2266" t="str">
        <f>""</f>
        <v/>
      </c>
      <c r="H2266" t="str">
        <f t="shared" si="42"/>
        <v>MEDICARE TAXES</v>
      </c>
    </row>
    <row r="2267" spans="5:8" x14ac:dyDescent="0.25">
      <c r="E2267" t="str">
        <f>""</f>
        <v/>
      </c>
      <c r="F2267" t="str">
        <f>""</f>
        <v/>
      </c>
      <c r="H2267" t="str">
        <f t="shared" si="42"/>
        <v>MEDICARE TAXES</v>
      </c>
    </row>
    <row r="2268" spans="5:8" x14ac:dyDescent="0.25">
      <c r="E2268" t="str">
        <f>""</f>
        <v/>
      </c>
      <c r="F2268" t="str">
        <f>""</f>
        <v/>
      </c>
      <c r="H2268" t="str">
        <f t="shared" si="42"/>
        <v>MEDICARE TAXES</v>
      </c>
    </row>
    <row r="2269" spans="5:8" x14ac:dyDescent="0.25">
      <c r="E2269" t="str">
        <f>""</f>
        <v/>
      </c>
      <c r="F2269" t="str">
        <f>""</f>
        <v/>
      </c>
      <c r="H2269" t="str">
        <f t="shared" si="42"/>
        <v>MEDICARE TAXES</v>
      </c>
    </row>
    <row r="2270" spans="5:8" x14ac:dyDescent="0.25">
      <c r="E2270" t="str">
        <f>""</f>
        <v/>
      </c>
      <c r="F2270" t="str">
        <f>""</f>
        <v/>
      </c>
      <c r="H2270" t="str">
        <f t="shared" si="42"/>
        <v>MEDICARE TAXES</v>
      </c>
    </row>
    <row r="2271" spans="5:8" x14ac:dyDescent="0.25">
      <c r="E2271" t="str">
        <f>""</f>
        <v/>
      </c>
      <c r="F2271" t="str">
        <f>""</f>
        <v/>
      </c>
      <c r="H2271" t="str">
        <f t="shared" si="42"/>
        <v>MEDICARE TAXES</v>
      </c>
    </row>
    <row r="2272" spans="5:8" x14ac:dyDescent="0.25">
      <c r="E2272" t="str">
        <f>""</f>
        <v/>
      </c>
      <c r="F2272" t="str">
        <f>""</f>
        <v/>
      </c>
      <c r="H2272" t="str">
        <f t="shared" si="42"/>
        <v>MEDICARE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42"/>
        <v>MEDICARE TAXES</v>
      </c>
    </row>
    <row r="2274" spans="5:8" x14ac:dyDescent="0.25">
      <c r="E2274" t="str">
        <f>""</f>
        <v/>
      </c>
      <c r="F2274" t="str">
        <f>""</f>
        <v/>
      </c>
      <c r="H2274" t="str">
        <f t="shared" si="42"/>
        <v>MEDICARE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42"/>
        <v>MEDICARE TAXES</v>
      </c>
    </row>
    <row r="2276" spans="5:8" x14ac:dyDescent="0.25">
      <c r="E2276" t="str">
        <f>""</f>
        <v/>
      </c>
      <c r="F2276" t="str">
        <f>""</f>
        <v/>
      </c>
      <c r="H2276" t="str">
        <f t="shared" si="42"/>
        <v>MEDICARE TAXES</v>
      </c>
    </row>
    <row r="2277" spans="5:8" x14ac:dyDescent="0.25">
      <c r="E2277" t="str">
        <f>""</f>
        <v/>
      </c>
      <c r="F2277" t="str">
        <f>""</f>
        <v/>
      </c>
      <c r="H2277" t="str">
        <f t="shared" si="42"/>
        <v>MEDICARE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42"/>
        <v>MEDICARE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42"/>
        <v>MEDICARE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42"/>
        <v>MEDICARE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42"/>
        <v>MEDICARE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42"/>
        <v>MEDICARE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42"/>
        <v>MEDICARE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42"/>
        <v>MEDICARE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42"/>
        <v>MEDICARE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42"/>
        <v>MEDICARE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42"/>
        <v>MEDICARE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42"/>
        <v>MEDICARE TAXES</v>
      </c>
    </row>
    <row r="2289" spans="5:8" x14ac:dyDescent="0.25">
      <c r="E2289" t="str">
        <f>""</f>
        <v/>
      </c>
      <c r="F2289" t="str">
        <f>""</f>
        <v/>
      </c>
      <c r="H2289" t="str">
        <f t="shared" si="42"/>
        <v>MEDICARE TAXES</v>
      </c>
    </row>
    <row r="2290" spans="5:8" x14ac:dyDescent="0.25">
      <c r="E2290" t="str">
        <f>""</f>
        <v/>
      </c>
      <c r="F2290" t="str">
        <f>""</f>
        <v/>
      </c>
      <c r="H2290" t="str">
        <f t="shared" si="42"/>
        <v>MEDICARE TAXES</v>
      </c>
    </row>
    <row r="2291" spans="5:8" x14ac:dyDescent="0.25">
      <c r="E2291" t="str">
        <f>""</f>
        <v/>
      </c>
      <c r="F2291" t="str">
        <f>""</f>
        <v/>
      </c>
      <c r="H2291" t="str">
        <f t="shared" si="42"/>
        <v>MEDICARE TAXES</v>
      </c>
    </row>
    <row r="2292" spans="5:8" x14ac:dyDescent="0.25">
      <c r="E2292" t="str">
        <f>""</f>
        <v/>
      </c>
      <c r="F2292" t="str">
        <f>""</f>
        <v/>
      </c>
      <c r="H2292" t="str">
        <f t="shared" si="42"/>
        <v>MEDICARE TAXES</v>
      </c>
    </row>
    <row r="2293" spans="5:8" x14ac:dyDescent="0.25">
      <c r="E2293" t="str">
        <f>""</f>
        <v/>
      </c>
      <c r="F2293" t="str">
        <f>""</f>
        <v/>
      </c>
      <c r="H2293" t="str">
        <f t="shared" si="42"/>
        <v>MEDICARE TAXES</v>
      </c>
    </row>
    <row r="2294" spans="5:8" x14ac:dyDescent="0.25">
      <c r="E2294" t="str">
        <f>""</f>
        <v/>
      </c>
      <c r="F2294" t="str">
        <f>""</f>
        <v/>
      </c>
      <c r="H2294" t="str">
        <f t="shared" si="42"/>
        <v>MEDICARE TAXES</v>
      </c>
    </row>
    <row r="2295" spans="5:8" x14ac:dyDescent="0.25">
      <c r="E2295" t="str">
        <f>""</f>
        <v/>
      </c>
      <c r="F2295" t="str">
        <f>""</f>
        <v/>
      </c>
      <c r="H2295" t="str">
        <f t="shared" si="42"/>
        <v>MEDICARE TAXES</v>
      </c>
    </row>
    <row r="2296" spans="5:8" x14ac:dyDescent="0.25">
      <c r="E2296" t="str">
        <f>""</f>
        <v/>
      </c>
      <c r="F2296" t="str">
        <f>""</f>
        <v/>
      </c>
      <c r="H2296" t="str">
        <f t="shared" ref="H2296:H2320" si="43">"MEDICARE TAXES"</f>
        <v>MEDICARE TAXES</v>
      </c>
    </row>
    <row r="2297" spans="5:8" x14ac:dyDescent="0.25">
      <c r="E2297" t="str">
        <f>""</f>
        <v/>
      </c>
      <c r="F2297" t="str">
        <f>""</f>
        <v/>
      </c>
      <c r="H2297" t="str">
        <f t="shared" si="43"/>
        <v>MEDICARE TAXES</v>
      </c>
    </row>
    <row r="2298" spans="5:8" x14ac:dyDescent="0.25">
      <c r="E2298" t="str">
        <f>""</f>
        <v/>
      </c>
      <c r="F2298" t="str">
        <f>""</f>
        <v/>
      </c>
      <c r="H2298" t="str">
        <f t="shared" si="43"/>
        <v>MEDICARE TAXES</v>
      </c>
    </row>
    <row r="2299" spans="5:8" x14ac:dyDescent="0.25">
      <c r="E2299" t="str">
        <f>""</f>
        <v/>
      </c>
      <c r="F2299" t="str">
        <f>""</f>
        <v/>
      </c>
      <c r="H2299" t="str">
        <f t="shared" si="43"/>
        <v>MEDICARE TAXES</v>
      </c>
    </row>
    <row r="2300" spans="5:8" x14ac:dyDescent="0.25">
      <c r="E2300" t="str">
        <f>""</f>
        <v/>
      </c>
      <c r="F2300" t="str">
        <f>""</f>
        <v/>
      </c>
      <c r="H2300" t="str">
        <f t="shared" si="43"/>
        <v>MEDICARE TAXES</v>
      </c>
    </row>
    <row r="2301" spans="5:8" x14ac:dyDescent="0.25">
      <c r="E2301" t="str">
        <f>""</f>
        <v/>
      </c>
      <c r="F2301" t="str">
        <f>""</f>
        <v/>
      </c>
      <c r="H2301" t="str">
        <f t="shared" si="43"/>
        <v>MEDICARE TAXES</v>
      </c>
    </row>
    <row r="2302" spans="5:8" x14ac:dyDescent="0.25">
      <c r="E2302" t="str">
        <f>""</f>
        <v/>
      </c>
      <c r="F2302" t="str">
        <f>""</f>
        <v/>
      </c>
      <c r="H2302" t="str">
        <f t="shared" si="43"/>
        <v>MEDICARE TAXES</v>
      </c>
    </row>
    <row r="2303" spans="5:8" x14ac:dyDescent="0.25">
      <c r="E2303" t="str">
        <f>""</f>
        <v/>
      </c>
      <c r="F2303" t="str">
        <f>""</f>
        <v/>
      </c>
      <c r="H2303" t="str">
        <f t="shared" si="43"/>
        <v>MEDICARE TAXES</v>
      </c>
    </row>
    <row r="2304" spans="5:8" x14ac:dyDescent="0.25">
      <c r="E2304" t="str">
        <f>""</f>
        <v/>
      </c>
      <c r="F2304" t="str">
        <f>""</f>
        <v/>
      </c>
      <c r="H2304" t="str">
        <f t="shared" si="43"/>
        <v>MEDICARE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43"/>
        <v>MEDICARE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43"/>
        <v>MEDICARE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43"/>
        <v>MEDICARE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43"/>
        <v>MEDICARE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43"/>
        <v>MEDICARE TAXES</v>
      </c>
    </row>
    <row r="2310" spans="5:8" x14ac:dyDescent="0.25">
      <c r="E2310" t="str">
        <f>""</f>
        <v/>
      </c>
      <c r="F2310" t="str">
        <f>""</f>
        <v/>
      </c>
      <c r="H2310" t="str">
        <f t="shared" si="43"/>
        <v>MEDICARE TAXES</v>
      </c>
    </row>
    <row r="2311" spans="5:8" x14ac:dyDescent="0.25">
      <c r="E2311" t="str">
        <f>""</f>
        <v/>
      </c>
      <c r="F2311" t="str">
        <f>""</f>
        <v/>
      </c>
      <c r="H2311" t="str">
        <f t="shared" si="43"/>
        <v>MEDICARE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43"/>
        <v>MEDICARE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43"/>
        <v>MEDICARE TAXES</v>
      </c>
    </row>
    <row r="2314" spans="5:8" x14ac:dyDescent="0.25">
      <c r="E2314" t="str">
        <f>""</f>
        <v/>
      </c>
      <c r="F2314" t="str">
        <f>""</f>
        <v/>
      </c>
      <c r="H2314" t="str">
        <f t="shared" si="43"/>
        <v>MEDICARE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43"/>
        <v>MEDICARE TAXES</v>
      </c>
    </row>
    <row r="2316" spans="5:8" x14ac:dyDescent="0.25">
      <c r="E2316" t="str">
        <f>""</f>
        <v/>
      </c>
      <c r="F2316" t="str">
        <f>""</f>
        <v/>
      </c>
      <c r="H2316" t="str">
        <f t="shared" si="43"/>
        <v>MEDICARE TAXES</v>
      </c>
    </row>
    <row r="2317" spans="5:8" x14ac:dyDescent="0.25">
      <c r="E2317" t="str">
        <f>"T4 201910302806"</f>
        <v>T4 201910302806</v>
      </c>
      <c r="F2317" t="str">
        <f>"MEDICARE TAXES"</f>
        <v>MEDICARE TAXES</v>
      </c>
      <c r="G2317" s="2">
        <v>979.66</v>
      </c>
      <c r="H2317" t="str">
        <f t="shared" si="43"/>
        <v>MEDICARE TAXES</v>
      </c>
    </row>
    <row r="2318" spans="5:8" x14ac:dyDescent="0.25">
      <c r="E2318" t="str">
        <f>""</f>
        <v/>
      </c>
      <c r="F2318" t="str">
        <f>""</f>
        <v/>
      </c>
      <c r="H2318" t="str">
        <f t="shared" si="43"/>
        <v>MEDICARE TAXES</v>
      </c>
    </row>
    <row r="2319" spans="5:8" x14ac:dyDescent="0.25">
      <c r="E2319" t="str">
        <f>"T4 201910302807"</f>
        <v>T4 201910302807</v>
      </c>
      <c r="F2319" t="str">
        <f>"MEDICARE TAXES"</f>
        <v>MEDICARE TAXES</v>
      </c>
      <c r="G2319" s="2">
        <v>1147.96</v>
      </c>
      <c r="H2319" t="str">
        <f t="shared" si="43"/>
        <v>MEDICARE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43"/>
        <v>MEDICARE TAXES</v>
      </c>
    </row>
    <row r="2321" spans="1:8" x14ac:dyDescent="0.25">
      <c r="A2321" t="s">
        <v>454</v>
      </c>
      <c r="B2321">
        <v>263</v>
      </c>
      <c r="C2321" s="2">
        <v>331.86</v>
      </c>
      <c r="D2321" s="1">
        <v>43777</v>
      </c>
      <c r="E2321" t="str">
        <f>"T3 201911073055"</f>
        <v>T3 201911073055</v>
      </c>
      <c r="F2321" t="str">
        <f>"SOCIAL SECURITY TAXES"</f>
        <v>SOCIAL SECURITY TAXES</v>
      </c>
      <c r="G2321" s="2">
        <v>268.95999999999998</v>
      </c>
      <c r="H2321" t="str">
        <f>"SOCIAL SECURITY TAXES"</f>
        <v>SOCIAL SECURITY TAXES</v>
      </c>
    </row>
    <row r="2322" spans="1:8" x14ac:dyDescent="0.25">
      <c r="E2322" t="str">
        <f>""</f>
        <v/>
      </c>
      <c r="F2322" t="str">
        <f>""</f>
        <v/>
      </c>
      <c r="H2322" t="str">
        <f>"SOCIAL SECURITY TAXES"</f>
        <v>SOCIAL SECURITY TAXES</v>
      </c>
    </row>
    <row r="2323" spans="1:8" x14ac:dyDescent="0.25">
      <c r="E2323" t="str">
        <f>"T4 201911073055"</f>
        <v>T4 201911073055</v>
      </c>
      <c r="F2323" t="str">
        <f>"MEDICARE TAXES"</f>
        <v>MEDICARE TAXES</v>
      </c>
      <c r="G2323" s="2">
        <v>62.9</v>
      </c>
      <c r="H2323" t="str">
        <f>"MEDICARE TAXES"</f>
        <v>MEDICARE TAXES</v>
      </c>
    </row>
    <row r="2324" spans="1:8" x14ac:dyDescent="0.25">
      <c r="E2324" t="str">
        <f>""</f>
        <v/>
      </c>
      <c r="F2324" t="str">
        <f>""</f>
        <v/>
      </c>
      <c r="H2324" t="str">
        <f>"MEDICARE TAXES"</f>
        <v>MEDICARE TAXES</v>
      </c>
    </row>
    <row r="2325" spans="1:8" x14ac:dyDescent="0.25">
      <c r="A2325" t="s">
        <v>454</v>
      </c>
      <c r="B2325">
        <v>269</v>
      </c>
      <c r="C2325" s="2">
        <v>242619.28</v>
      </c>
      <c r="D2325" s="1">
        <v>43784</v>
      </c>
      <c r="E2325" t="str">
        <f>"T1 201911133212"</f>
        <v>T1 201911133212</v>
      </c>
      <c r="F2325" t="str">
        <f>"FEDERAL WITHHOLDING"</f>
        <v>FEDERAL WITHHOLDING</v>
      </c>
      <c r="G2325" s="2">
        <v>81623.94</v>
      </c>
      <c r="H2325" t="str">
        <f>"FEDERAL WITHHOLDING"</f>
        <v>FEDERAL WITHHOLDING</v>
      </c>
    </row>
    <row r="2326" spans="1:8" x14ac:dyDescent="0.25">
      <c r="E2326" t="str">
        <f>"T1 201911133213"</f>
        <v>T1 201911133213</v>
      </c>
      <c r="F2326" t="str">
        <f>"FEDERAL WITHHOLDING"</f>
        <v>FEDERAL WITHHOLDING</v>
      </c>
      <c r="G2326" s="2">
        <v>3211.8</v>
      </c>
      <c r="H2326" t="str">
        <f>"FEDERAL WITHHOLDING"</f>
        <v>FEDERAL WITHHOLDING</v>
      </c>
    </row>
    <row r="2327" spans="1:8" x14ac:dyDescent="0.25">
      <c r="E2327" t="str">
        <f>"T1 201911133214"</f>
        <v>T1 201911133214</v>
      </c>
      <c r="F2327" t="str">
        <f>"FEDERAL WITHHOLDING"</f>
        <v>FEDERAL WITHHOLDING</v>
      </c>
      <c r="G2327" s="2">
        <v>3358.14</v>
      </c>
      <c r="H2327" t="str">
        <f>"FEDERAL WITHHOLDING"</f>
        <v>FEDERAL WITHHOLDING</v>
      </c>
    </row>
    <row r="2328" spans="1:8" x14ac:dyDescent="0.25">
      <c r="E2328" t="str">
        <f>"T3 201911133212"</f>
        <v>T3 201911133212</v>
      </c>
      <c r="F2328" t="str">
        <f>"SOCIAL SECURITY TAXES"</f>
        <v>SOCIAL SECURITY TAXES</v>
      </c>
      <c r="G2328" s="2">
        <v>115739.82</v>
      </c>
      <c r="H2328" t="str">
        <f t="shared" ref="H2328:H2359" si="44">"SOCIAL SECURITY TAXES"</f>
        <v>SOCIAL SECURITY TAXES</v>
      </c>
    </row>
    <row r="2329" spans="1:8" x14ac:dyDescent="0.25">
      <c r="E2329" t="str">
        <f>""</f>
        <v/>
      </c>
      <c r="F2329" t="str">
        <f>""</f>
        <v/>
      </c>
      <c r="H2329" t="str">
        <f t="shared" si="44"/>
        <v>SOCIAL SECURITY TAXES</v>
      </c>
    </row>
    <row r="2330" spans="1:8" x14ac:dyDescent="0.25">
      <c r="E2330" t="str">
        <f>""</f>
        <v/>
      </c>
      <c r="F2330" t="str">
        <f>""</f>
        <v/>
      </c>
      <c r="H2330" t="str">
        <f t="shared" si="44"/>
        <v>SOCIAL SECURITY TAXES</v>
      </c>
    </row>
    <row r="2331" spans="1:8" x14ac:dyDescent="0.25">
      <c r="E2331" t="str">
        <f>""</f>
        <v/>
      </c>
      <c r="F2331" t="str">
        <f>""</f>
        <v/>
      </c>
      <c r="H2331" t="str">
        <f t="shared" si="44"/>
        <v>SOCIAL SECURITY TAXES</v>
      </c>
    </row>
    <row r="2332" spans="1:8" x14ac:dyDescent="0.25">
      <c r="E2332" t="str">
        <f>""</f>
        <v/>
      </c>
      <c r="F2332" t="str">
        <f>""</f>
        <v/>
      </c>
      <c r="H2332" t="str">
        <f t="shared" si="44"/>
        <v>SOCIAL SECURITY TAXES</v>
      </c>
    </row>
    <row r="2333" spans="1:8" x14ac:dyDescent="0.25">
      <c r="E2333" t="str">
        <f>""</f>
        <v/>
      </c>
      <c r="F2333" t="str">
        <f>""</f>
        <v/>
      </c>
      <c r="H2333" t="str">
        <f t="shared" si="44"/>
        <v>SOCIAL SECURITY TAXES</v>
      </c>
    </row>
    <row r="2334" spans="1:8" x14ac:dyDescent="0.25">
      <c r="E2334" t="str">
        <f>""</f>
        <v/>
      </c>
      <c r="F2334" t="str">
        <f>""</f>
        <v/>
      </c>
      <c r="H2334" t="str">
        <f t="shared" si="44"/>
        <v>SOCIAL SECURITY TAXES</v>
      </c>
    </row>
    <row r="2335" spans="1:8" x14ac:dyDescent="0.25">
      <c r="E2335" t="str">
        <f>""</f>
        <v/>
      </c>
      <c r="F2335" t="str">
        <f>""</f>
        <v/>
      </c>
      <c r="H2335" t="str">
        <f t="shared" si="44"/>
        <v>SOCIAL SECURITY TAXES</v>
      </c>
    </row>
    <row r="2336" spans="1:8" x14ac:dyDescent="0.25">
      <c r="E2336" t="str">
        <f>""</f>
        <v/>
      </c>
      <c r="F2336" t="str">
        <f>""</f>
        <v/>
      </c>
      <c r="H2336" t="str">
        <f t="shared" si="44"/>
        <v>SOCIAL SECURITY TAXES</v>
      </c>
    </row>
    <row r="2337" spans="5:8" x14ac:dyDescent="0.25">
      <c r="E2337" t="str">
        <f>""</f>
        <v/>
      </c>
      <c r="F2337" t="str">
        <f>""</f>
        <v/>
      </c>
      <c r="H2337" t="str">
        <f t="shared" si="44"/>
        <v>SOCIAL SECURITY TAXES</v>
      </c>
    </row>
    <row r="2338" spans="5:8" x14ac:dyDescent="0.25">
      <c r="E2338" t="str">
        <f>""</f>
        <v/>
      </c>
      <c r="F2338" t="str">
        <f>""</f>
        <v/>
      </c>
      <c r="H2338" t="str">
        <f t="shared" si="44"/>
        <v>SOCIAL SECURITY TAXES</v>
      </c>
    </row>
    <row r="2339" spans="5:8" x14ac:dyDescent="0.25">
      <c r="E2339" t="str">
        <f>""</f>
        <v/>
      </c>
      <c r="F2339" t="str">
        <f>""</f>
        <v/>
      </c>
      <c r="H2339" t="str">
        <f t="shared" si="44"/>
        <v>SOCIAL SECURITY TAXES</v>
      </c>
    </row>
    <row r="2340" spans="5:8" x14ac:dyDescent="0.25">
      <c r="E2340" t="str">
        <f>""</f>
        <v/>
      </c>
      <c r="F2340" t="str">
        <f>""</f>
        <v/>
      </c>
      <c r="H2340" t="str">
        <f t="shared" si="44"/>
        <v>SOCIAL SECURITY TAXES</v>
      </c>
    </row>
    <row r="2341" spans="5:8" x14ac:dyDescent="0.25">
      <c r="E2341" t="str">
        <f>""</f>
        <v/>
      </c>
      <c r="F2341" t="str">
        <f>""</f>
        <v/>
      </c>
      <c r="H2341" t="str">
        <f t="shared" si="44"/>
        <v>SOCIAL SECURITY TAXES</v>
      </c>
    </row>
    <row r="2342" spans="5:8" x14ac:dyDescent="0.25">
      <c r="E2342" t="str">
        <f>""</f>
        <v/>
      </c>
      <c r="F2342" t="str">
        <f>""</f>
        <v/>
      </c>
      <c r="H2342" t="str">
        <f t="shared" si="44"/>
        <v>SOCIAL SECURITY TAXES</v>
      </c>
    </row>
    <row r="2343" spans="5:8" x14ac:dyDescent="0.25">
      <c r="E2343" t="str">
        <f>""</f>
        <v/>
      </c>
      <c r="F2343" t="str">
        <f>""</f>
        <v/>
      </c>
      <c r="H2343" t="str">
        <f t="shared" si="44"/>
        <v>SOCIAL SECURITY TAXES</v>
      </c>
    </row>
    <row r="2344" spans="5:8" x14ac:dyDescent="0.25">
      <c r="E2344" t="str">
        <f>""</f>
        <v/>
      </c>
      <c r="F2344" t="str">
        <f>""</f>
        <v/>
      </c>
      <c r="H2344" t="str">
        <f t="shared" si="44"/>
        <v>SOCIAL SECURITY TAXES</v>
      </c>
    </row>
    <row r="2345" spans="5:8" x14ac:dyDescent="0.25">
      <c r="E2345" t="str">
        <f>""</f>
        <v/>
      </c>
      <c r="F2345" t="str">
        <f>""</f>
        <v/>
      </c>
      <c r="H2345" t="str">
        <f t="shared" si="44"/>
        <v>SOCIAL SECURITY TAXES</v>
      </c>
    </row>
    <row r="2346" spans="5:8" x14ac:dyDescent="0.25">
      <c r="E2346" t="str">
        <f>""</f>
        <v/>
      </c>
      <c r="F2346" t="str">
        <f>""</f>
        <v/>
      </c>
      <c r="H2346" t="str">
        <f t="shared" si="44"/>
        <v>SOCIAL SECURITY TAXES</v>
      </c>
    </row>
    <row r="2347" spans="5:8" x14ac:dyDescent="0.25">
      <c r="E2347" t="str">
        <f>""</f>
        <v/>
      </c>
      <c r="F2347" t="str">
        <f>""</f>
        <v/>
      </c>
      <c r="H2347" t="str">
        <f t="shared" si="44"/>
        <v>SOCIAL SECURITY TAXES</v>
      </c>
    </row>
    <row r="2348" spans="5:8" x14ac:dyDescent="0.25">
      <c r="E2348" t="str">
        <f>""</f>
        <v/>
      </c>
      <c r="F2348" t="str">
        <f>""</f>
        <v/>
      </c>
      <c r="H2348" t="str">
        <f t="shared" si="44"/>
        <v>SOCIAL SECURITY TAXES</v>
      </c>
    </row>
    <row r="2349" spans="5:8" x14ac:dyDescent="0.25">
      <c r="E2349" t="str">
        <f>""</f>
        <v/>
      </c>
      <c r="F2349" t="str">
        <f>""</f>
        <v/>
      </c>
      <c r="H2349" t="str">
        <f t="shared" si="44"/>
        <v>SOCIAL SECURITY TAXES</v>
      </c>
    </row>
    <row r="2350" spans="5:8" x14ac:dyDescent="0.25">
      <c r="E2350" t="str">
        <f>""</f>
        <v/>
      </c>
      <c r="F2350" t="str">
        <f>""</f>
        <v/>
      </c>
      <c r="H2350" t="str">
        <f t="shared" si="44"/>
        <v>SOCIAL SECURITY TAXES</v>
      </c>
    </row>
    <row r="2351" spans="5:8" x14ac:dyDescent="0.25">
      <c r="E2351" t="str">
        <f>""</f>
        <v/>
      </c>
      <c r="F2351" t="str">
        <f>""</f>
        <v/>
      </c>
      <c r="H2351" t="str">
        <f t="shared" si="44"/>
        <v>SOCIAL SECURITY TAXES</v>
      </c>
    </row>
    <row r="2352" spans="5:8" x14ac:dyDescent="0.25">
      <c r="E2352" t="str">
        <f>""</f>
        <v/>
      </c>
      <c r="F2352" t="str">
        <f>""</f>
        <v/>
      </c>
      <c r="H2352" t="str">
        <f t="shared" si="44"/>
        <v>SOCIAL SECURITY TAXES</v>
      </c>
    </row>
    <row r="2353" spans="5:8" x14ac:dyDescent="0.25">
      <c r="E2353" t="str">
        <f>""</f>
        <v/>
      </c>
      <c r="F2353" t="str">
        <f>""</f>
        <v/>
      </c>
      <c r="H2353" t="str">
        <f t="shared" si="44"/>
        <v>SOCIAL SECURITY TAXES</v>
      </c>
    </row>
    <row r="2354" spans="5:8" x14ac:dyDescent="0.25">
      <c r="E2354" t="str">
        <f>""</f>
        <v/>
      </c>
      <c r="F2354" t="str">
        <f>""</f>
        <v/>
      </c>
      <c r="H2354" t="str">
        <f t="shared" si="44"/>
        <v>SOCIAL SECURITY TAXES</v>
      </c>
    </row>
    <row r="2355" spans="5:8" x14ac:dyDescent="0.25">
      <c r="E2355" t="str">
        <f>""</f>
        <v/>
      </c>
      <c r="F2355" t="str">
        <f>""</f>
        <v/>
      </c>
      <c r="H2355" t="str">
        <f t="shared" si="44"/>
        <v>SOCIAL SECURITY TAXES</v>
      </c>
    </row>
    <row r="2356" spans="5:8" x14ac:dyDescent="0.25">
      <c r="E2356" t="str">
        <f>""</f>
        <v/>
      </c>
      <c r="F2356" t="str">
        <f>""</f>
        <v/>
      </c>
      <c r="H2356" t="str">
        <f t="shared" si="44"/>
        <v>SOCIAL SECURITY TAXES</v>
      </c>
    </row>
    <row r="2357" spans="5:8" x14ac:dyDescent="0.25">
      <c r="E2357" t="str">
        <f>""</f>
        <v/>
      </c>
      <c r="F2357" t="str">
        <f>""</f>
        <v/>
      </c>
      <c r="H2357" t="str">
        <f t="shared" si="44"/>
        <v>SOCIAL SECURITY TAXES</v>
      </c>
    </row>
    <row r="2358" spans="5:8" x14ac:dyDescent="0.25">
      <c r="E2358" t="str">
        <f>""</f>
        <v/>
      </c>
      <c r="F2358" t="str">
        <f>""</f>
        <v/>
      </c>
      <c r="H2358" t="str">
        <f t="shared" si="44"/>
        <v>SOCIAL SECURITY TAXES</v>
      </c>
    </row>
    <row r="2359" spans="5:8" x14ac:dyDescent="0.25">
      <c r="E2359" t="str">
        <f>""</f>
        <v/>
      </c>
      <c r="F2359" t="str">
        <f>""</f>
        <v/>
      </c>
      <c r="H2359" t="str">
        <f t="shared" si="44"/>
        <v>SOCIAL SECURITY TAXES</v>
      </c>
    </row>
    <row r="2360" spans="5:8" x14ac:dyDescent="0.25">
      <c r="E2360" t="str">
        <f>""</f>
        <v/>
      </c>
      <c r="F2360" t="str">
        <f>""</f>
        <v/>
      </c>
      <c r="H2360" t="str">
        <f t="shared" ref="H2360:H2384" si="45">"SOCIAL SECURITY TAXES"</f>
        <v>SOCIAL SECURITY TAXES</v>
      </c>
    </row>
    <row r="2361" spans="5:8" x14ac:dyDescent="0.25">
      <c r="E2361" t="str">
        <f>""</f>
        <v/>
      </c>
      <c r="F2361" t="str">
        <f>""</f>
        <v/>
      </c>
      <c r="H2361" t="str">
        <f t="shared" si="45"/>
        <v>SOCIAL SECURITY TAXES</v>
      </c>
    </row>
    <row r="2362" spans="5:8" x14ac:dyDescent="0.25">
      <c r="E2362" t="str">
        <f>""</f>
        <v/>
      </c>
      <c r="F2362" t="str">
        <f>""</f>
        <v/>
      </c>
      <c r="H2362" t="str">
        <f t="shared" si="45"/>
        <v>SOCIAL SECURITY TAXES</v>
      </c>
    </row>
    <row r="2363" spans="5:8" x14ac:dyDescent="0.25">
      <c r="E2363" t="str">
        <f>""</f>
        <v/>
      </c>
      <c r="F2363" t="str">
        <f>""</f>
        <v/>
      </c>
      <c r="H2363" t="str">
        <f t="shared" si="45"/>
        <v>SOCIAL SECURITY TAXES</v>
      </c>
    </row>
    <row r="2364" spans="5:8" x14ac:dyDescent="0.25">
      <c r="E2364" t="str">
        <f>""</f>
        <v/>
      </c>
      <c r="F2364" t="str">
        <f>""</f>
        <v/>
      </c>
      <c r="H2364" t="str">
        <f t="shared" si="45"/>
        <v>SOCIAL SECURITY TAXES</v>
      </c>
    </row>
    <row r="2365" spans="5:8" x14ac:dyDescent="0.25">
      <c r="E2365" t="str">
        <f>""</f>
        <v/>
      </c>
      <c r="F2365" t="str">
        <f>""</f>
        <v/>
      </c>
      <c r="H2365" t="str">
        <f t="shared" si="45"/>
        <v>SOCIAL SECURITY TAXES</v>
      </c>
    </row>
    <row r="2366" spans="5:8" x14ac:dyDescent="0.25">
      <c r="E2366" t="str">
        <f>""</f>
        <v/>
      </c>
      <c r="F2366" t="str">
        <f>""</f>
        <v/>
      </c>
      <c r="H2366" t="str">
        <f t="shared" si="45"/>
        <v>SOCIAL SECURITY TAXES</v>
      </c>
    </row>
    <row r="2367" spans="5:8" x14ac:dyDescent="0.25">
      <c r="E2367" t="str">
        <f>""</f>
        <v/>
      </c>
      <c r="F2367" t="str">
        <f>""</f>
        <v/>
      </c>
      <c r="H2367" t="str">
        <f t="shared" si="45"/>
        <v>SOCIAL SECURITY TAXES</v>
      </c>
    </row>
    <row r="2368" spans="5:8" x14ac:dyDescent="0.25">
      <c r="E2368" t="str">
        <f>""</f>
        <v/>
      </c>
      <c r="F2368" t="str">
        <f>""</f>
        <v/>
      </c>
      <c r="H2368" t="str">
        <f t="shared" si="45"/>
        <v>SOCIAL SECURITY TAXES</v>
      </c>
    </row>
    <row r="2369" spans="5:8" x14ac:dyDescent="0.25">
      <c r="E2369" t="str">
        <f>""</f>
        <v/>
      </c>
      <c r="F2369" t="str">
        <f>""</f>
        <v/>
      </c>
      <c r="H2369" t="str">
        <f t="shared" si="45"/>
        <v>SOCIAL SECURITY TAXES</v>
      </c>
    </row>
    <row r="2370" spans="5:8" x14ac:dyDescent="0.25">
      <c r="E2370" t="str">
        <f>""</f>
        <v/>
      </c>
      <c r="F2370" t="str">
        <f>""</f>
        <v/>
      </c>
      <c r="H2370" t="str">
        <f t="shared" si="45"/>
        <v>SOCIAL SECURITY TAXES</v>
      </c>
    </row>
    <row r="2371" spans="5:8" x14ac:dyDescent="0.25">
      <c r="E2371" t="str">
        <f>""</f>
        <v/>
      </c>
      <c r="F2371" t="str">
        <f>""</f>
        <v/>
      </c>
      <c r="H2371" t="str">
        <f t="shared" si="45"/>
        <v>SOCIAL SECURITY TAXES</v>
      </c>
    </row>
    <row r="2372" spans="5:8" x14ac:dyDescent="0.25">
      <c r="E2372" t="str">
        <f>""</f>
        <v/>
      </c>
      <c r="F2372" t="str">
        <f>""</f>
        <v/>
      </c>
      <c r="H2372" t="str">
        <f t="shared" si="45"/>
        <v>SOCIAL SECURITY TAXES</v>
      </c>
    </row>
    <row r="2373" spans="5:8" x14ac:dyDescent="0.25">
      <c r="E2373" t="str">
        <f>""</f>
        <v/>
      </c>
      <c r="F2373" t="str">
        <f>""</f>
        <v/>
      </c>
      <c r="H2373" t="str">
        <f t="shared" si="45"/>
        <v>SOCIAL SECURITY TAXES</v>
      </c>
    </row>
    <row r="2374" spans="5:8" x14ac:dyDescent="0.25">
      <c r="E2374" t="str">
        <f>""</f>
        <v/>
      </c>
      <c r="F2374" t="str">
        <f>""</f>
        <v/>
      </c>
      <c r="H2374" t="str">
        <f t="shared" si="45"/>
        <v>SOCIAL SECURITY TAXES</v>
      </c>
    </row>
    <row r="2375" spans="5:8" x14ac:dyDescent="0.25">
      <c r="E2375" t="str">
        <f>""</f>
        <v/>
      </c>
      <c r="F2375" t="str">
        <f>""</f>
        <v/>
      </c>
      <c r="H2375" t="str">
        <f t="shared" si="45"/>
        <v>SOCIAL SECURITY TAXES</v>
      </c>
    </row>
    <row r="2376" spans="5:8" x14ac:dyDescent="0.25">
      <c r="E2376" t="str">
        <f>""</f>
        <v/>
      </c>
      <c r="F2376" t="str">
        <f>""</f>
        <v/>
      </c>
      <c r="H2376" t="str">
        <f t="shared" si="45"/>
        <v>SOCIAL SECURITY TAXES</v>
      </c>
    </row>
    <row r="2377" spans="5:8" x14ac:dyDescent="0.25">
      <c r="E2377" t="str">
        <f>""</f>
        <v/>
      </c>
      <c r="F2377" t="str">
        <f>""</f>
        <v/>
      </c>
      <c r="H2377" t="str">
        <f t="shared" si="45"/>
        <v>SOCIAL SECURITY TAXES</v>
      </c>
    </row>
    <row r="2378" spans="5:8" x14ac:dyDescent="0.25">
      <c r="E2378" t="str">
        <f>""</f>
        <v/>
      </c>
      <c r="F2378" t="str">
        <f>""</f>
        <v/>
      </c>
      <c r="H2378" t="str">
        <f t="shared" si="45"/>
        <v>SOCIAL SECURITY TAXES</v>
      </c>
    </row>
    <row r="2379" spans="5:8" x14ac:dyDescent="0.25">
      <c r="E2379" t="str">
        <f>""</f>
        <v/>
      </c>
      <c r="F2379" t="str">
        <f>""</f>
        <v/>
      </c>
      <c r="H2379" t="str">
        <f t="shared" si="45"/>
        <v>SOCIAL SECURITY TAXES</v>
      </c>
    </row>
    <row r="2380" spans="5:8" x14ac:dyDescent="0.25">
      <c r="E2380" t="str">
        <f>""</f>
        <v/>
      </c>
      <c r="F2380" t="str">
        <f>""</f>
        <v/>
      </c>
      <c r="H2380" t="str">
        <f t="shared" si="45"/>
        <v>SOCIAL SECURITY TAXES</v>
      </c>
    </row>
    <row r="2381" spans="5:8" x14ac:dyDescent="0.25">
      <c r="E2381" t="str">
        <f>"T3 201911133213"</f>
        <v>T3 201911133213</v>
      </c>
      <c r="F2381" t="str">
        <f>"SOCIAL SECURITY TAXES"</f>
        <v>SOCIAL SECURITY TAXES</v>
      </c>
      <c r="G2381" s="2">
        <v>4387.96</v>
      </c>
      <c r="H2381" t="str">
        <f t="shared" si="45"/>
        <v>SOCIAL SECURITY TAXES</v>
      </c>
    </row>
    <row r="2382" spans="5:8" x14ac:dyDescent="0.25">
      <c r="E2382" t="str">
        <f>""</f>
        <v/>
      </c>
      <c r="F2382" t="str">
        <f>""</f>
        <v/>
      </c>
      <c r="H2382" t="str">
        <f t="shared" si="45"/>
        <v>SOCIAL SECURITY TAXES</v>
      </c>
    </row>
    <row r="2383" spans="5:8" x14ac:dyDescent="0.25">
      <c r="E2383" t="str">
        <f>"T3 201911133214"</f>
        <v>T3 201911133214</v>
      </c>
      <c r="F2383" t="str">
        <f>"SOCIAL SECURITY TAXES"</f>
        <v>SOCIAL SECURITY TAXES</v>
      </c>
      <c r="G2383" s="2">
        <v>4996.0200000000004</v>
      </c>
      <c r="H2383" t="str">
        <f t="shared" si="45"/>
        <v>SOCIAL SECURITY TAXES</v>
      </c>
    </row>
    <row r="2384" spans="5:8" x14ac:dyDescent="0.25">
      <c r="E2384" t="str">
        <f>""</f>
        <v/>
      </c>
      <c r="F2384" t="str">
        <f>""</f>
        <v/>
      </c>
      <c r="H2384" t="str">
        <f t="shared" si="45"/>
        <v>SOCIAL SECURITY TAXES</v>
      </c>
    </row>
    <row r="2385" spans="5:8" x14ac:dyDescent="0.25">
      <c r="E2385" t="str">
        <f>"T4 201911133212"</f>
        <v>T4 201911133212</v>
      </c>
      <c r="F2385" t="str">
        <f>"MEDICARE TAXES"</f>
        <v>MEDICARE TAXES</v>
      </c>
      <c r="G2385" s="2">
        <v>27106.959999999999</v>
      </c>
      <c r="H2385" t="str">
        <f t="shared" ref="H2385:H2416" si="46">"MEDICARE TAXES"</f>
        <v>MEDICARE TAXES</v>
      </c>
    </row>
    <row r="2386" spans="5:8" x14ac:dyDescent="0.25">
      <c r="E2386" t="str">
        <f>""</f>
        <v/>
      </c>
      <c r="F2386" t="str">
        <f>""</f>
        <v/>
      </c>
      <c r="H2386" t="str">
        <f t="shared" si="46"/>
        <v>MEDICARE TAXES</v>
      </c>
    </row>
    <row r="2387" spans="5:8" x14ac:dyDescent="0.25">
      <c r="E2387" t="str">
        <f>""</f>
        <v/>
      </c>
      <c r="F2387" t="str">
        <f>""</f>
        <v/>
      </c>
      <c r="H2387" t="str">
        <f t="shared" si="46"/>
        <v>MEDICARE TAXES</v>
      </c>
    </row>
    <row r="2388" spans="5:8" x14ac:dyDescent="0.25">
      <c r="E2388" t="str">
        <f>""</f>
        <v/>
      </c>
      <c r="F2388" t="str">
        <f>""</f>
        <v/>
      </c>
      <c r="H2388" t="str">
        <f t="shared" si="46"/>
        <v>MEDICARE TAXES</v>
      </c>
    </row>
    <row r="2389" spans="5:8" x14ac:dyDescent="0.25">
      <c r="E2389" t="str">
        <f>""</f>
        <v/>
      </c>
      <c r="F2389" t="str">
        <f>""</f>
        <v/>
      </c>
      <c r="H2389" t="str">
        <f t="shared" si="46"/>
        <v>MEDICARE TAXES</v>
      </c>
    </row>
    <row r="2390" spans="5:8" x14ac:dyDescent="0.25">
      <c r="E2390" t="str">
        <f>""</f>
        <v/>
      </c>
      <c r="F2390" t="str">
        <f>""</f>
        <v/>
      </c>
      <c r="H2390" t="str">
        <f t="shared" si="46"/>
        <v>MEDICARE TAXES</v>
      </c>
    </row>
    <row r="2391" spans="5:8" x14ac:dyDescent="0.25">
      <c r="E2391" t="str">
        <f>""</f>
        <v/>
      </c>
      <c r="F2391" t="str">
        <f>""</f>
        <v/>
      </c>
      <c r="H2391" t="str">
        <f t="shared" si="46"/>
        <v>MEDICARE TAXES</v>
      </c>
    </row>
    <row r="2392" spans="5:8" x14ac:dyDescent="0.25">
      <c r="E2392" t="str">
        <f>""</f>
        <v/>
      </c>
      <c r="F2392" t="str">
        <f>""</f>
        <v/>
      </c>
      <c r="H2392" t="str">
        <f t="shared" si="46"/>
        <v>MEDICARE TAXES</v>
      </c>
    </row>
    <row r="2393" spans="5:8" x14ac:dyDescent="0.25">
      <c r="E2393" t="str">
        <f>""</f>
        <v/>
      </c>
      <c r="F2393" t="str">
        <f>""</f>
        <v/>
      </c>
      <c r="H2393" t="str">
        <f t="shared" si="46"/>
        <v>MEDICARE TAXES</v>
      </c>
    </row>
    <row r="2394" spans="5:8" x14ac:dyDescent="0.25">
      <c r="E2394" t="str">
        <f>""</f>
        <v/>
      </c>
      <c r="F2394" t="str">
        <f>""</f>
        <v/>
      </c>
      <c r="H2394" t="str">
        <f t="shared" si="46"/>
        <v>MEDICARE TAXES</v>
      </c>
    </row>
    <row r="2395" spans="5:8" x14ac:dyDescent="0.25">
      <c r="E2395" t="str">
        <f>""</f>
        <v/>
      </c>
      <c r="F2395" t="str">
        <f>""</f>
        <v/>
      </c>
      <c r="H2395" t="str">
        <f t="shared" si="46"/>
        <v>MEDICARE TAXES</v>
      </c>
    </row>
    <row r="2396" spans="5:8" x14ac:dyDescent="0.25">
      <c r="E2396" t="str">
        <f>""</f>
        <v/>
      </c>
      <c r="F2396" t="str">
        <f>""</f>
        <v/>
      </c>
      <c r="H2396" t="str">
        <f t="shared" si="46"/>
        <v>MEDICARE TAXES</v>
      </c>
    </row>
    <row r="2397" spans="5:8" x14ac:dyDescent="0.25">
      <c r="E2397" t="str">
        <f>""</f>
        <v/>
      </c>
      <c r="F2397" t="str">
        <f>""</f>
        <v/>
      </c>
      <c r="H2397" t="str">
        <f t="shared" si="46"/>
        <v>MEDICARE TAXES</v>
      </c>
    </row>
    <row r="2398" spans="5:8" x14ac:dyDescent="0.25">
      <c r="E2398" t="str">
        <f>""</f>
        <v/>
      </c>
      <c r="F2398" t="str">
        <f>""</f>
        <v/>
      </c>
      <c r="H2398" t="str">
        <f t="shared" si="46"/>
        <v>MEDICARE TAXES</v>
      </c>
    </row>
    <row r="2399" spans="5:8" x14ac:dyDescent="0.25">
      <c r="E2399" t="str">
        <f>""</f>
        <v/>
      </c>
      <c r="F2399" t="str">
        <f>""</f>
        <v/>
      </c>
      <c r="H2399" t="str">
        <f t="shared" si="46"/>
        <v>MEDICARE TAXES</v>
      </c>
    </row>
    <row r="2400" spans="5:8" x14ac:dyDescent="0.25">
      <c r="E2400" t="str">
        <f>""</f>
        <v/>
      </c>
      <c r="F2400" t="str">
        <f>""</f>
        <v/>
      </c>
      <c r="H2400" t="str">
        <f t="shared" si="46"/>
        <v>MEDICARE TAXES</v>
      </c>
    </row>
    <row r="2401" spans="5:8" x14ac:dyDescent="0.25">
      <c r="E2401" t="str">
        <f>""</f>
        <v/>
      </c>
      <c r="F2401" t="str">
        <f>""</f>
        <v/>
      </c>
      <c r="H2401" t="str">
        <f t="shared" si="46"/>
        <v>MEDICARE TAXES</v>
      </c>
    </row>
    <row r="2402" spans="5:8" x14ac:dyDescent="0.25">
      <c r="E2402" t="str">
        <f>""</f>
        <v/>
      </c>
      <c r="F2402" t="str">
        <f>""</f>
        <v/>
      </c>
      <c r="H2402" t="str">
        <f t="shared" si="46"/>
        <v>MEDICARE TAXES</v>
      </c>
    </row>
    <row r="2403" spans="5:8" x14ac:dyDescent="0.25">
      <c r="E2403" t="str">
        <f>""</f>
        <v/>
      </c>
      <c r="F2403" t="str">
        <f>""</f>
        <v/>
      </c>
      <c r="H2403" t="str">
        <f t="shared" si="46"/>
        <v>MEDICARE TAXES</v>
      </c>
    </row>
    <row r="2404" spans="5:8" x14ac:dyDescent="0.25">
      <c r="E2404" t="str">
        <f>""</f>
        <v/>
      </c>
      <c r="F2404" t="str">
        <f>""</f>
        <v/>
      </c>
      <c r="H2404" t="str">
        <f t="shared" si="46"/>
        <v>MEDICARE TAXES</v>
      </c>
    </row>
    <row r="2405" spans="5:8" x14ac:dyDescent="0.25">
      <c r="E2405" t="str">
        <f>""</f>
        <v/>
      </c>
      <c r="F2405" t="str">
        <f>""</f>
        <v/>
      </c>
      <c r="H2405" t="str">
        <f t="shared" si="46"/>
        <v>MEDICARE TAXES</v>
      </c>
    </row>
    <row r="2406" spans="5:8" x14ac:dyDescent="0.25">
      <c r="E2406" t="str">
        <f>""</f>
        <v/>
      </c>
      <c r="F2406" t="str">
        <f>""</f>
        <v/>
      </c>
      <c r="H2406" t="str">
        <f t="shared" si="46"/>
        <v>MEDICARE TAXES</v>
      </c>
    </row>
    <row r="2407" spans="5:8" x14ac:dyDescent="0.25">
      <c r="E2407" t="str">
        <f>""</f>
        <v/>
      </c>
      <c r="F2407" t="str">
        <f>""</f>
        <v/>
      </c>
      <c r="H2407" t="str">
        <f t="shared" si="46"/>
        <v>MEDICARE TAXES</v>
      </c>
    </row>
    <row r="2408" spans="5:8" x14ac:dyDescent="0.25">
      <c r="E2408" t="str">
        <f>""</f>
        <v/>
      </c>
      <c r="F2408" t="str">
        <f>""</f>
        <v/>
      </c>
      <c r="H2408" t="str">
        <f t="shared" si="46"/>
        <v>MEDICARE TAXES</v>
      </c>
    </row>
    <row r="2409" spans="5:8" x14ac:dyDescent="0.25">
      <c r="E2409" t="str">
        <f>""</f>
        <v/>
      </c>
      <c r="F2409" t="str">
        <f>""</f>
        <v/>
      </c>
      <c r="H2409" t="str">
        <f t="shared" si="46"/>
        <v>MEDICARE TAXES</v>
      </c>
    </row>
    <row r="2410" spans="5:8" x14ac:dyDescent="0.25">
      <c r="E2410" t="str">
        <f>""</f>
        <v/>
      </c>
      <c r="F2410" t="str">
        <f>""</f>
        <v/>
      </c>
      <c r="H2410" t="str">
        <f t="shared" si="46"/>
        <v>MEDICARE TAXES</v>
      </c>
    </row>
    <row r="2411" spans="5:8" x14ac:dyDescent="0.25">
      <c r="E2411" t="str">
        <f>""</f>
        <v/>
      </c>
      <c r="F2411" t="str">
        <f>""</f>
        <v/>
      </c>
      <c r="H2411" t="str">
        <f t="shared" si="46"/>
        <v>MEDICARE TAXES</v>
      </c>
    </row>
    <row r="2412" spans="5:8" x14ac:dyDescent="0.25">
      <c r="E2412" t="str">
        <f>""</f>
        <v/>
      </c>
      <c r="F2412" t="str">
        <f>""</f>
        <v/>
      </c>
      <c r="H2412" t="str">
        <f t="shared" si="46"/>
        <v>MEDICARE TAXES</v>
      </c>
    </row>
    <row r="2413" spans="5:8" x14ac:dyDescent="0.25">
      <c r="E2413" t="str">
        <f>""</f>
        <v/>
      </c>
      <c r="F2413" t="str">
        <f>""</f>
        <v/>
      </c>
      <c r="H2413" t="str">
        <f t="shared" si="46"/>
        <v>MEDICARE TAXES</v>
      </c>
    </row>
    <row r="2414" spans="5:8" x14ac:dyDescent="0.25">
      <c r="E2414" t="str">
        <f>""</f>
        <v/>
      </c>
      <c r="F2414" t="str">
        <f>""</f>
        <v/>
      </c>
      <c r="H2414" t="str">
        <f t="shared" si="46"/>
        <v>MEDICARE TAXES</v>
      </c>
    </row>
    <row r="2415" spans="5:8" x14ac:dyDescent="0.25">
      <c r="E2415" t="str">
        <f>""</f>
        <v/>
      </c>
      <c r="F2415" t="str">
        <f>""</f>
        <v/>
      </c>
      <c r="H2415" t="str">
        <f t="shared" si="46"/>
        <v>MEDICARE TAXES</v>
      </c>
    </row>
    <row r="2416" spans="5:8" x14ac:dyDescent="0.25">
      <c r="E2416" t="str">
        <f>""</f>
        <v/>
      </c>
      <c r="F2416" t="str">
        <f>""</f>
        <v/>
      </c>
      <c r="H2416" t="str">
        <f t="shared" si="46"/>
        <v>MEDICARE TAXES</v>
      </c>
    </row>
    <row r="2417" spans="5:8" x14ac:dyDescent="0.25">
      <c r="E2417" t="str">
        <f>""</f>
        <v/>
      </c>
      <c r="F2417" t="str">
        <f>""</f>
        <v/>
      </c>
      <c r="H2417" t="str">
        <f t="shared" ref="H2417:H2441" si="47">"MEDICARE TAXES"</f>
        <v>MEDICARE TAXES</v>
      </c>
    </row>
    <row r="2418" spans="5:8" x14ac:dyDescent="0.25">
      <c r="E2418" t="str">
        <f>""</f>
        <v/>
      </c>
      <c r="F2418" t="str">
        <f>""</f>
        <v/>
      </c>
      <c r="H2418" t="str">
        <f t="shared" si="47"/>
        <v>MEDICARE TAXES</v>
      </c>
    </row>
    <row r="2419" spans="5:8" x14ac:dyDescent="0.25">
      <c r="E2419" t="str">
        <f>""</f>
        <v/>
      </c>
      <c r="F2419" t="str">
        <f>""</f>
        <v/>
      </c>
      <c r="H2419" t="str">
        <f t="shared" si="47"/>
        <v>MEDICARE TAXES</v>
      </c>
    </row>
    <row r="2420" spans="5:8" x14ac:dyDescent="0.25">
      <c r="E2420" t="str">
        <f>""</f>
        <v/>
      </c>
      <c r="F2420" t="str">
        <f>""</f>
        <v/>
      </c>
      <c r="H2420" t="str">
        <f t="shared" si="47"/>
        <v>MEDICARE TAXES</v>
      </c>
    </row>
    <row r="2421" spans="5:8" x14ac:dyDescent="0.25">
      <c r="E2421" t="str">
        <f>""</f>
        <v/>
      </c>
      <c r="F2421" t="str">
        <f>""</f>
        <v/>
      </c>
      <c r="H2421" t="str">
        <f t="shared" si="47"/>
        <v>MEDICARE TAXES</v>
      </c>
    </row>
    <row r="2422" spans="5:8" x14ac:dyDescent="0.25">
      <c r="E2422" t="str">
        <f>""</f>
        <v/>
      </c>
      <c r="F2422" t="str">
        <f>""</f>
        <v/>
      </c>
      <c r="H2422" t="str">
        <f t="shared" si="47"/>
        <v>MEDICARE TAXES</v>
      </c>
    </row>
    <row r="2423" spans="5:8" x14ac:dyDescent="0.25">
      <c r="E2423" t="str">
        <f>""</f>
        <v/>
      </c>
      <c r="F2423" t="str">
        <f>""</f>
        <v/>
      </c>
      <c r="H2423" t="str">
        <f t="shared" si="47"/>
        <v>MEDICARE TAXES</v>
      </c>
    </row>
    <row r="2424" spans="5:8" x14ac:dyDescent="0.25">
      <c r="E2424" t="str">
        <f>""</f>
        <v/>
      </c>
      <c r="F2424" t="str">
        <f>""</f>
        <v/>
      </c>
      <c r="H2424" t="str">
        <f t="shared" si="47"/>
        <v>MEDICARE TAXES</v>
      </c>
    </row>
    <row r="2425" spans="5:8" x14ac:dyDescent="0.25">
      <c r="E2425" t="str">
        <f>""</f>
        <v/>
      </c>
      <c r="F2425" t="str">
        <f>""</f>
        <v/>
      </c>
      <c r="H2425" t="str">
        <f t="shared" si="47"/>
        <v>MEDICARE TAXES</v>
      </c>
    </row>
    <row r="2426" spans="5:8" x14ac:dyDescent="0.25">
      <c r="E2426" t="str">
        <f>""</f>
        <v/>
      </c>
      <c r="F2426" t="str">
        <f>""</f>
        <v/>
      </c>
      <c r="H2426" t="str">
        <f t="shared" si="47"/>
        <v>MEDICARE TAXES</v>
      </c>
    </row>
    <row r="2427" spans="5:8" x14ac:dyDescent="0.25">
      <c r="E2427" t="str">
        <f>""</f>
        <v/>
      </c>
      <c r="F2427" t="str">
        <f>""</f>
        <v/>
      </c>
      <c r="H2427" t="str">
        <f t="shared" si="47"/>
        <v>MEDICARE TAXES</v>
      </c>
    </row>
    <row r="2428" spans="5:8" x14ac:dyDescent="0.25">
      <c r="E2428" t="str">
        <f>""</f>
        <v/>
      </c>
      <c r="F2428" t="str">
        <f>""</f>
        <v/>
      </c>
      <c r="H2428" t="str">
        <f t="shared" si="47"/>
        <v>MEDICARE TAXES</v>
      </c>
    </row>
    <row r="2429" spans="5:8" x14ac:dyDescent="0.25">
      <c r="E2429" t="str">
        <f>""</f>
        <v/>
      </c>
      <c r="F2429" t="str">
        <f>""</f>
        <v/>
      </c>
      <c r="H2429" t="str">
        <f t="shared" si="47"/>
        <v>MEDICARE TAXES</v>
      </c>
    </row>
    <row r="2430" spans="5:8" x14ac:dyDescent="0.25">
      <c r="E2430" t="str">
        <f>""</f>
        <v/>
      </c>
      <c r="F2430" t="str">
        <f>""</f>
        <v/>
      </c>
      <c r="H2430" t="str">
        <f t="shared" si="47"/>
        <v>MEDICARE TAXES</v>
      </c>
    </row>
    <row r="2431" spans="5:8" x14ac:dyDescent="0.25">
      <c r="E2431" t="str">
        <f>""</f>
        <v/>
      </c>
      <c r="F2431" t="str">
        <f>""</f>
        <v/>
      </c>
      <c r="H2431" t="str">
        <f t="shared" si="47"/>
        <v>MEDICARE TAXES</v>
      </c>
    </row>
    <row r="2432" spans="5:8" x14ac:dyDescent="0.25">
      <c r="E2432" t="str">
        <f>""</f>
        <v/>
      </c>
      <c r="F2432" t="str">
        <f>""</f>
        <v/>
      </c>
      <c r="H2432" t="str">
        <f t="shared" si="47"/>
        <v>MEDICARE TAXES</v>
      </c>
    </row>
    <row r="2433" spans="1:8" x14ac:dyDescent="0.25">
      <c r="E2433" t="str">
        <f>""</f>
        <v/>
      </c>
      <c r="F2433" t="str">
        <f>""</f>
        <v/>
      </c>
      <c r="H2433" t="str">
        <f t="shared" si="47"/>
        <v>MEDICARE TAXES</v>
      </c>
    </row>
    <row r="2434" spans="1:8" x14ac:dyDescent="0.25">
      <c r="E2434" t="str">
        <f>""</f>
        <v/>
      </c>
      <c r="F2434" t="str">
        <f>""</f>
        <v/>
      </c>
      <c r="H2434" t="str">
        <f t="shared" si="47"/>
        <v>MEDICARE TAXES</v>
      </c>
    </row>
    <row r="2435" spans="1:8" x14ac:dyDescent="0.25">
      <c r="E2435" t="str">
        <f>""</f>
        <v/>
      </c>
      <c r="F2435" t="str">
        <f>""</f>
        <v/>
      </c>
      <c r="H2435" t="str">
        <f t="shared" si="47"/>
        <v>MEDICARE TAXES</v>
      </c>
    </row>
    <row r="2436" spans="1:8" x14ac:dyDescent="0.25">
      <c r="E2436" t="str">
        <f>""</f>
        <v/>
      </c>
      <c r="F2436" t="str">
        <f>""</f>
        <v/>
      </c>
      <c r="H2436" t="str">
        <f t="shared" si="47"/>
        <v>MEDICARE TAXES</v>
      </c>
    </row>
    <row r="2437" spans="1:8" x14ac:dyDescent="0.25">
      <c r="E2437" t="str">
        <f>""</f>
        <v/>
      </c>
      <c r="F2437" t="str">
        <f>""</f>
        <v/>
      </c>
      <c r="H2437" t="str">
        <f t="shared" si="47"/>
        <v>MEDICARE TAXES</v>
      </c>
    </row>
    <row r="2438" spans="1:8" x14ac:dyDescent="0.25">
      <c r="E2438" t="str">
        <f>"T4 201911133213"</f>
        <v>T4 201911133213</v>
      </c>
      <c r="F2438" t="str">
        <f>"MEDICARE TAXES"</f>
        <v>MEDICARE TAXES</v>
      </c>
      <c r="G2438" s="2">
        <v>1026.24</v>
      </c>
      <c r="H2438" t="str">
        <f t="shared" si="47"/>
        <v>MEDICARE TAXES</v>
      </c>
    </row>
    <row r="2439" spans="1:8" x14ac:dyDescent="0.25">
      <c r="E2439" t="str">
        <f>""</f>
        <v/>
      </c>
      <c r="F2439" t="str">
        <f>""</f>
        <v/>
      </c>
      <c r="H2439" t="str">
        <f t="shared" si="47"/>
        <v>MEDICARE TAXES</v>
      </c>
    </row>
    <row r="2440" spans="1:8" x14ac:dyDescent="0.25">
      <c r="E2440" t="str">
        <f>"T4 201911133214"</f>
        <v>T4 201911133214</v>
      </c>
      <c r="F2440" t="str">
        <f>"MEDICARE TAXES"</f>
        <v>MEDICARE TAXES</v>
      </c>
      <c r="G2440" s="2">
        <v>1168.4000000000001</v>
      </c>
      <c r="H2440" t="str">
        <f t="shared" si="47"/>
        <v>MEDICARE TAXES</v>
      </c>
    </row>
    <row r="2441" spans="1:8" x14ac:dyDescent="0.25">
      <c r="E2441" t="str">
        <f>""</f>
        <v/>
      </c>
      <c r="F2441" t="str">
        <f>""</f>
        <v/>
      </c>
      <c r="H2441" t="str">
        <f t="shared" si="47"/>
        <v>MEDICARE TAXES</v>
      </c>
    </row>
    <row r="2442" spans="1:8" x14ac:dyDescent="0.25">
      <c r="A2442" t="s">
        <v>454</v>
      </c>
      <c r="B2442">
        <v>274</v>
      </c>
      <c r="C2442" s="2">
        <v>144127.57999999999</v>
      </c>
      <c r="D2442" s="1">
        <v>43790</v>
      </c>
      <c r="E2442" t="str">
        <f>"T1 201911193387"</f>
        <v>T1 201911193387</v>
      </c>
      <c r="F2442" t="str">
        <f>"FEDERAL WITHHOLDING"</f>
        <v>FEDERAL WITHHOLDING</v>
      </c>
      <c r="G2442" s="2">
        <v>53915.97</v>
      </c>
      <c r="H2442" t="str">
        <f>"FEDERAL WITHHOLDING"</f>
        <v>FEDERAL WITHHOLDING</v>
      </c>
    </row>
    <row r="2443" spans="1:8" x14ac:dyDescent="0.25">
      <c r="E2443" t="str">
        <f>"T1 201911193390"</f>
        <v>T1 201911193390</v>
      </c>
      <c r="F2443" t="str">
        <f>"FEDERAL WITHHOLDING"</f>
        <v>FEDERAL WITHHOLDING</v>
      </c>
      <c r="G2443" s="2">
        <v>2443.7399999999998</v>
      </c>
      <c r="H2443" t="str">
        <f>"FEDERAL WITHHOLDING"</f>
        <v>FEDERAL WITHHOLDING</v>
      </c>
    </row>
    <row r="2444" spans="1:8" x14ac:dyDescent="0.25">
      <c r="E2444" t="str">
        <f>"T1 201911193394"</f>
        <v>T1 201911193394</v>
      </c>
      <c r="F2444" t="str">
        <f>"FEDERAL WITHHOLDING"</f>
        <v>FEDERAL WITHHOLDING</v>
      </c>
      <c r="G2444" s="2">
        <v>1756.45</v>
      </c>
      <c r="H2444" t="str">
        <f>"FEDERAL WITHHOLDING"</f>
        <v>FEDERAL WITHHOLDING</v>
      </c>
    </row>
    <row r="2445" spans="1:8" x14ac:dyDescent="0.25">
      <c r="E2445" t="str">
        <f>"T3 201911193387"</f>
        <v>T3 201911193387</v>
      </c>
      <c r="F2445" t="str">
        <f>"SOCIAL SECURITY TAXES"</f>
        <v>SOCIAL SECURITY TAXES</v>
      </c>
      <c r="G2445" s="2">
        <v>63702.12</v>
      </c>
      <c r="H2445" t="str">
        <f t="shared" ref="H2445:H2491" si="48">"SOCIAL SECURITY TAXES"</f>
        <v>SOCIAL SECURITY TAXES</v>
      </c>
    </row>
    <row r="2446" spans="1:8" x14ac:dyDescent="0.25">
      <c r="E2446" t="str">
        <f>""</f>
        <v/>
      </c>
      <c r="F2446" t="str">
        <f>""</f>
        <v/>
      </c>
      <c r="H2446" t="str">
        <f t="shared" si="48"/>
        <v>SOCIAL SECURITY TAXES</v>
      </c>
    </row>
    <row r="2447" spans="1:8" x14ac:dyDescent="0.25">
      <c r="E2447" t="str">
        <f>""</f>
        <v/>
      </c>
      <c r="F2447" t="str">
        <f>""</f>
        <v/>
      </c>
      <c r="H2447" t="str">
        <f t="shared" si="48"/>
        <v>SOCIAL SECURITY TAXES</v>
      </c>
    </row>
    <row r="2448" spans="1:8" x14ac:dyDescent="0.25">
      <c r="E2448" t="str">
        <f>""</f>
        <v/>
      </c>
      <c r="F2448" t="str">
        <f>""</f>
        <v/>
      </c>
      <c r="H2448" t="str">
        <f t="shared" si="48"/>
        <v>SOCIAL SECURITY TAXES</v>
      </c>
    </row>
    <row r="2449" spans="5:8" x14ac:dyDescent="0.25">
      <c r="E2449" t="str">
        <f>""</f>
        <v/>
      </c>
      <c r="F2449" t="str">
        <f>""</f>
        <v/>
      </c>
      <c r="H2449" t="str">
        <f t="shared" si="48"/>
        <v>SOCIAL SECURITY TAXES</v>
      </c>
    </row>
    <row r="2450" spans="5:8" x14ac:dyDescent="0.25">
      <c r="E2450" t="str">
        <f>""</f>
        <v/>
      </c>
      <c r="F2450" t="str">
        <f>""</f>
        <v/>
      </c>
      <c r="H2450" t="str">
        <f t="shared" si="48"/>
        <v>SOCIAL SECURITY TAXES</v>
      </c>
    </row>
    <row r="2451" spans="5:8" x14ac:dyDescent="0.25">
      <c r="E2451" t="str">
        <f>""</f>
        <v/>
      </c>
      <c r="F2451" t="str">
        <f>""</f>
        <v/>
      </c>
      <c r="H2451" t="str">
        <f t="shared" si="48"/>
        <v>SOCIAL SECURITY TAXES</v>
      </c>
    </row>
    <row r="2452" spans="5:8" x14ac:dyDescent="0.25">
      <c r="E2452" t="str">
        <f>""</f>
        <v/>
      </c>
      <c r="F2452" t="str">
        <f>""</f>
        <v/>
      </c>
      <c r="H2452" t="str">
        <f t="shared" si="48"/>
        <v>SOCIAL SECURITY TAXES</v>
      </c>
    </row>
    <row r="2453" spans="5:8" x14ac:dyDescent="0.25">
      <c r="E2453" t="str">
        <f>""</f>
        <v/>
      </c>
      <c r="F2453" t="str">
        <f>""</f>
        <v/>
      </c>
      <c r="H2453" t="str">
        <f t="shared" si="48"/>
        <v>SOCIAL SECURITY TAXES</v>
      </c>
    </row>
    <row r="2454" spans="5:8" x14ac:dyDescent="0.25">
      <c r="E2454" t="str">
        <f>""</f>
        <v/>
      </c>
      <c r="F2454" t="str">
        <f>""</f>
        <v/>
      </c>
      <c r="H2454" t="str">
        <f t="shared" si="48"/>
        <v>SOCIAL SECURITY TAXES</v>
      </c>
    </row>
    <row r="2455" spans="5:8" x14ac:dyDescent="0.25">
      <c r="E2455" t="str">
        <f>""</f>
        <v/>
      </c>
      <c r="F2455" t="str">
        <f>""</f>
        <v/>
      </c>
      <c r="H2455" t="str">
        <f t="shared" si="48"/>
        <v>SOCIAL SECURITY TAXES</v>
      </c>
    </row>
    <row r="2456" spans="5:8" x14ac:dyDescent="0.25">
      <c r="E2456" t="str">
        <f>""</f>
        <v/>
      </c>
      <c r="F2456" t="str">
        <f>""</f>
        <v/>
      </c>
      <c r="H2456" t="str">
        <f t="shared" si="48"/>
        <v>SOCIAL SECURITY TAXES</v>
      </c>
    </row>
    <row r="2457" spans="5:8" x14ac:dyDescent="0.25">
      <c r="E2457" t="str">
        <f>""</f>
        <v/>
      </c>
      <c r="F2457" t="str">
        <f>""</f>
        <v/>
      </c>
      <c r="H2457" t="str">
        <f t="shared" si="48"/>
        <v>SOCIAL SECURITY TAXES</v>
      </c>
    </row>
    <row r="2458" spans="5:8" x14ac:dyDescent="0.25">
      <c r="E2458" t="str">
        <f>""</f>
        <v/>
      </c>
      <c r="F2458" t="str">
        <f>""</f>
        <v/>
      </c>
      <c r="H2458" t="str">
        <f t="shared" si="48"/>
        <v>SOCIAL SECURITY TAXES</v>
      </c>
    </row>
    <row r="2459" spans="5:8" x14ac:dyDescent="0.25">
      <c r="E2459" t="str">
        <f>""</f>
        <v/>
      </c>
      <c r="F2459" t="str">
        <f>""</f>
        <v/>
      </c>
      <c r="H2459" t="str">
        <f t="shared" si="48"/>
        <v>SOCIAL SECURITY TAXES</v>
      </c>
    </row>
    <row r="2460" spans="5:8" x14ac:dyDescent="0.25">
      <c r="E2460" t="str">
        <f>""</f>
        <v/>
      </c>
      <c r="F2460" t="str">
        <f>""</f>
        <v/>
      </c>
      <c r="H2460" t="str">
        <f t="shared" si="48"/>
        <v>SOCIAL SECURITY TAXES</v>
      </c>
    </row>
    <row r="2461" spans="5:8" x14ac:dyDescent="0.25">
      <c r="E2461" t="str">
        <f>""</f>
        <v/>
      </c>
      <c r="F2461" t="str">
        <f>""</f>
        <v/>
      </c>
      <c r="H2461" t="str">
        <f t="shared" si="48"/>
        <v>SOCIAL SECURITY TAXES</v>
      </c>
    </row>
    <row r="2462" spans="5:8" x14ac:dyDescent="0.25">
      <c r="E2462" t="str">
        <f>""</f>
        <v/>
      </c>
      <c r="F2462" t="str">
        <f>""</f>
        <v/>
      </c>
      <c r="H2462" t="str">
        <f t="shared" si="48"/>
        <v>SOCIAL SECURITY TAXES</v>
      </c>
    </row>
    <row r="2463" spans="5:8" x14ac:dyDescent="0.25">
      <c r="E2463" t="str">
        <f>""</f>
        <v/>
      </c>
      <c r="F2463" t="str">
        <f>""</f>
        <v/>
      </c>
      <c r="H2463" t="str">
        <f t="shared" si="48"/>
        <v>SOCIAL SECURITY TAXES</v>
      </c>
    </row>
    <row r="2464" spans="5:8" x14ac:dyDescent="0.25">
      <c r="E2464" t="str">
        <f>""</f>
        <v/>
      </c>
      <c r="F2464" t="str">
        <f>""</f>
        <v/>
      </c>
      <c r="H2464" t="str">
        <f t="shared" si="48"/>
        <v>SOCIAL SECURITY TAXES</v>
      </c>
    </row>
    <row r="2465" spans="5:8" x14ac:dyDescent="0.25">
      <c r="E2465" t="str">
        <f>""</f>
        <v/>
      </c>
      <c r="F2465" t="str">
        <f>""</f>
        <v/>
      </c>
      <c r="H2465" t="str">
        <f t="shared" si="48"/>
        <v>SOCIAL SECURITY TAXES</v>
      </c>
    </row>
    <row r="2466" spans="5:8" x14ac:dyDescent="0.25">
      <c r="E2466" t="str">
        <f>""</f>
        <v/>
      </c>
      <c r="F2466" t="str">
        <f>""</f>
        <v/>
      </c>
      <c r="H2466" t="str">
        <f t="shared" si="48"/>
        <v>SOCIAL SECURITY TAXES</v>
      </c>
    </row>
    <row r="2467" spans="5:8" x14ac:dyDescent="0.25">
      <c r="E2467" t="str">
        <f>""</f>
        <v/>
      </c>
      <c r="F2467" t="str">
        <f>""</f>
        <v/>
      </c>
      <c r="H2467" t="str">
        <f t="shared" si="48"/>
        <v>SOCIAL SECURITY TAXES</v>
      </c>
    </row>
    <row r="2468" spans="5:8" x14ac:dyDescent="0.25">
      <c r="E2468" t="str">
        <f>""</f>
        <v/>
      </c>
      <c r="F2468" t="str">
        <f>""</f>
        <v/>
      </c>
      <c r="H2468" t="str">
        <f t="shared" si="48"/>
        <v>SOCIAL SECURITY TAXES</v>
      </c>
    </row>
    <row r="2469" spans="5:8" x14ac:dyDescent="0.25">
      <c r="E2469" t="str">
        <f>""</f>
        <v/>
      </c>
      <c r="F2469" t="str">
        <f>""</f>
        <v/>
      </c>
      <c r="H2469" t="str">
        <f t="shared" si="48"/>
        <v>SOCIAL SECURITY TAXES</v>
      </c>
    </row>
    <row r="2470" spans="5:8" x14ac:dyDescent="0.25">
      <c r="E2470" t="str">
        <f>""</f>
        <v/>
      </c>
      <c r="F2470" t="str">
        <f>""</f>
        <v/>
      </c>
      <c r="H2470" t="str">
        <f t="shared" si="48"/>
        <v>SOCIAL SECURITY TAXES</v>
      </c>
    </row>
    <row r="2471" spans="5:8" x14ac:dyDescent="0.25">
      <c r="E2471" t="str">
        <f>""</f>
        <v/>
      </c>
      <c r="F2471" t="str">
        <f>""</f>
        <v/>
      </c>
      <c r="H2471" t="str">
        <f t="shared" si="48"/>
        <v>SOCIAL SECURITY TAXES</v>
      </c>
    </row>
    <row r="2472" spans="5:8" x14ac:dyDescent="0.25">
      <c r="E2472" t="str">
        <f>""</f>
        <v/>
      </c>
      <c r="F2472" t="str">
        <f>""</f>
        <v/>
      </c>
      <c r="H2472" t="str">
        <f t="shared" si="48"/>
        <v>SOCIAL SECURITY TAXES</v>
      </c>
    </row>
    <row r="2473" spans="5:8" x14ac:dyDescent="0.25">
      <c r="E2473" t="str">
        <f>""</f>
        <v/>
      </c>
      <c r="F2473" t="str">
        <f>""</f>
        <v/>
      </c>
      <c r="H2473" t="str">
        <f t="shared" si="48"/>
        <v>SOCIAL SECURITY TAXES</v>
      </c>
    </row>
    <row r="2474" spans="5:8" x14ac:dyDescent="0.25">
      <c r="E2474" t="str">
        <f>""</f>
        <v/>
      </c>
      <c r="F2474" t="str">
        <f>""</f>
        <v/>
      </c>
      <c r="H2474" t="str">
        <f t="shared" si="48"/>
        <v>SOCIAL SECURITY TAXES</v>
      </c>
    </row>
    <row r="2475" spans="5:8" x14ac:dyDescent="0.25">
      <c r="E2475" t="str">
        <f>""</f>
        <v/>
      </c>
      <c r="F2475" t="str">
        <f>""</f>
        <v/>
      </c>
      <c r="H2475" t="str">
        <f t="shared" si="48"/>
        <v>SOCIAL SECURITY TAXES</v>
      </c>
    </row>
    <row r="2476" spans="5:8" x14ac:dyDescent="0.25">
      <c r="E2476" t="str">
        <f>""</f>
        <v/>
      </c>
      <c r="F2476" t="str">
        <f>""</f>
        <v/>
      </c>
      <c r="H2476" t="str">
        <f t="shared" si="48"/>
        <v>SOCIAL SECURITY TAXES</v>
      </c>
    </row>
    <row r="2477" spans="5:8" x14ac:dyDescent="0.25">
      <c r="E2477" t="str">
        <f>""</f>
        <v/>
      </c>
      <c r="F2477" t="str">
        <f>""</f>
        <v/>
      </c>
      <c r="H2477" t="str">
        <f t="shared" si="48"/>
        <v>SOCIAL SECURITY TAXES</v>
      </c>
    </row>
    <row r="2478" spans="5:8" x14ac:dyDescent="0.25">
      <c r="E2478" t="str">
        <f>""</f>
        <v/>
      </c>
      <c r="F2478" t="str">
        <f>""</f>
        <v/>
      </c>
      <c r="H2478" t="str">
        <f t="shared" si="48"/>
        <v>SOCIAL SECURITY TAXES</v>
      </c>
    </row>
    <row r="2479" spans="5:8" x14ac:dyDescent="0.25">
      <c r="E2479" t="str">
        <f>""</f>
        <v/>
      </c>
      <c r="F2479" t="str">
        <f>""</f>
        <v/>
      </c>
      <c r="H2479" t="str">
        <f t="shared" si="48"/>
        <v>SOCIAL SECURITY TAXES</v>
      </c>
    </row>
    <row r="2480" spans="5:8" x14ac:dyDescent="0.25">
      <c r="E2480" t="str">
        <f>""</f>
        <v/>
      </c>
      <c r="F2480" t="str">
        <f>""</f>
        <v/>
      </c>
      <c r="H2480" t="str">
        <f t="shared" si="48"/>
        <v>SOCIAL SECURITY TAXES</v>
      </c>
    </row>
    <row r="2481" spans="5:8" x14ac:dyDescent="0.25">
      <c r="E2481" t="str">
        <f>""</f>
        <v/>
      </c>
      <c r="F2481" t="str">
        <f>""</f>
        <v/>
      </c>
      <c r="H2481" t="str">
        <f t="shared" si="48"/>
        <v>SOCIAL SECURITY TAXES</v>
      </c>
    </row>
    <row r="2482" spans="5:8" x14ac:dyDescent="0.25">
      <c r="E2482" t="str">
        <f>""</f>
        <v/>
      </c>
      <c r="F2482" t="str">
        <f>""</f>
        <v/>
      </c>
      <c r="H2482" t="str">
        <f t="shared" si="48"/>
        <v>SOCIAL SECURITY TAXES</v>
      </c>
    </row>
    <row r="2483" spans="5:8" x14ac:dyDescent="0.25">
      <c r="E2483" t="str">
        <f>""</f>
        <v/>
      </c>
      <c r="F2483" t="str">
        <f>""</f>
        <v/>
      </c>
      <c r="H2483" t="str">
        <f t="shared" si="48"/>
        <v>SOCIAL SECURITY TAXES</v>
      </c>
    </row>
    <row r="2484" spans="5:8" x14ac:dyDescent="0.25">
      <c r="E2484" t="str">
        <f>""</f>
        <v/>
      </c>
      <c r="F2484" t="str">
        <f>""</f>
        <v/>
      </c>
      <c r="H2484" t="str">
        <f t="shared" si="48"/>
        <v>SOCIAL SECURITY TAXES</v>
      </c>
    </row>
    <row r="2485" spans="5:8" x14ac:dyDescent="0.25">
      <c r="E2485" t="str">
        <f>""</f>
        <v/>
      </c>
      <c r="F2485" t="str">
        <f>""</f>
        <v/>
      </c>
      <c r="H2485" t="str">
        <f t="shared" si="48"/>
        <v>SOCIAL SECURITY TAXES</v>
      </c>
    </row>
    <row r="2486" spans="5:8" x14ac:dyDescent="0.25">
      <c r="E2486" t="str">
        <f>""</f>
        <v/>
      </c>
      <c r="F2486" t="str">
        <f>""</f>
        <v/>
      </c>
      <c r="H2486" t="str">
        <f t="shared" si="48"/>
        <v>SOCIAL SECURITY TAXES</v>
      </c>
    </row>
    <row r="2487" spans="5:8" x14ac:dyDescent="0.25">
      <c r="E2487" t="str">
        <f>""</f>
        <v/>
      </c>
      <c r="F2487" t="str">
        <f>""</f>
        <v/>
      </c>
      <c r="H2487" t="str">
        <f t="shared" si="48"/>
        <v>SOCIAL SECURITY TAXES</v>
      </c>
    </row>
    <row r="2488" spans="5:8" x14ac:dyDescent="0.25">
      <c r="E2488" t="str">
        <f>"T3 201911193390"</f>
        <v>T3 201911193390</v>
      </c>
      <c r="F2488" t="str">
        <f>"SOCIAL SECURITY TAXES"</f>
        <v>SOCIAL SECURITY TAXES</v>
      </c>
      <c r="G2488" s="2">
        <v>3329.4</v>
      </c>
      <c r="H2488" t="str">
        <f t="shared" si="48"/>
        <v>SOCIAL SECURITY TAXES</v>
      </c>
    </row>
    <row r="2489" spans="5:8" x14ac:dyDescent="0.25">
      <c r="E2489" t="str">
        <f>""</f>
        <v/>
      </c>
      <c r="F2489" t="str">
        <f>""</f>
        <v/>
      </c>
      <c r="H2489" t="str">
        <f t="shared" si="48"/>
        <v>SOCIAL SECURITY TAXES</v>
      </c>
    </row>
    <row r="2490" spans="5:8" x14ac:dyDescent="0.25">
      <c r="E2490" t="str">
        <f>"T3 201911193394"</f>
        <v>T3 201911193394</v>
      </c>
      <c r="F2490" t="str">
        <f>"SOCIAL SECURITY TAXES"</f>
        <v>SOCIAL SECURITY TAXES</v>
      </c>
      <c r="G2490" s="2">
        <v>2676.88</v>
      </c>
      <c r="H2490" t="str">
        <f t="shared" si="48"/>
        <v>SOCIAL SECURITY TAXES</v>
      </c>
    </row>
    <row r="2491" spans="5:8" x14ac:dyDescent="0.25">
      <c r="E2491" t="str">
        <f>""</f>
        <v/>
      </c>
      <c r="F2491" t="str">
        <f>""</f>
        <v/>
      </c>
      <c r="H2491" t="str">
        <f t="shared" si="48"/>
        <v>SOCIAL SECURITY TAXES</v>
      </c>
    </row>
    <row r="2492" spans="5:8" x14ac:dyDescent="0.25">
      <c r="E2492" t="str">
        <f>"T4 201911193387"</f>
        <v>T4 201911193387</v>
      </c>
      <c r="F2492" t="str">
        <f>"MEDICARE TAXES"</f>
        <v>MEDICARE TAXES</v>
      </c>
      <c r="G2492" s="2">
        <v>14898.22</v>
      </c>
      <c r="H2492" t="str">
        <f t="shared" ref="H2492:H2538" si="49">"MEDICARE TAXES"</f>
        <v>MEDICARE TAXES</v>
      </c>
    </row>
    <row r="2493" spans="5:8" x14ac:dyDescent="0.25">
      <c r="E2493" t="str">
        <f>""</f>
        <v/>
      </c>
      <c r="F2493" t="str">
        <f>""</f>
        <v/>
      </c>
      <c r="H2493" t="str">
        <f t="shared" si="49"/>
        <v>MEDICARE TAXES</v>
      </c>
    </row>
    <row r="2494" spans="5:8" x14ac:dyDescent="0.25">
      <c r="E2494" t="str">
        <f>""</f>
        <v/>
      </c>
      <c r="F2494" t="str">
        <f>""</f>
        <v/>
      </c>
      <c r="H2494" t="str">
        <f t="shared" si="49"/>
        <v>MEDICARE TAXES</v>
      </c>
    </row>
    <row r="2495" spans="5:8" x14ac:dyDescent="0.25">
      <c r="E2495" t="str">
        <f>""</f>
        <v/>
      </c>
      <c r="F2495" t="str">
        <f>""</f>
        <v/>
      </c>
      <c r="H2495" t="str">
        <f t="shared" si="49"/>
        <v>MEDICARE TAXES</v>
      </c>
    </row>
    <row r="2496" spans="5:8" x14ac:dyDescent="0.25">
      <c r="E2496" t="str">
        <f>""</f>
        <v/>
      </c>
      <c r="F2496" t="str">
        <f>""</f>
        <v/>
      </c>
      <c r="H2496" t="str">
        <f t="shared" si="49"/>
        <v>MEDICARE TAXES</v>
      </c>
    </row>
    <row r="2497" spans="5:8" x14ac:dyDescent="0.25">
      <c r="E2497" t="str">
        <f>""</f>
        <v/>
      </c>
      <c r="F2497" t="str">
        <f>""</f>
        <v/>
      </c>
      <c r="H2497" t="str">
        <f t="shared" si="49"/>
        <v>MEDICARE TAXES</v>
      </c>
    </row>
    <row r="2498" spans="5:8" x14ac:dyDescent="0.25">
      <c r="E2498" t="str">
        <f>""</f>
        <v/>
      </c>
      <c r="F2498" t="str">
        <f>""</f>
        <v/>
      </c>
      <c r="H2498" t="str">
        <f t="shared" si="49"/>
        <v>MEDICARE TAXES</v>
      </c>
    </row>
    <row r="2499" spans="5:8" x14ac:dyDescent="0.25">
      <c r="E2499" t="str">
        <f>""</f>
        <v/>
      </c>
      <c r="F2499" t="str">
        <f>""</f>
        <v/>
      </c>
      <c r="H2499" t="str">
        <f t="shared" si="49"/>
        <v>MEDICARE TAXES</v>
      </c>
    </row>
    <row r="2500" spans="5:8" x14ac:dyDescent="0.25">
      <c r="E2500" t="str">
        <f>""</f>
        <v/>
      </c>
      <c r="F2500" t="str">
        <f>""</f>
        <v/>
      </c>
      <c r="H2500" t="str">
        <f t="shared" si="49"/>
        <v>MEDICARE TAXES</v>
      </c>
    </row>
    <row r="2501" spans="5:8" x14ac:dyDescent="0.25">
      <c r="E2501" t="str">
        <f>""</f>
        <v/>
      </c>
      <c r="F2501" t="str">
        <f>""</f>
        <v/>
      </c>
      <c r="H2501" t="str">
        <f t="shared" si="49"/>
        <v>MEDICARE TAXES</v>
      </c>
    </row>
    <row r="2502" spans="5:8" x14ac:dyDescent="0.25">
      <c r="E2502" t="str">
        <f>""</f>
        <v/>
      </c>
      <c r="F2502" t="str">
        <f>""</f>
        <v/>
      </c>
      <c r="H2502" t="str">
        <f t="shared" si="49"/>
        <v>MEDICARE TAXES</v>
      </c>
    </row>
    <row r="2503" spans="5:8" x14ac:dyDescent="0.25">
      <c r="E2503" t="str">
        <f>""</f>
        <v/>
      </c>
      <c r="F2503" t="str">
        <f>""</f>
        <v/>
      </c>
      <c r="H2503" t="str">
        <f t="shared" si="49"/>
        <v>MEDICARE TAXES</v>
      </c>
    </row>
    <row r="2504" spans="5:8" x14ac:dyDescent="0.25">
      <c r="E2504" t="str">
        <f>""</f>
        <v/>
      </c>
      <c r="F2504" t="str">
        <f>""</f>
        <v/>
      </c>
      <c r="H2504" t="str">
        <f t="shared" si="49"/>
        <v>MEDICARE TAXES</v>
      </c>
    </row>
    <row r="2505" spans="5:8" x14ac:dyDescent="0.25">
      <c r="E2505" t="str">
        <f>""</f>
        <v/>
      </c>
      <c r="F2505" t="str">
        <f>""</f>
        <v/>
      </c>
      <c r="H2505" t="str">
        <f t="shared" si="49"/>
        <v>MEDICARE TAXES</v>
      </c>
    </row>
    <row r="2506" spans="5:8" x14ac:dyDescent="0.25">
      <c r="E2506" t="str">
        <f>""</f>
        <v/>
      </c>
      <c r="F2506" t="str">
        <f>""</f>
        <v/>
      </c>
      <c r="H2506" t="str">
        <f t="shared" si="49"/>
        <v>MEDICARE TAXES</v>
      </c>
    </row>
    <row r="2507" spans="5:8" x14ac:dyDescent="0.25">
      <c r="E2507" t="str">
        <f>""</f>
        <v/>
      </c>
      <c r="F2507" t="str">
        <f>""</f>
        <v/>
      </c>
      <c r="H2507" t="str">
        <f t="shared" si="49"/>
        <v>MEDICARE TAXES</v>
      </c>
    </row>
    <row r="2508" spans="5:8" x14ac:dyDescent="0.25">
      <c r="E2508" t="str">
        <f>""</f>
        <v/>
      </c>
      <c r="F2508" t="str">
        <f>""</f>
        <v/>
      </c>
      <c r="H2508" t="str">
        <f t="shared" si="49"/>
        <v>MEDICARE TAXES</v>
      </c>
    </row>
    <row r="2509" spans="5:8" x14ac:dyDescent="0.25">
      <c r="E2509" t="str">
        <f>""</f>
        <v/>
      </c>
      <c r="F2509" t="str">
        <f>""</f>
        <v/>
      </c>
      <c r="H2509" t="str">
        <f t="shared" si="49"/>
        <v>MEDICARE TAXES</v>
      </c>
    </row>
    <row r="2510" spans="5:8" x14ac:dyDescent="0.25">
      <c r="E2510" t="str">
        <f>""</f>
        <v/>
      </c>
      <c r="F2510" t="str">
        <f>""</f>
        <v/>
      </c>
      <c r="H2510" t="str">
        <f t="shared" si="49"/>
        <v>MEDICARE TAXES</v>
      </c>
    </row>
    <row r="2511" spans="5:8" x14ac:dyDescent="0.25">
      <c r="E2511" t="str">
        <f>""</f>
        <v/>
      </c>
      <c r="F2511" t="str">
        <f>""</f>
        <v/>
      </c>
      <c r="H2511" t="str">
        <f t="shared" si="49"/>
        <v>MEDICARE TAXES</v>
      </c>
    </row>
    <row r="2512" spans="5:8" x14ac:dyDescent="0.25">
      <c r="E2512" t="str">
        <f>""</f>
        <v/>
      </c>
      <c r="F2512" t="str">
        <f>""</f>
        <v/>
      </c>
      <c r="H2512" t="str">
        <f t="shared" si="49"/>
        <v>MEDICARE TAXES</v>
      </c>
    </row>
    <row r="2513" spans="5:8" x14ac:dyDescent="0.25">
      <c r="E2513" t="str">
        <f>""</f>
        <v/>
      </c>
      <c r="F2513" t="str">
        <f>""</f>
        <v/>
      </c>
      <c r="H2513" t="str">
        <f t="shared" si="49"/>
        <v>MEDICARE TAXES</v>
      </c>
    </row>
    <row r="2514" spans="5:8" x14ac:dyDescent="0.25">
      <c r="E2514" t="str">
        <f>""</f>
        <v/>
      </c>
      <c r="F2514" t="str">
        <f>""</f>
        <v/>
      </c>
      <c r="H2514" t="str">
        <f t="shared" si="49"/>
        <v>MEDICARE TAXES</v>
      </c>
    </row>
    <row r="2515" spans="5:8" x14ac:dyDescent="0.25">
      <c r="E2515" t="str">
        <f>""</f>
        <v/>
      </c>
      <c r="F2515" t="str">
        <f>""</f>
        <v/>
      </c>
      <c r="H2515" t="str">
        <f t="shared" si="49"/>
        <v>MEDICARE TAXES</v>
      </c>
    </row>
    <row r="2516" spans="5:8" x14ac:dyDescent="0.25">
      <c r="E2516" t="str">
        <f>""</f>
        <v/>
      </c>
      <c r="F2516" t="str">
        <f>""</f>
        <v/>
      </c>
      <c r="H2516" t="str">
        <f t="shared" si="49"/>
        <v>MEDICARE TAXES</v>
      </c>
    </row>
    <row r="2517" spans="5:8" x14ac:dyDescent="0.25">
      <c r="E2517" t="str">
        <f>""</f>
        <v/>
      </c>
      <c r="F2517" t="str">
        <f>""</f>
        <v/>
      </c>
      <c r="H2517" t="str">
        <f t="shared" si="49"/>
        <v>MEDICARE TAXES</v>
      </c>
    </row>
    <row r="2518" spans="5:8" x14ac:dyDescent="0.25">
      <c r="E2518" t="str">
        <f>""</f>
        <v/>
      </c>
      <c r="F2518" t="str">
        <f>""</f>
        <v/>
      </c>
      <c r="H2518" t="str">
        <f t="shared" si="49"/>
        <v>MEDICARE TAXES</v>
      </c>
    </row>
    <row r="2519" spans="5:8" x14ac:dyDescent="0.25">
      <c r="E2519" t="str">
        <f>""</f>
        <v/>
      </c>
      <c r="F2519" t="str">
        <f>""</f>
        <v/>
      </c>
      <c r="H2519" t="str">
        <f t="shared" si="49"/>
        <v>MEDICARE TAXES</v>
      </c>
    </row>
    <row r="2520" spans="5:8" x14ac:dyDescent="0.25">
      <c r="E2520" t="str">
        <f>""</f>
        <v/>
      </c>
      <c r="F2520" t="str">
        <f>""</f>
        <v/>
      </c>
      <c r="H2520" t="str">
        <f t="shared" si="49"/>
        <v>MEDICARE TAXES</v>
      </c>
    </row>
    <row r="2521" spans="5:8" x14ac:dyDescent="0.25">
      <c r="E2521" t="str">
        <f>""</f>
        <v/>
      </c>
      <c r="F2521" t="str">
        <f>""</f>
        <v/>
      </c>
      <c r="H2521" t="str">
        <f t="shared" si="49"/>
        <v>MEDICARE TAXES</v>
      </c>
    </row>
    <row r="2522" spans="5:8" x14ac:dyDescent="0.25">
      <c r="E2522" t="str">
        <f>""</f>
        <v/>
      </c>
      <c r="F2522" t="str">
        <f>""</f>
        <v/>
      </c>
      <c r="H2522" t="str">
        <f t="shared" si="49"/>
        <v>MEDICARE TAXES</v>
      </c>
    </row>
    <row r="2523" spans="5:8" x14ac:dyDescent="0.25">
      <c r="E2523" t="str">
        <f>""</f>
        <v/>
      </c>
      <c r="F2523" t="str">
        <f>""</f>
        <v/>
      </c>
      <c r="H2523" t="str">
        <f t="shared" si="49"/>
        <v>MEDICARE TAXES</v>
      </c>
    </row>
    <row r="2524" spans="5:8" x14ac:dyDescent="0.25">
      <c r="E2524" t="str">
        <f>""</f>
        <v/>
      </c>
      <c r="F2524" t="str">
        <f>""</f>
        <v/>
      </c>
      <c r="H2524" t="str">
        <f t="shared" si="49"/>
        <v>MEDICARE TAXES</v>
      </c>
    </row>
    <row r="2525" spans="5:8" x14ac:dyDescent="0.25">
      <c r="E2525" t="str">
        <f>""</f>
        <v/>
      </c>
      <c r="F2525" t="str">
        <f>""</f>
        <v/>
      </c>
      <c r="H2525" t="str">
        <f t="shared" si="49"/>
        <v>MEDICARE TAXES</v>
      </c>
    </row>
    <row r="2526" spans="5:8" x14ac:dyDescent="0.25">
      <c r="E2526" t="str">
        <f>""</f>
        <v/>
      </c>
      <c r="F2526" t="str">
        <f>""</f>
        <v/>
      </c>
      <c r="H2526" t="str">
        <f t="shared" si="49"/>
        <v>MEDICARE TAXES</v>
      </c>
    </row>
    <row r="2527" spans="5:8" x14ac:dyDescent="0.25">
      <c r="E2527" t="str">
        <f>""</f>
        <v/>
      </c>
      <c r="F2527" t="str">
        <f>""</f>
        <v/>
      </c>
      <c r="H2527" t="str">
        <f t="shared" si="49"/>
        <v>MEDICARE TAXES</v>
      </c>
    </row>
    <row r="2528" spans="5:8" x14ac:dyDescent="0.25">
      <c r="E2528" t="str">
        <f>""</f>
        <v/>
      </c>
      <c r="F2528" t="str">
        <f>""</f>
        <v/>
      </c>
      <c r="H2528" t="str">
        <f t="shared" si="49"/>
        <v>MEDICARE TAXES</v>
      </c>
    </row>
    <row r="2529" spans="1:8" x14ac:dyDescent="0.25">
      <c r="E2529" t="str">
        <f>""</f>
        <v/>
      </c>
      <c r="F2529" t="str">
        <f>""</f>
        <v/>
      </c>
      <c r="H2529" t="str">
        <f t="shared" si="49"/>
        <v>MEDICARE TAXES</v>
      </c>
    </row>
    <row r="2530" spans="1:8" x14ac:dyDescent="0.25">
      <c r="E2530" t="str">
        <f>""</f>
        <v/>
      </c>
      <c r="F2530" t="str">
        <f>""</f>
        <v/>
      </c>
      <c r="H2530" t="str">
        <f t="shared" si="49"/>
        <v>MEDICARE TAXES</v>
      </c>
    </row>
    <row r="2531" spans="1:8" x14ac:dyDescent="0.25">
      <c r="E2531" t="str">
        <f>""</f>
        <v/>
      </c>
      <c r="F2531" t="str">
        <f>""</f>
        <v/>
      </c>
      <c r="H2531" t="str">
        <f t="shared" si="49"/>
        <v>MEDICARE TAXES</v>
      </c>
    </row>
    <row r="2532" spans="1:8" x14ac:dyDescent="0.25">
      <c r="E2532" t="str">
        <f>""</f>
        <v/>
      </c>
      <c r="F2532" t="str">
        <f>""</f>
        <v/>
      </c>
      <c r="H2532" t="str">
        <f t="shared" si="49"/>
        <v>MEDICARE TAXES</v>
      </c>
    </row>
    <row r="2533" spans="1:8" x14ac:dyDescent="0.25">
      <c r="E2533" t="str">
        <f>""</f>
        <v/>
      </c>
      <c r="F2533" t="str">
        <f>""</f>
        <v/>
      </c>
      <c r="H2533" t="str">
        <f t="shared" si="49"/>
        <v>MEDICARE TAXES</v>
      </c>
    </row>
    <row r="2534" spans="1:8" x14ac:dyDescent="0.25">
      <c r="E2534" t="str">
        <f>""</f>
        <v/>
      </c>
      <c r="F2534" t="str">
        <f>""</f>
        <v/>
      </c>
      <c r="H2534" t="str">
        <f t="shared" si="49"/>
        <v>MEDICARE TAXES</v>
      </c>
    </row>
    <row r="2535" spans="1:8" x14ac:dyDescent="0.25">
      <c r="E2535" t="str">
        <f>"T4 201911193390"</f>
        <v>T4 201911193390</v>
      </c>
      <c r="F2535" t="str">
        <f>"MEDICARE TAXES"</f>
        <v>MEDICARE TAXES</v>
      </c>
      <c r="G2535" s="2">
        <v>778.74</v>
      </c>
      <c r="H2535" t="str">
        <f t="shared" si="49"/>
        <v>MEDICARE TAXES</v>
      </c>
    </row>
    <row r="2536" spans="1:8" x14ac:dyDescent="0.25">
      <c r="E2536" t="str">
        <f>""</f>
        <v/>
      </c>
      <c r="F2536" t="str">
        <f>""</f>
        <v/>
      </c>
      <c r="H2536" t="str">
        <f t="shared" si="49"/>
        <v>MEDICARE TAXES</v>
      </c>
    </row>
    <row r="2537" spans="1:8" x14ac:dyDescent="0.25">
      <c r="E2537" t="str">
        <f>"T4 201911193394"</f>
        <v>T4 201911193394</v>
      </c>
      <c r="F2537" t="str">
        <f>"MEDICARE TAXES"</f>
        <v>MEDICARE TAXES</v>
      </c>
      <c r="G2537" s="2">
        <v>626.05999999999995</v>
      </c>
      <c r="H2537" t="str">
        <f t="shared" si="49"/>
        <v>MEDICARE TAXES</v>
      </c>
    </row>
    <row r="2538" spans="1:8" x14ac:dyDescent="0.25">
      <c r="E2538" t="str">
        <f>""</f>
        <v/>
      </c>
      <c r="F2538" t="str">
        <f>""</f>
        <v/>
      </c>
      <c r="H2538" t="str">
        <f t="shared" si="49"/>
        <v>MEDICARE TAXES</v>
      </c>
    </row>
    <row r="2539" spans="1:8" x14ac:dyDescent="0.25">
      <c r="A2539" t="s">
        <v>454</v>
      </c>
      <c r="B2539">
        <v>287</v>
      </c>
      <c r="C2539" s="2">
        <v>248625.7</v>
      </c>
      <c r="D2539" s="1">
        <v>43796</v>
      </c>
      <c r="E2539" t="str">
        <f>"T1 201911263510"</f>
        <v>T1 201911263510</v>
      </c>
      <c r="F2539" t="str">
        <f>"FEDERAL WITHHOLDING"</f>
        <v>FEDERAL WITHHOLDING</v>
      </c>
      <c r="G2539" s="2">
        <v>84415.79</v>
      </c>
      <c r="H2539" t="str">
        <f>"FEDERAL WITHHOLDING"</f>
        <v>FEDERAL WITHHOLDING</v>
      </c>
    </row>
    <row r="2540" spans="1:8" x14ac:dyDescent="0.25">
      <c r="E2540" t="str">
        <f>"T1 201911263511"</f>
        <v>T1 201911263511</v>
      </c>
      <c r="F2540" t="str">
        <f>"FEDERAL WITHHOLDING"</f>
        <v>FEDERAL WITHHOLDING</v>
      </c>
      <c r="G2540" s="2">
        <v>3406.04</v>
      </c>
      <c r="H2540" t="str">
        <f>"FEDERAL WITHHOLDING"</f>
        <v>FEDERAL WITHHOLDING</v>
      </c>
    </row>
    <row r="2541" spans="1:8" x14ac:dyDescent="0.25">
      <c r="E2541" t="str">
        <f>"T1 201911263512"</f>
        <v>T1 201911263512</v>
      </c>
      <c r="F2541" t="str">
        <f>"FEDERAL WITHHOLDING"</f>
        <v>FEDERAL WITHHOLDING</v>
      </c>
      <c r="G2541" s="2">
        <v>4086.69</v>
      </c>
      <c r="H2541" t="str">
        <f>"FEDERAL WITHHOLDING"</f>
        <v>FEDERAL WITHHOLDING</v>
      </c>
    </row>
    <row r="2542" spans="1:8" x14ac:dyDescent="0.25">
      <c r="E2542" t="str">
        <f>"T3 201911263510"</f>
        <v>T3 201911263510</v>
      </c>
      <c r="F2542" t="str">
        <f>"SOCIAL SECURITY TAXES"</f>
        <v>SOCIAL SECURITY TAXES</v>
      </c>
      <c r="G2542" s="2">
        <v>116592.74</v>
      </c>
      <c r="H2542" t="str">
        <f t="shared" ref="H2542:H2573" si="50">"SOCIAL SECURITY TAXES"</f>
        <v>SOCIAL SECURITY TAXES</v>
      </c>
    </row>
    <row r="2543" spans="1:8" x14ac:dyDescent="0.25">
      <c r="E2543" t="str">
        <f>""</f>
        <v/>
      </c>
      <c r="F2543" t="str">
        <f>""</f>
        <v/>
      </c>
      <c r="H2543" t="str">
        <f t="shared" si="50"/>
        <v>SOCIAL SECURITY TAXES</v>
      </c>
    </row>
    <row r="2544" spans="1:8" x14ac:dyDescent="0.25">
      <c r="E2544" t="str">
        <f>""</f>
        <v/>
      </c>
      <c r="F2544" t="str">
        <f>""</f>
        <v/>
      </c>
      <c r="H2544" t="str">
        <f t="shared" si="50"/>
        <v>SOCIAL SECURITY TAXES</v>
      </c>
    </row>
    <row r="2545" spans="5:8" x14ac:dyDescent="0.25">
      <c r="E2545" t="str">
        <f>""</f>
        <v/>
      </c>
      <c r="F2545" t="str">
        <f>""</f>
        <v/>
      </c>
      <c r="H2545" t="str">
        <f t="shared" si="50"/>
        <v>SOCIAL SECURITY TAXES</v>
      </c>
    </row>
    <row r="2546" spans="5:8" x14ac:dyDescent="0.25">
      <c r="E2546" t="str">
        <f>""</f>
        <v/>
      </c>
      <c r="F2546" t="str">
        <f>""</f>
        <v/>
      </c>
      <c r="H2546" t="str">
        <f t="shared" si="50"/>
        <v>SOCIAL SECURITY TAXES</v>
      </c>
    </row>
    <row r="2547" spans="5:8" x14ac:dyDescent="0.25">
      <c r="E2547" t="str">
        <f>""</f>
        <v/>
      </c>
      <c r="F2547" t="str">
        <f>""</f>
        <v/>
      </c>
      <c r="H2547" t="str">
        <f t="shared" si="50"/>
        <v>SOCIAL SECURITY TAXES</v>
      </c>
    </row>
    <row r="2548" spans="5:8" x14ac:dyDescent="0.25">
      <c r="E2548" t="str">
        <f>""</f>
        <v/>
      </c>
      <c r="F2548" t="str">
        <f>""</f>
        <v/>
      </c>
      <c r="H2548" t="str">
        <f t="shared" si="50"/>
        <v>SOCIAL SECURITY TAXES</v>
      </c>
    </row>
    <row r="2549" spans="5:8" x14ac:dyDescent="0.25">
      <c r="E2549" t="str">
        <f>""</f>
        <v/>
      </c>
      <c r="F2549" t="str">
        <f>""</f>
        <v/>
      </c>
      <c r="H2549" t="str">
        <f t="shared" si="50"/>
        <v>SOCIAL SECURITY TAXES</v>
      </c>
    </row>
    <row r="2550" spans="5:8" x14ac:dyDescent="0.25">
      <c r="E2550" t="str">
        <f>""</f>
        <v/>
      </c>
      <c r="F2550" t="str">
        <f>""</f>
        <v/>
      </c>
      <c r="H2550" t="str">
        <f t="shared" si="50"/>
        <v>SOCIAL SECURITY TAXES</v>
      </c>
    </row>
    <row r="2551" spans="5:8" x14ac:dyDescent="0.25">
      <c r="E2551" t="str">
        <f>""</f>
        <v/>
      </c>
      <c r="F2551" t="str">
        <f>""</f>
        <v/>
      </c>
      <c r="H2551" t="str">
        <f t="shared" si="50"/>
        <v>SOCIAL SECURITY TAXES</v>
      </c>
    </row>
    <row r="2552" spans="5:8" x14ac:dyDescent="0.25">
      <c r="E2552" t="str">
        <f>""</f>
        <v/>
      </c>
      <c r="F2552" t="str">
        <f>""</f>
        <v/>
      </c>
      <c r="H2552" t="str">
        <f t="shared" si="50"/>
        <v>SOCIAL SECURITY TAXES</v>
      </c>
    </row>
    <row r="2553" spans="5:8" x14ac:dyDescent="0.25">
      <c r="E2553" t="str">
        <f>""</f>
        <v/>
      </c>
      <c r="F2553" t="str">
        <f>""</f>
        <v/>
      </c>
      <c r="H2553" t="str">
        <f t="shared" si="50"/>
        <v>SOCIAL SECURITY TAXES</v>
      </c>
    </row>
    <row r="2554" spans="5:8" x14ac:dyDescent="0.25">
      <c r="E2554" t="str">
        <f>""</f>
        <v/>
      </c>
      <c r="F2554" t="str">
        <f>""</f>
        <v/>
      </c>
      <c r="H2554" t="str">
        <f t="shared" si="50"/>
        <v>SOCIAL SECURITY TAXES</v>
      </c>
    </row>
    <row r="2555" spans="5:8" x14ac:dyDescent="0.25">
      <c r="E2555" t="str">
        <f>""</f>
        <v/>
      </c>
      <c r="F2555" t="str">
        <f>""</f>
        <v/>
      </c>
      <c r="H2555" t="str">
        <f t="shared" si="50"/>
        <v>SOCIAL SECURITY TAXES</v>
      </c>
    </row>
    <row r="2556" spans="5:8" x14ac:dyDescent="0.25">
      <c r="E2556" t="str">
        <f>""</f>
        <v/>
      </c>
      <c r="F2556" t="str">
        <f>""</f>
        <v/>
      </c>
      <c r="H2556" t="str">
        <f t="shared" si="50"/>
        <v>SOCIAL SECURITY TAXES</v>
      </c>
    </row>
    <row r="2557" spans="5:8" x14ac:dyDescent="0.25">
      <c r="E2557" t="str">
        <f>""</f>
        <v/>
      </c>
      <c r="F2557" t="str">
        <f>""</f>
        <v/>
      </c>
      <c r="H2557" t="str">
        <f t="shared" si="50"/>
        <v>SOCIAL SECURITY TAXES</v>
      </c>
    </row>
    <row r="2558" spans="5:8" x14ac:dyDescent="0.25">
      <c r="E2558" t="str">
        <f>""</f>
        <v/>
      </c>
      <c r="F2558" t="str">
        <f>""</f>
        <v/>
      </c>
      <c r="H2558" t="str">
        <f t="shared" si="50"/>
        <v>SOCIAL SECURITY TAXES</v>
      </c>
    </row>
    <row r="2559" spans="5:8" x14ac:dyDescent="0.25">
      <c r="E2559" t="str">
        <f>""</f>
        <v/>
      </c>
      <c r="F2559" t="str">
        <f>""</f>
        <v/>
      </c>
      <c r="H2559" t="str">
        <f t="shared" si="50"/>
        <v>SOCIAL SECURITY TAXES</v>
      </c>
    </row>
    <row r="2560" spans="5:8" x14ac:dyDescent="0.25">
      <c r="E2560" t="str">
        <f>""</f>
        <v/>
      </c>
      <c r="F2560" t="str">
        <f>""</f>
        <v/>
      </c>
      <c r="H2560" t="str">
        <f t="shared" si="50"/>
        <v>SOCIAL SECURITY TAXES</v>
      </c>
    </row>
    <row r="2561" spans="5:8" x14ac:dyDescent="0.25">
      <c r="E2561" t="str">
        <f>""</f>
        <v/>
      </c>
      <c r="F2561" t="str">
        <f>""</f>
        <v/>
      </c>
      <c r="H2561" t="str">
        <f t="shared" si="50"/>
        <v>SOCIAL SECURITY TAXES</v>
      </c>
    </row>
    <row r="2562" spans="5:8" x14ac:dyDescent="0.25">
      <c r="E2562" t="str">
        <f>""</f>
        <v/>
      </c>
      <c r="F2562" t="str">
        <f>""</f>
        <v/>
      </c>
      <c r="H2562" t="str">
        <f t="shared" si="50"/>
        <v>SOCIAL SECURITY TAXES</v>
      </c>
    </row>
    <row r="2563" spans="5:8" x14ac:dyDescent="0.25">
      <c r="E2563" t="str">
        <f>""</f>
        <v/>
      </c>
      <c r="F2563" t="str">
        <f>""</f>
        <v/>
      </c>
      <c r="H2563" t="str">
        <f t="shared" si="50"/>
        <v>SOCIAL SECURITY TAXES</v>
      </c>
    </row>
    <row r="2564" spans="5:8" x14ac:dyDescent="0.25">
      <c r="E2564" t="str">
        <f>""</f>
        <v/>
      </c>
      <c r="F2564" t="str">
        <f>""</f>
        <v/>
      </c>
      <c r="H2564" t="str">
        <f t="shared" si="50"/>
        <v>SOCIAL SECURITY TAXES</v>
      </c>
    </row>
    <row r="2565" spans="5:8" x14ac:dyDescent="0.25">
      <c r="E2565" t="str">
        <f>""</f>
        <v/>
      </c>
      <c r="F2565" t="str">
        <f>""</f>
        <v/>
      </c>
      <c r="H2565" t="str">
        <f t="shared" si="50"/>
        <v>SOCIAL SECURITY TAXES</v>
      </c>
    </row>
    <row r="2566" spans="5:8" x14ac:dyDescent="0.25">
      <c r="E2566" t="str">
        <f>""</f>
        <v/>
      </c>
      <c r="F2566" t="str">
        <f>""</f>
        <v/>
      </c>
      <c r="H2566" t="str">
        <f t="shared" si="50"/>
        <v>SOCIAL SECURITY TAXES</v>
      </c>
    </row>
    <row r="2567" spans="5:8" x14ac:dyDescent="0.25">
      <c r="E2567" t="str">
        <f>""</f>
        <v/>
      </c>
      <c r="F2567" t="str">
        <f>""</f>
        <v/>
      </c>
      <c r="H2567" t="str">
        <f t="shared" si="50"/>
        <v>SOCIAL SECURITY TAXES</v>
      </c>
    </row>
    <row r="2568" spans="5:8" x14ac:dyDescent="0.25">
      <c r="E2568" t="str">
        <f>""</f>
        <v/>
      </c>
      <c r="F2568" t="str">
        <f>""</f>
        <v/>
      </c>
      <c r="H2568" t="str">
        <f t="shared" si="50"/>
        <v>SOCIAL SECURITY TAXES</v>
      </c>
    </row>
    <row r="2569" spans="5:8" x14ac:dyDescent="0.25">
      <c r="E2569" t="str">
        <f>""</f>
        <v/>
      </c>
      <c r="F2569" t="str">
        <f>""</f>
        <v/>
      </c>
      <c r="H2569" t="str">
        <f t="shared" si="50"/>
        <v>SOCIAL SECURITY TAXES</v>
      </c>
    </row>
    <row r="2570" spans="5:8" x14ac:dyDescent="0.25">
      <c r="E2570" t="str">
        <f>""</f>
        <v/>
      </c>
      <c r="F2570" t="str">
        <f>""</f>
        <v/>
      </c>
      <c r="H2570" t="str">
        <f t="shared" si="50"/>
        <v>SOCIAL SECURITY TAXES</v>
      </c>
    </row>
    <row r="2571" spans="5:8" x14ac:dyDescent="0.25">
      <c r="E2571" t="str">
        <f>""</f>
        <v/>
      </c>
      <c r="F2571" t="str">
        <f>""</f>
        <v/>
      </c>
      <c r="H2571" t="str">
        <f t="shared" si="50"/>
        <v>SOCIAL SECURITY TAXES</v>
      </c>
    </row>
    <row r="2572" spans="5:8" x14ac:dyDescent="0.25">
      <c r="E2572" t="str">
        <f>""</f>
        <v/>
      </c>
      <c r="F2572" t="str">
        <f>""</f>
        <v/>
      </c>
      <c r="H2572" t="str">
        <f t="shared" si="50"/>
        <v>SOCIAL SECURITY TAXES</v>
      </c>
    </row>
    <row r="2573" spans="5:8" x14ac:dyDescent="0.25">
      <c r="E2573" t="str">
        <f>""</f>
        <v/>
      </c>
      <c r="F2573" t="str">
        <f>""</f>
        <v/>
      </c>
      <c r="H2573" t="str">
        <f t="shared" si="50"/>
        <v>SOCIAL SECURITY TAXES</v>
      </c>
    </row>
    <row r="2574" spans="5:8" x14ac:dyDescent="0.25">
      <c r="E2574" t="str">
        <f>""</f>
        <v/>
      </c>
      <c r="F2574" t="str">
        <f>""</f>
        <v/>
      </c>
      <c r="H2574" t="str">
        <f t="shared" ref="H2574:H2597" si="51">"SOCIAL SECURITY TAXES"</f>
        <v>SOCIAL SECURITY TAXES</v>
      </c>
    </row>
    <row r="2575" spans="5:8" x14ac:dyDescent="0.25">
      <c r="E2575" t="str">
        <f>""</f>
        <v/>
      </c>
      <c r="F2575" t="str">
        <f>""</f>
        <v/>
      </c>
      <c r="H2575" t="str">
        <f t="shared" si="51"/>
        <v>SOCIAL SECURITY TAXES</v>
      </c>
    </row>
    <row r="2576" spans="5:8" x14ac:dyDescent="0.25">
      <c r="E2576" t="str">
        <f>""</f>
        <v/>
      </c>
      <c r="F2576" t="str">
        <f>""</f>
        <v/>
      </c>
      <c r="H2576" t="str">
        <f t="shared" si="51"/>
        <v>SOCIAL SECURITY TAXES</v>
      </c>
    </row>
    <row r="2577" spans="5:8" x14ac:dyDescent="0.25">
      <c r="E2577" t="str">
        <f>""</f>
        <v/>
      </c>
      <c r="F2577" t="str">
        <f>""</f>
        <v/>
      </c>
      <c r="H2577" t="str">
        <f t="shared" si="51"/>
        <v>SOCIAL SECURITY TAXES</v>
      </c>
    </row>
    <row r="2578" spans="5:8" x14ac:dyDescent="0.25">
      <c r="E2578" t="str">
        <f>""</f>
        <v/>
      </c>
      <c r="F2578" t="str">
        <f>""</f>
        <v/>
      </c>
      <c r="H2578" t="str">
        <f t="shared" si="51"/>
        <v>SOCIAL SECURITY TAXES</v>
      </c>
    </row>
    <row r="2579" spans="5:8" x14ac:dyDescent="0.25">
      <c r="E2579" t="str">
        <f>""</f>
        <v/>
      </c>
      <c r="F2579" t="str">
        <f>""</f>
        <v/>
      </c>
      <c r="H2579" t="str">
        <f t="shared" si="51"/>
        <v>SOCIAL SECURITY TAXES</v>
      </c>
    </row>
    <row r="2580" spans="5:8" x14ac:dyDescent="0.25">
      <c r="E2580" t="str">
        <f>""</f>
        <v/>
      </c>
      <c r="F2580" t="str">
        <f>""</f>
        <v/>
      </c>
      <c r="H2580" t="str">
        <f t="shared" si="51"/>
        <v>SOCIAL SECURITY TAXES</v>
      </c>
    </row>
    <row r="2581" spans="5:8" x14ac:dyDescent="0.25">
      <c r="E2581" t="str">
        <f>""</f>
        <v/>
      </c>
      <c r="F2581" t="str">
        <f>""</f>
        <v/>
      </c>
      <c r="H2581" t="str">
        <f t="shared" si="51"/>
        <v>SOCIAL SECURITY TAXES</v>
      </c>
    </row>
    <row r="2582" spans="5:8" x14ac:dyDescent="0.25">
      <c r="E2582" t="str">
        <f>""</f>
        <v/>
      </c>
      <c r="F2582" t="str">
        <f>""</f>
        <v/>
      </c>
      <c r="H2582" t="str">
        <f t="shared" si="51"/>
        <v>SOCIAL SECURITY TAXES</v>
      </c>
    </row>
    <row r="2583" spans="5:8" x14ac:dyDescent="0.25">
      <c r="E2583" t="str">
        <f>""</f>
        <v/>
      </c>
      <c r="F2583" t="str">
        <f>""</f>
        <v/>
      </c>
      <c r="H2583" t="str">
        <f t="shared" si="51"/>
        <v>SOCIAL SECURITY TAXES</v>
      </c>
    </row>
    <row r="2584" spans="5:8" x14ac:dyDescent="0.25">
      <c r="E2584" t="str">
        <f>""</f>
        <v/>
      </c>
      <c r="F2584" t="str">
        <f>""</f>
        <v/>
      </c>
      <c r="H2584" t="str">
        <f t="shared" si="51"/>
        <v>SOCIAL SECURITY TAXES</v>
      </c>
    </row>
    <row r="2585" spans="5:8" x14ac:dyDescent="0.25">
      <c r="E2585" t="str">
        <f>""</f>
        <v/>
      </c>
      <c r="F2585" t="str">
        <f>""</f>
        <v/>
      </c>
      <c r="H2585" t="str">
        <f t="shared" si="51"/>
        <v>SOCIAL SECURITY TAXES</v>
      </c>
    </row>
    <row r="2586" spans="5:8" x14ac:dyDescent="0.25">
      <c r="E2586" t="str">
        <f>""</f>
        <v/>
      </c>
      <c r="F2586" t="str">
        <f>""</f>
        <v/>
      </c>
      <c r="H2586" t="str">
        <f t="shared" si="51"/>
        <v>SOCIAL SECURITY TAXES</v>
      </c>
    </row>
    <row r="2587" spans="5:8" x14ac:dyDescent="0.25">
      <c r="E2587" t="str">
        <f>""</f>
        <v/>
      </c>
      <c r="F2587" t="str">
        <f>""</f>
        <v/>
      </c>
      <c r="H2587" t="str">
        <f t="shared" si="51"/>
        <v>SOCIAL SECURITY TAXES</v>
      </c>
    </row>
    <row r="2588" spans="5:8" x14ac:dyDescent="0.25">
      <c r="E2588" t="str">
        <f>""</f>
        <v/>
      </c>
      <c r="F2588" t="str">
        <f>""</f>
        <v/>
      </c>
      <c r="H2588" t="str">
        <f t="shared" si="51"/>
        <v>SOCIAL SECURITY TAXES</v>
      </c>
    </row>
    <row r="2589" spans="5:8" x14ac:dyDescent="0.25">
      <c r="E2589" t="str">
        <f>""</f>
        <v/>
      </c>
      <c r="F2589" t="str">
        <f>""</f>
        <v/>
      </c>
      <c r="H2589" t="str">
        <f t="shared" si="51"/>
        <v>SOCIAL SECURITY TAXES</v>
      </c>
    </row>
    <row r="2590" spans="5:8" x14ac:dyDescent="0.25">
      <c r="E2590" t="str">
        <f>""</f>
        <v/>
      </c>
      <c r="F2590" t="str">
        <f>""</f>
        <v/>
      </c>
      <c r="H2590" t="str">
        <f t="shared" si="51"/>
        <v>SOCIAL SECURITY TAXES</v>
      </c>
    </row>
    <row r="2591" spans="5:8" x14ac:dyDescent="0.25">
      <c r="E2591" t="str">
        <f>""</f>
        <v/>
      </c>
      <c r="F2591" t="str">
        <f>""</f>
        <v/>
      </c>
      <c r="H2591" t="str">
        <f t="shared" si="51"/>
        <v>SOCIAL SECURITY TAXES</v>
      </c>
    </row>
    <row r="2592" spans="5:8" x14ac:dyDescent="0.25">
      <c r="E2592" t="str">
        <f>""</f>
        <v/>
      </c>
      <c r="F2592" t="str">
        <f>""</f>
        <v/>
      </c>
      <c r="H2592" t="str">
        <f t="shared" si="51"/>
        <v>SOCIAL SECURITY TAXES</v>
      </c>
    </row>
    <row r="2593" spans="5:8" x14ac:dyDescent="0.25">
      <c r="E2593" t="str">
        <f>""</f>
        <v/>
      </c>
      <c r="F2593" t="str">
        <f>""</f>
        <v/>
      </c>
      <c r="H2593" t="str">
        <f t="shared" si="51"/>
        <v>SOCIAL SECURITY TAXES</v>
      </c>
    </row>
    <row r="2594" spans="5:8" x14ac:dyDescent="0.25">
      <c r="E2594" t="str">
        <f>"T3 201911263511"</f>
        <v>T3 201911263511</v>
      </c>
      <c r="F2594" t="str">
        <f>"SOCIAL SECURITY TAXES"</f>
        <v>SOCIAL SECURITY TAXES</v>
      </c>
      <c r="G2594" s="2">
        <v>4544.6000000000004</v>
      </c>
      <c r="H2594" t="str">
        <f t="shared" si="51"/>
        <v>SOCIAL SECURITY TAXES</v>
      </c>
    </row>
    <row r="2595" spans="5:8" x14ac:dyDescent="0.25">
      <c r="E2595" t="str">
        <f>""</f>
        <v/>
      </c>
      <c r="F2595" t="str">
        <f>""</f>
        <v/>
      </c>
      <c r="H2595" t="str">
        <f t="shared" si="51"/>
        <v>SOCIAL SECURITY TAXES</v>
      </c>
    </row>
    <row r="2596" spans="5:8" x14ac:dyDescent="0.25">
      <c r="E2596" t="str">
        <f>"T3 201911263512"</f>
        <v>T3 201911263512</v>
      </c>
      <c r="F2596" t="str">
        <f>"SOCIAL SECURITY TAXES"</f>
        <v>SOCIAL SECURITY TAXES</v>
      </c>
      <c r="G2596" s="2">
        <v>5701.56</v>
      </c>
      <c r="H2596" t="str">
        <f t="shared" si="51"/>
        <v>SOCIAL SECURITY TAXES</v>
      </c>
    </row>
    <row r="2597" spans="5:8" x14ac:dyDescent="0.25">
      <c r="E2597" t="str">
        <f>""</f>
        <v/>
      </c>
      <c r="F2597" t="str">
        <f>""</f>
        <v/>
      </c>
      <c r="H2597" t="str">
        <f t="shared" si="51"/>
        <v>SOCIAL SECURITY TAXES</v>
      </c>
    </row>
    <row r="2598" spans="5:8" x14ac:dyDescent="0.25">
      <c r="E2598" t="str">
        <f>"T4 201911263510"</f>
        <v>T4 201911263510</v>
      </c>
      <c r="F2598" t="str">
        <f>"MEDICARE TAXES"</f>
        <v>MEDICARE TAXES</v>
      </c>
      <c r="G2598" s="2">
        <v>27481.94</v>
      </c>
      <c r="H2598" t="str">
        <f t="shared" ref="H2598:H2629" si="52">"MEDICARE TAXES"</f>
        <v>MEDICARE TAXES</v>
      </c>
    </row>
    <row r="2599" spans="5:8" x14ac:dyDescent="0.25">
      <c r="E2599" t="str">
        <f>""</f>
        <v/>
      </c>
      <c r="F2599" t="str">
        <f>""</f>
        <v/>
      </c>
      <c r="H2599" t="str">
        <f t="shared" si="52"/>
        <v>MEDICARE TAXES</v>
      </c>
    </row>
    <row r="2600" spans="5:8" x14ac:dyDescent="0.25">
      <c r="E2600" t="str">
        <f>""</f>
        <v/>
      </c>
      <c r="F2600" t="str">
        <f>""</f>
        <v/>
      </c>
      <c r="H2600" t="str">
        <f t="shared" si="52"/>
        <v>MEDICARE TAXES</v>
      </c>
    </row>
    <row r="2601" spans="5:8" x14ac:dyDescent="0.25">
      <c r="E2601" t="str">
        <f>""</f>
        <v/>
      </c>
      <c r="F2601" t="str">
        <f>""</f>
        <v/>
      </c>
      <c r="H2601" t="str">
        <f t="shared" si="52"/>
        <v>MEDICARE TAXES</v>
      </c>
    </row>
    <row r="2602" spans="5:8" x14ac:dyDescent="0.25">
      <c r="E2602" t="str">
        <f>""</f>
        <v/>
      </c>
      <c r="F2602" t="str">
        <f>""</f>
        <v/>
      </c>
      <c r="H2602" t="str">
        <f t="shared" si="52"/>
        <v>MEDICARE TAXES</v>
      </c>
    </row>
    <row r="2603" spans="5:8" x14ac:dyDescent="0.25">
      <c r="E2603" t="str">
        <f>""</f>
        <v/>
      </c>
      <c r="F2603" t="str">
        <f>""</f>
        <v/>
      </c>
      <c r="H2603" t="str">
        <f t="shared" si="52"/>
        <v>MEDICARE TAXES</v>
      </c>
    </row>
    <row r="2604" spans="5:8" x14ac:dyDescent="0.25">
      <c r="E2604" t="str">
        <f>""</f>
        <v/>
      </c>
      <c r="F2604" t="str">
        <f>""</f>
        <v/>
      </c>
      <c r="H2604" t="str">
        <f t="shared" si="52"/>
        <v>MEDICARE TAXES</v>
      </c>
    </row>
    <row r="2605" spans="5:8" x14ac:dyDescent="0.25">
      <c r="E2605" t="str">
        <f>""</f>
        <v/>
      </c>
      <c r="F2605" t="str">
        <f>""</f>
        <v/>
      </c>
      <c r="H2605" t="str">
        <f t="shared" si="52"/>
        <v>MEDICARE TAXES</v>
      </c>
    </row>
    <row r="2606" spans="5:8" x14ac:dyDescent="0.25">
      <c r="E2606" t="str">
        <f>""</f>
        <v/>
      </c>
      <c r="F2606" t="str">
        <f>""</f>
        <v/>
      </c>
      <c r="H2606" t="str">
        <f t="shared" si="52"/>
        <v>MEDICARE TAXES</v>
      </c>
    </row>
    <row r="2607" spans="5:8" x14ac:dyDescent="0.25">
      <c r="E2607" t="str">
        <f>""</f>
        <v/>
      </c>
      <c r="F2607" t="str">
        <f>""</f>
        <v/>
      </c>
      <c r="H2607" t="str">
        <f t="shared" si="52"/>
        <v>MEDICARE TAXES</v>
      </c>
    </row>
    <row r="2608" spans="5:8" x14ac:dyDescent="0.25">
      <c r="E2608" t="str">
        <f>""</f>
        <v/>
      </c>
      <c r="F2608" t="str">
        <f>""</f>
        <v/>
      </c>
      <c r="H2608" t="str">
        <f t="shared" si="52"/>
        <v>MEDICARE TAXES</v>
      </c>
    </row>
    <row r="2609" spans="5:8" x14ac:dyDescent="0.25">
      <c r="E2609" t="str">
        <f>""</f>
        <v/>
      </c>
      <c r="F2609" t="str">
        <f>""</f>
        <v/>
      </c>
      <c r="H2609" t="str">
        <f t="shared" si="52"/>
        <v>MEDICARE TAXES</v>
      </c>
    </row>
    <row r="2610" spans="5:8" x14ac:dyDescent="0.25">
      <c r="E2610" t="str">
        <f>""</f>
        <v/>
      </c>
      <c r="F2610" t="str">
        <f>""</f>
        <v/>
      </c>
      <c r="H2610" t="str">
        <f t="shared" si="52"/>
        <v>MEDICARE TAXES</v>
      </c>
    </row>
    <row r="2611" spans="5:8" x14ac:dyDescent="0.25">
      <c r="E2611" t="str">
        <f>""</f>
        <v/>
      </c>
      <c r="F2611" t="str">
        <f>""</f>
        <v/>
      </c>
      <c r="H2611" t="str">
        <f t="shared" si="52"/>
        <v>MEDICARE TAXES</v>
      </c>
    </row>
    <row r="2612" spans="5:8" x14ac:dyDescent="0.25">
      <c r="E2612" t="str">
        <f>""</f>
        <v/>
      </c>
      <c r="F2612" t="str">
        <f>""</f>
        <v/>
      </c>
      <c r="H2612" t="str">
        <f t="shared" si="52"/>
        <v>MEDICARE TAXES</v>
      </c>
    </row>
    <row r="2613" spans="5:8" x14ac:dyDescent="0.25">
      <c r="E2613" t="str">
        <f>""</f>
        <v/>
      </c>
      <c r="F2613" t="str">
        <f>""</f>
        <v/>
      </c>
      <c r="H2613" t="str">
        <f t="shared" si="52"/>
        <v>MEDICARE TAXES</v>
      </c>
    </row>
    <row r="2614" spans="5:8" x14ac:dyDescent="0.25">
      <c r="E2614" t="str">
        <f>""</f>
        <v/>
      </c>
      <c r="F2614" t="str">
        <f>""</f>
        <v/>
      </c>
      <c r="H2614" t="str">
        <f t="shared" si="52"/>
        <v>MEDICARE TAXES</v>
      </c>
    </row>
    <row r="2615" spans="5:8" x14ac:dyDescent="0.25">
      <c r="E2615" t="str">
        <f>""</f>
        <v/>
      </c>
      <c r="F2615" t="str">
        <f>""</f>
        <v/>
      </c>
      <c r="H2615" t="str">
        <f t="shared" si="52"/>
        <v>MEDICARE TAXES</v>
      </c>
    </row>
    <row r="2616" spans="5:8" x14ac:dyDescent="0.25">
      <c r="E2616" t="str">
        <f>""</f>
        <v/>
      </c>
      <c r="F2616" t="str">
        <f>""</f>
        <v/>
      </c>
      <c r="H2616" t="str">
        <f t="shared" si="52"/>
        <v>MEDICARE TAXES</v>
      </c>
    </row>
    <row r="2617" spans="5:8" x14ac:dyDescent="0.25">
      <c r="E2617" t="str">
        <f>""</f>
        <v/>
      </c>
      <c r="F2617" t="str">
        <f>""</f>
        <v/>
      </c>
      <c r="H2617" t="str">
        <f t="shared" si="52"/>
        <v>MEDICARE TAXES</v>
      </c>
    </row>
    <row r="2618" spans="5:8" x14ac:dyDescent="0.25">
      <c r="E2618" t="str">
        <f>""</f>
        <v/>
      </c>
      <c r="F2618" t="str">
        <f>""</f>
        <v/>
      </c>
      <c r="H2618" t="str">
        <f t="shared" si="52"/>
        <v>MEDICARE TAXES</v>
      </c>
    </row>
    <row r="2619" spans="5:8" x14ac:dyDescent="0.25">
      <c r="E2619" t="str">
        <f>""</f>
        <v/>
      </c>
      <c r="F2619" t="str">
        <f>""</f>
        <v/>
      </c>
      <c r="H2619" t="str">
        <f t="shared" si="52"/>
        <v>MEDICARE TAXES</v>
      </c>
    </row>
    <row r="2620" spans="5:8" x14ac:dyDescent="0.25">
      <c r="E2620" t="str">
        <f>""</f>
        <v/>
      </c>
      <c r="F2620" t="str">
        <f>""</f>
        <v/>
      </c>
      <c r="H2620" t="str">
        <f t="shared" si="52"/>
        <v>MEDICARE TAXES</v>
      </c>
    </row>
    <row r="2621" spans="5:8" x14ac:dyDescent="0.25">
      <c r="E2621" t="str">
        <f>""</f>
        <v/>
      </c>
      <c r="F2621" t="str">
        <f>""</f>
        <v/>
      </c>
      <c r="H2621" t="str">
        <f t="shared" si="52"/>
        <v>MEDICARE TAXES</v>
      </c>
    </row>
    <row r="2622" spans="5:8" x14ac:dyDescent="0.25">
      <c r="E2622" t="str">
        <f>""</f>
        <v/>
      </c>
      <c r="F2622" t="str">
        <f>""</f>
        <v/>
      </c>
      <c r="H2622" t="str">
        <f t="shared" si="52"/>
        <v>MEDICARE TAXES</v>
      </c>
    </row>
    <row r="2623" spans="5:8" x14ac:dyDescent="0.25">
      <c r="E2623" t="str">
        <f>""</f>
        <v/>
      </c>
      <c r="F2623" t="str">
        <f>""</f>
        <v/>
      </c>
      <c r="H2623" t="str">
        <f t="shared" si="52"/>
        <v>MEDICARE TAXES</v>
      </c>
    </row>
    <row r="2624" spans="5:8" x14ac:dyDescent="0.25">
      <c r="E2624" t="str">
        <f>""</f>
        <v/>
      </c>
      <c r="F2624" t="str">
        <f>""</f>
        <v/>
      </c>
      <c r="H2624" t="str">
        <f t="shared" si="52"/>
        <v>MEDICARE TAXES</v>
      </c>
    </row>
    <row r="2625" spans="5:8" x14ac:dyDescent="0.25">
      <c r="E2625" t="str">
        <f>""</f>
        <v/>
      </c>
      <c r="F2625" t="str">
        <f>""</f>
        <v/>
      </c>
      <c r="H2625" t="str">
        <f t="shared" si="52"/>
        <v>MEDICARE TAXES</v>
      </c>
    </row>
    <row r="2626" spans="5:8" x14ac:dyDescent="0.25">
      <c r="E2626" t="str">
        <f>""</f>
        <v/>
      </c>
      <c r="F2626" t="str">
        <f>""</f>
        <v/>
      </c>
      <c r="H2626" t="str">
        <f t="shared" si="52"/>
        <v>MEDICARE TAXES</v>
      </c>
    </row>
    <row r="2627" spans="5:8" x14ac:dyDescent="0.25">
      <c r="E2627" t="str">
        <f>""</f>
        <v/>
      </c>
      <c r="F2627" t="str">
        <f>""</f>
        <v/>
      </c>
      <c r="H2627" t="str">
        <f t="shared" si="52"/>
        <v>MEDICARE TAXES</v>
      </c>
    </row>
    <row r="2628" spans="5:8" x14ac:dyDescent="0.25">
      <c r="E2628" t="str">
        <f>""</f>
        <v/>
      </c>
      <c r="F2628" t="str">
        <f>""</f>
        <v/>
      </c>
      <c r="H2628" t="str">
        <f t="shared" si="52"/>
        <v>MEDICARE TAXES</v>
      </c>
    </row>
    <row r="2629" spans="5:8" x14ac:dyDescent="0.25">
      <c r="E2629" t="str">
        <f>""</f>
        <v/>
      </c>
      <c r="F2629" t="str">
        <f>""</f>
        <v/>
      </c>
      <c r="H2629" t="str">
        <f t="shared" si="52"/>
        <v>MEDICARE TAXES</v>
      </c>
    </row>
    <row r="2630" spans="5:8" x14ac:dyDescent="0.25">
      <c r="E2630" t="str">
        <f>""</f>
        <v/>
      </c>
      <c r="F2630" t="str">
        <f>""</f>
        <v/>
      </c>
      <c r="H2630" t="str">
        <f t="shared" ref="H2630:H2654" si="53">"MEDICARE TAXES"</f>
        <v>MEDICARE TAXES</v>
      </c>
    </row>
    <row r="2631" spans="5:8" x14ac:dyDescent="0.25">
      <c r="E2631" t="str">
        <f>""</f>
        <v/>
      </c>
      <c r="F2631" t="str">
        <f>""</f>
        <v/>
      </c>
      <c r="H2631" t="str">
        <f t="shared" si="53"/>
        <v>MEDICARE TAXES</v>
      </c>
    </row>
    <row r="2632" spans="5:8" x14ac:dyDescent="0.25">
      <c r="E2632" t="str">
        <f>""</f>
        <v/>
      </c>
      <c r="F2632" t="str">
        <f>""</f>
        <v/>
      </c>
      <c r="H2632" t="str">
        <f t="shared" si="53"/>
        <v>MEDICARE TAXES</v>
      </c>
    </row>
    <row r="2633" spans="5:8" x14ac:dyDescent="0.25">
      <c r="E2633" t="str">
        <f>""</f>
        <v/>
      </c>
      <c r="F2633" t="str">
        <f>""</f>
        <v/>
      </c>
      <c r="H2633" t="str">
        <f t="shared" si="53"/>
        <v>MEDICARE TAXES</v>
      </c>
    </row>
    <row r="2634" spans="5:8" x14ac:dyDescent="0.25">
      <c r="E2634" t="str">
        <f>""</f>
        <v/>
      </c>
      <c r="F2634" t="str">
        <f>""</f>
        <v/>
      </c>
      <c r="H2634" t="str">
        <f t="shared" si="53"/>
        <v>MEDICARE TAXES</v>
      </c>
    </row>
    <row r="2635" spans="5:8" x14ac:dyDescent="0.25">
      <c r="E2635" t="str">
        <f>""</f>
        <v/>
      </c>
      <c r="F2635" t="str">
        <f>""</f>
        <v/>
      </c>
      <c r="H2635" t="str">
        <f t="shared" si="53"/>
        <v>MEDICARE TAXES</v>
      </c>
    </row>
    <row r="2636" spans="5:8" x14ac:dyDescent="0.25">
      <c r="E2636" t="str">
        <f>""</f>
        <v/>
      </c>
      <c r="F2636" t="str">
        <f>""</f>
        <v/>
      </c>
      <c r="H2636" t="str">
        <f t="shared" si="53"/>
        <v>MEDICARE TAXES</v>
      </c>
    </row>
    <row r="2637" spans="5:8" x14ac:dyDescent="0.25">
      <c r="E2637" t="str">
        <f>""</f>
        <v/>
      </c>
      <c r="F2637" t="str">
        <f>""</f>
        <v/>
      </c>
      <c r="H2637" t="str">
        <f t="shared" si="53"/>
        <v>MEDICARE TAXES</v>
      </c>
    </row>
    <row r="2638" spans="5:8" x14ac:dyDescent="0.25">
      <c r="E2638" t="str">
        <f>""</f>
        <v/>
      </c>
      <c r="F2638" t="str">
        <f>""</f>
        <v/>
      </c>
      <c r="H2638" t="str">
        <f t="shared" si="53"/>
        <v>MEDICARE TAXES</v>
      </c>
    </row>
    <row r="2639" spans="5:8" x14ac:dyDescent="0.25">
      <c r="E2639" t="str">
        <f>""</f>
        <v/>
      </c>
      <c r="F2639" t="str">
        <f>""</f>
        <v/>
      </c>
      <c r="H2639" t="str">
        <f t="shared" si="53"/>
        <v>MEDICARE TAXES</v>
      </c>
    </row>
    <row r="2640" spans="5:8" x14ac:dyDescent="0.25">
      <c r="E2640" t="str">
        <f>""</f>
        <v/>
      </c>
      <c r="F2640" t="str">
        <f>""</f>
        <v/>
      </c>
      <c r="H2640" t="str">
        <f t="shared" si="53"/>
        <v>MEDICARE TAXES</v>
      </c>
    </row>
    <row r="2641" spans="1:8" x14ac:dyDescent="0.25">
      <c r="E2641" t="str">
        <f>""</f>
        <v/>
      </c>
      <c r="F2641" t="str">
        <f>""</f>
        <v/>
      </c>
      <c r="H2641" t="str">
        <f t="shared" si="53"/>
        <v>MEDICARE TAXES</v>
      </c>
    </row>
    <row r="2642" spans="1:8" x14ac:dyDescent="0.25">
      <c r="E2642" t="str">
        <f>""</f>
        <v/>
      </c>
      <c r="F2642" t="str">
        <f>""</f>
        <v/>
      </c>
      <c r="H2642" t="str">
        <f t="shared" si="53"/>
        <v>MEDICARE TAXES</v>
      </c>
    </row>
    <row r="2643" spans="1:8" x14ac:dyDescent="0.25">
      <c r="E2643" t="str">
        <f>""</f>
        <v/>
      </c>
      <c r="F2643" t="str">
        <f>""</f>
        <v/>
      </c>
      <c r="H2643" t="str">
        <f t="shared" si="53"/>
        <v>MEDICARE TAXES</v>
      </c>
    </row>
    <row r="2644" spans="1:8" x14ac:dyDescent="0.25">
      <c r="E2644" t="str">
        <f>""</f>
        <v/>
      </c>
      <c r="F2644" t="str">
        <f>""</f>
        <v/>
      </c>
      <c r="H2644" t="str">
        <f t="shared" si="53"/>
        <v>MEDICARE TAXES</v>
      </c>
    </row>
    <row r="2645" spans="1:8" x14ac:dyDescent="0.25">
      <c r="E2645" t="str">
        <f>""</f>
        <v/>
      </c>
      <c r="F2645" t="str">
        <f>""</f>
        <v/>
      </c>
      <c r="H2645" t="str">
        <f t="shared" si="53"/>
        <v>MEDICARE TAXES</v>
      </c>
    </row>
    <row r="2646" spans="1:8" x14ac:dyDescent="0.25">
      <c r="E2646" t="str">
        <f>""</f>
        <v/>
      </c>
      <c r="F2646" t="str">
        <f>""</f>
        <v/>
      </c>
      <c r="H2646" t="str">
        <f t="shared" si="53"/>
        <v>MEDICARE TAXES</v>
      </c>
    </row>
    <row r="2647" spans="1:8" x14ac:dyDescent="0.25">
      <c r="E2647" t="str">
        <f>""</f>
        <v/>
      </c>
      <c r="F2647" t="str">
        <f>""</f>
        <v/>
      </c>
      <c r="H2647" t="str">
        <f t="shared" si="53"/>
        <v>MEDICARE TAXES</v>
      </c>
    </row>
    <row r="2648" spans="1:8" x14ac:dyDescent="0.25">
      <c r="E2648" t="str">
        <f>""</f>
        <v/>
      </c>
      <c r="F2648" t="str">
        <f>""</f>
        <v/>
      </c>
      <c r="H2648" t="str">
        <f t="shared" si="53"/>
        <v>MEDICARE TAXES</v>
      </c>
    </row>
    <row r="2649" spans="1:8" x14ac:dyDescent="0.25">
      <c r="E2649" t="str">
        <f>""</f>
        <v/>
      </c>
      <c r="F2649" t="str">
        <f>""</f>
        <v/>
      </c>
      <c r="H2649" t="str">
        <f t="shared" si="53"/>
        <v>MEDICARE TAXES</v>
      </c>
    </row>
    <row r="2650" spans="1:8" x14ac:dyDescent="0.25">
      <c r="E2650" t="str">
        <f>""</f>
        <v/>
      </c>
      <c r="F2650" t="str">
        <f>""</f>
        <v/>
      </c>
      <c r="H2650" t="str">
        <f t="shared" si="53"/>
        <v>MEDICARE TAXES</v>
      </c>
    </row>
    <row r="2651" spans="1:8" x14ac:dyDescent="0.25">
      <c r="E2651" t="str">
        <f>"T4 201911263511"</f>
        <v>T4 201911263511</v>
      </c>
      <c r="F2651" t="str">
        <f>"MEDICARE TAXES"</f>
        <v>MEDICARE TAXES</v>
      </c>
      <c r="G2651" s="2">
        <v>1062.8800000000001</v>
      </c>
      <c r="H2651" t="str">
        <f t="shared" si="53"/>
        <v>MEDICARE TAXES</v>
      </c>
    </row>
    <row r="2652" spans="1:8" x14ac:dyDescent="0.25">
      <c r="E2652" t="str">
        <f>""</f>
        <v/>
      </c>
      <c r="F2652" t="str">
        <f>""</f>
        <v/>
      </c>
      <c r="H2652" t="str">
        <f t="shared" si="53"/>
        <v>MEDICARE TAXES</v>
      </c>
    </row>
    <row r="2653" spans="1:8" x14ac:dyDescent="0.25">
      <c r="E2653" t="str">
        <f>"T4 201911263512"</f>
        <v>T4 201911263512</v>
      </c>
      <c r="F2653" t="str">
        <f>"MEDICARE TAXES"</f>
        <v>MEDICARE TAXES</v>
      </c>
      <c r="G2653" s="2">
        <v>1333.46</v>
      </c>
      <c r="H2653" t="str">
        <f t="shared" si="53"/>
        <v>MEDICARE TAXES</v>
      </c>
    </row>
    <row r="2654" spans="1:8" x14ac:dyDescent="0.25">
      <c r="E2654" t="str">
        <f>""</f>
        <v/>
      </c>
      <c r="F2654" t="str">
        <f>""</f>
        <v/>
      </c>
      <c r="H2654" t="str">
        <f t="shared" si="53"/>
        <v>MEDICARE TAXES</v>
      </c>
    </row>
    <row r="2655" spans="1:8" x14ac:dyDescent="0.25">
      <c r="A2655" t="s">
        <v>455</v>
      </c>
      <c r="B2655">
        <v>275</v>
      </c>
      <c r="C2655" s="2">
        <v>674.82</v>
      </c>
      <c r="D2655" s="1">
        <v>43788</v>
      </c>
      <c r="E2655" t="str">
        <f>"LIX201910302805"</f>
        <v>LIX201910302805</v>
      </c>
      <c r="F2655" t="str">
        <f>"TEXAS LIFE/OLIVO GROUP"</f>
        <v>TEXAS LIFE/OLIVO GROUP</v>
      </c>
      <c r="G2655" s="2">
        <v>337.41</v>
      </c>
      <c r="H2655" t="str">
        <f>"TEXAS LIFE/OLIVO GROUP"</f>
        <v>TEXAS LIFE/OLIVO GROUP</v>
      </c>
    </row>
    <row r="2656" spans="1:8" x14ac:dyDescent="0.25">
      <c r="E2656" t="str">
        <f>"LIX201911133212"</f>
        <v>LIX201911133212</v>
      </c>
      <c r="F2656" t="str">
        <f>"TEXAS LIFE/OLIVO GROUP"</f>
        <v>TEXAS LIFE/OLIVO GROUP</v>
      </c>
      <c r="G2656" s="2">
        <v>337.41</v>
      </c>
      <c r="H2656" t="str">
        <f>"TEXAS LIFE/OLIVO GROUP"</f>
        <v>TEXAS LIFE/OLIVO GROUP</v>
      </c>
    </row>
    <row r="2657" spans="1:8" x14ac:dyDescent="0.25">
      <c r="A2657" t="s">
        <v>456</v>
      </c>
      <c r="B2657">
        <v>47704</v>
      </c>
      <c r="C2657" s="2">
        <v>160</v>
      </c>
      <c r="D2657" s="1">
        <v>43788</v>
      </c>
      <c r="E2657" t="str">
        <f>"PHI201910302805"</f>
        <v>PHI201910302805</v>
      </c>
      <c r="F2657" t="str">
        <f>"PHI AIR"</f>
        <v>PHI AIR</v>
      </c>
      <c r="G2657" s="2">
        <v>60</v>
      </c>
      <c r="H2657" t="str">
        <f>"PHI AIR"</f>
        <v>PHI AIR</v>
      </c>
    </row>
    <row r="2658" spans="1:8" x14ac:dyDescent="0.25">
      <c r="E2658" t="str">
        <f>"PHI201910302806"</f>
        <v>PHI201910302806</v>
      </c>
      <c r="F2658" t="str">
        <f>"PHI AIR"</f>
        <v>PHI AIR</v>
      </c>
      <c r="G2658" s="2">
        <v>20</v>
      </c>
      <c r="H2658" t="str">
        <f>"PHI AIR"</f>
        <v>PHI AIR</v>
      </c>
    </row>
    <row r="2659" spans="1:8" x14ac:dyDescent="0.25">
      <c r="E2659" t="str">
        <f>"PHI201911133212"</f>
        <v>PHI201911133212</v>
      </c>
      <c r="F2659" t="str">
        <f>"PHI AIR"</f>
        <v>PHI AIR</v>
      </c>
      <c r="G2659" s="2">
        <v>60</v>
      </c>
      <c r="H2659" t="str">
        <f>"PHI AIR"</f>
        <v>PHI AIR</v>
      </c>
    </row>
    <row r="2660" spans="1:8" x14ac:dyDescent="0.25">
      <c r="E2660" t="str">
        <f>"PHI201911133213"</f>
        <v>PHI201911133213</v>
      </c>
      <c r="F2660" t="str">
        <f>"PHI AIR"</f>
        <v>PHI AIR</v>
      </c>
      <c r="G2660" s="2">
        <v>20</v>
      </c>
      <c r="H2660" t="str">
        <f>"PHI AIR"</f>
        <v>PHI AIR</v>
      </c>
    </row>
    <row r="2661" spans="1:8" x14ac:dyDescent="0.25">
      <c r="A2661" t="s">
        <v>457</v>
      </c>
      <c r="B2661">
        <v>47706</v>
      </c>
      <c r="C2661" s="2">
        <v>364397.18</v>
      </c>
      <c r="D2661" s="1">
        <v>43794</v>
      </c>
      <c r="E2661" t="str">
        <f>"201911193340"</f>
        <v>201911193340</v>
      </c>
      <c r="F2661" t="str">
        <f>"RETIREE NOV 2019"</f>
        <v>RETIREE NOV 2019</v>
      </c>
      <c r="G2661" s="2">
        <v>16818.88</v>
      </c>
      <c r="H2661" t="str">
        <f>"TAC HEALTH BENEFITS POOL"</f>
        <v>TAC HEALTH BENEFITS POOL</v>
      </c>
    </row>
    <row r="2662" spans="1:8" x14ac:dyDescent="0.25">
      <c r="E2662" t="str">
        <f>"201911193341"</f>
        <v>201911193341</v>
      </c>
      <c r="F2662" t="str">
        <f>"OCTOBER JVP OFFSET"</f>
        <v>OCTOBER JVP OFFSET</v>
      </c>
      <c r="G2662" s="2">
        <v>442.4</v>
      </c>
      <c r="H2662" t="str">
        <f>"TAC HEALTH BENEFITS POOL"</f>
        <v>TAC HEALTH BENEFITS POOL</v>
      </c>
    </row>
    <row r="2663" spans="1:8" x14ac:dyDescent="0.25">
      <c r="E2663" t="str">
        <f>"2EC201910302805"</f>
        <v>2EC201910302805</v>
      </c>
      <c r="F2663" t="str">
        <f>"BCBS PAYABLE"</f>
        <v>BCBS PAYABLE</v>
      </c>
      <c r="G2663" s="2">
        <v>47432.32</v>
      </c>
      <c r="H2663" t="str">
        <f t="shared" ref="H2663:H2726" si="54">"BCBS PAYABLE"</f>
        <v>BCBS PAYABLE</v>
      </c>
    </row>
    <row r="2664" spans="1:8" x14ac:dyDescent="0.25">
      <c r="E2664" t="str">
        <f>""</f>
        <v/>
      </c>
      <c r="F2664" t="str">
        <f>""</f>
        <v/>
      </c>
      <c r="H2664" t="str">
        <f t="shared" si="54"/>
        <v>BCBS PAYABLE</v>
      </c>
    </row>
    <row r="2665" spans="1:8" x14ac:dyDescent="0.25">
      <c r="E2665" t="str">
        <f>""</f>
        <v/>
      </c>
      <c r="F2665" t="str">
        <f>""</f>
        <v/>
      </c>
      <c r="H2665" t="str">
        <f t="shared" si="54"/>
        <v>BCBS PAYABLE</v>
      </c>
    </row>
    <row r="2666" spans="1:8" x14ac:dyDescent="0.25">
      <c r="E2666" t="str">
        <f>""</f>
        <v/>
      </c>
      <c r="F2666" t="str">
        <f>""</f>
        <v/>
      </c>
      <c r="H2666" t="str">
        <f t="shared" si="54"/>
        <v>BCBS PAYABLE</v>
      </c>
    </row>
    <row r="2667" spans="1:8" x14ac:dyDescent="0.25">
      <c r="E2667" t="str">
        <f>""</f>
        <v/>
      </c>
      <c r="F2667" t="str">
        <f>""</f>
        <v/>
      </c>
      <c r="H2667" t="str">
        <f t="shared" si="54"/>
        <v>BCBS PAYABLE</v>
      </c>
    </row>
    <row r="2668" spans="1:8" x14ac:dyDescent="0.25">
      <c r="E2668" t="str">
        <f>""</f>
        <v/>
      </c>
      <c r="F2668" t="str">
        <f>""</f>
        <v/>
      </c>
      <c r="H2668" t="str">
        <f t="shared" si="54"/>
        <v>BCBS PAYABLE</v>
      </c>
    </row>
    <row r="2669" spans="1:8" x14ac:dyDescent="0.25">
      <c r="E2669" t="str">
        <f>""</f>
        <v/>
      </c>
      <c r="F2669" t="str">
        <f>""</f>
        <v/>
      </c>
      <c r="H2669" t="str">
        <f t="shared" si="54"/>
        <v>BCBS PAYABLE</v>
      </c>
    </row>
    <row r="2670" spans="1:8" x14ac:dyDescent="0.25">
      <c r="E2670" t="str">
        <f>""</f>
        <v/>
      </c>
      <c r="F2670" t="str">
        <f>""</f>
        <v/>
      </c>
      <c r="H2670" t="str">
        <f t="shared" si="54"/>
        <v>BCBS PAYABLE</v>
      </c>
    </row>
    <row r="2671" spans="1:8" x14ac:dyDescent="0.25">
      <c r="E2671" t="str">
        <f>""</f>
        <v/>
      </c>
      <c r="F2671" t="str">
        <f>""</f>
        <v/>
      </c>
      <c r="H2671" t="str">
        <f t="shared" si="54"/>
        <v>BCBS PAYABLE</v>
      </c>
    </row>
    <row r="2672" spans="1:8" x14ac:dyDescent="0.25">
      <c r="E2672" t="str">
        <f>""</f>
        <v/>
      </c>
      <c r="F2672" t="str">
        <f>""</f>
        <v/>
      </c>
      <c r="H2672" t="str">
        <f t="shared" si="54"/>
        <v>BCBS PAYABLE</v>
      </c>
    </row>
    <row r="2673" spans="5:8" x14ac:dyDescent="0.25">
      <c r="E2673" t="str">
        <f>""</f>
        <v/>
      </c>
      <c r="F2673" t="str">
        <f>""</f>
        <v/>
      </c>
      <c r="H2673" t="str">
        <f t="shared" si="54"/>
        <v>BCBS PAYABLE</v>
      </c>
    </row>
    <row r="2674" spans="5:8" x14ac:dyDescent="0.25">
      <c r="E2674" t="str">
        <f>""</f>
        <v/>
      </c>
      <c r="F2674" t="str">
        <f>""</f>
        <v/>
      </c>
      <c r="H2674" t="str">
        <f t="shared" si="54"/>
        <v>BCBS PAYABLE</v>
      </c>
    </row>
    <row r="2675" spans="5:8" x14ac:dyDescent="0.25">
      <c r="E2675" t="str">
        <f>""</f>
        <v/>
      </c>
      <c r="F2675" t="str">
        <f>""</f>
        <v/>
      </c>
      <c r="H2675" t="str">
        <f t="shared" si="54"/>
        <v>BCBS PAYABLE</v>
      </c>
    </row>
    <row r="2676" spans="5:8" x14ac:dyDescent="0.25">
      <c r="E2676" t="str">
        <f>""</f>
        <v/>
      </c>
      <c r="F2676" t="str">
        <f>""</f>
        <v/>
      </c>
      <c r="H2676" t="str">
        <f t="shared" si="54"/>
        <v>BCBS PAYABLE</v>
      </c>
    </row>
    <row r="2677" spans="5:8" x14ac:dyDescent="0.25">
      <c r="E2677" t="str">
        <f>""</f>
        <v/>
      </c>
      <c r="F2677" t="str">
        <f>""</f>
        <v/>
      </c>
      <c r="H2677" t="str">
        <f t="shared" si="54"/>
        <v>BCBS PAYABLE</v>
      </c>
    </row>
    <row r="2678" spans="5:8" x14ac:dyDescent="0.25">
      <c r="E2678" t="str">
        <f>""</f>
        <v/>
      </c>
      <c r="F2678" t="str">
        <f>""</f>
        <v/>
      </c>
      <c r="H2678" t="str">
        <f t="shared" si="54"/>
        <v>BCBS PAYABLE</v>
      </c>
    </row>
    <row r="2679" spans="5:8" x14ac:dyDescent="0.25">
      <c r="E2679" t="str">
        <f>""</f>
        <v/>
      </c>
      <c r="F2679" t="str">
        <f>""</f>
        <v/>
      </c>
      <c r="H2679" t="str">
        <f t="shared" si="54"/>
        <v>BCBS PAYABLE</v>
      </c>
    </row>
    <row r="2680" spans="5:8" x14ac:dyDescent="0.25">
      <c r="E2680" t="str">
        <f>""</f>
        <v/>
      </c>
      <c r="F2680" t="str">
        <f>""</f>
        <v/>
      </c>
      <c r="H2680" t="str">
        <f t="shared" si="54"/>
        <v>BCBS PAYABLE</v>
      </c>
    </row>
    <row r="2681" spans="5:8" x14ac:dyDescent="0.25">
      <c r="E2681" t="str">
        <f>""</f>
        <v/>
      </c>
      <c r="F2681" t="str">
        <f>""</f>
        <v/>
      </c>
      <c r="H2681" t="str">
        <f t="shared" si="54"/>
        <v>BCBS PAYABLE</v>
      </c>
    </row>
    <row r="2682" spans="5:8" x14ac:dyDescent="0.25">
      <c r="E2682" t="str">
        <f>""</f>
        <v/>
      </c>
      <c r="F2682" t="str">
        <f>""</f>
        <v/>
      </c>
      <c r="H2682" t="str">
        <f t="shared" si="54"/>
        <v>BCBS PAYABLE</v>
      </c>
    </row>
    <row r="2683" spans="5:8" x14ac:dyDescent="0.25">
      <c r="E2683" t="str">
        <f>""</f>
        <v/>
      </c>
      <c r="F2683" t="str">
        <f>""</f>
        <v/>
      </c>
      <c r="H2683" t="str">
        <f t="shared" si="54"/>
        <v>BCBS PAYABLE</v>
      </c>
    </row>
    <row r="2684" spans="5:8" x14ac:dyDescent="0.25">
      <c r="E2684" t="str">
        <f>""</f>
        <v/>
      </c>
      <c r="F2684" t="str">
        <f>""</f>
        <v/>
      </c>
      <c r="H2684" t="str">
        <f t="shared" si="54"/>
        <v>BCBS PAYABLE</v>
      </c>
    </row>
    <row r="2685" spans="5:8" x14ac:dyDescent="0.25">
      <c r="E2685" t="str">
        <f>""</f>
        <v/>
      </c>
      <c r="F2685" t="str">
        <f>""</f>
        <v/>
      </c>
      <c r="H2685" t="str">
        <f t="shared" si="54"/>
        <v>BCBS PAYABLE</v>
      </c>
    </row>
    <row r="2686" spans="5:8" x14ac:dyDescent="0.25">
      <c r="E2686" t="str">
        <f>""</f>
        <v/>
      </c>
      <c r="F2686" t="str">
        <f>""</f>
        <v/>
      </c>
      <c r="H2686" t="str">
        <f t="shared" si="54"/>
        <v>BCBS PAYABLE</v>
      </c>
    </row>
    <row r="2687" spans="5:8" x14ac:dyDescent="0.25">
      <c r="E2687" t="str">
        <f>""</f>
        <v/>
      </c>
      <c r="F2687" t="str">
        <f>""</f>
        <v/>
      </c>
      <c r="H2687" t="str">
        <f t="shared" si="54"/>
        <v>BCBS PAYABLE</v>
      </c>
    </row>
    <row r="2688" spans="5:8" x14ac:dyDescent="0.25">
      <c r="E2688" t="str">
        <f>""</f>
        <v/>
      </c>
      <c r="F2688" t="str">
        <f>""</f>
        <v/>
      </c>
      <c r="H2688" t="str">
        <f t="shared" si="54"/>
        <v>BCBS PAYABLE</v>
      </c>
    </row>
    <row r="2689" spans="5:8" x14ac:dyDescent="0.25">
      <c r="E2689" t="str">
        <f>""</f>
        <v/>
      </c>
      <c r="F2689" t="str">
        <f>""</f>
        <v/>
      </c>
      <c r="H2689" t="str">
        <f t="shared" si="54"/>
        <v>BCBS PAYABLE</v>
      </c>
    </row>
    <row r="2690" spans="5:8" x14ac:dyDescent="0.25">
      <c r="E2690" t="str">
        <f>""</f>
        <v/>
      </c>
      <c r="F2690" t="str">
        <f>""</f>
        <v/>
      </c>
      <c r="H2690" t="str">
        <f t="shared" si="54"/>
        <v>BCBS PAYABLE</v>
      </c>
    </row>
    <row r="2691" spans="5:8" x14ac:dyDescent="0.25">
      <c r="E2691" t="str">
        <f>""</f>
        <v/>
      </c>
      <c r="F2691" t="str">
        <f>""</f>
        <v/>
      </c>
      <c r="H2691" t="str">
        <f t="shared" si="54"/>
        <v>BCBS PAYABLE</v>
      </c>
    </row>
    <row r="2692" spans="5:8" x14ac:dyDescent="0.25">
      <c r="E2692" t="str">
        <f>""</f>
        <v/>
      </c>
      <c r="F2692" t="str">
        <f>""</f>
        <v/>
      </c>
      <c r="H2692" t="str">
        <f t="shared" si="54"/>
        <v>BCBS PAYABLE</v>
      </c>
    </row>
    <row r="2693" spans="5:8" x14ac:dyDescent="0.25">
      <c r="E2693" t="str">
        <f>""</f>
        <v/>
      </c>
      <c r="F2693" t="str">
        <f>""</f>
        <v/>
      </c>
      <c r="H2693" t="str">
        <f t="shared" si="54"/>
        <v>BCBS PAYABLE</v>
      </c>
    </row>
    <row r="2694" spans="5:8" x14ac:dyDescent="0.25">
      <c r="E2694" t="str">
        <f>""</f>
        <v/>
      </c>
      <c r="F2694" t="str">
        <f>""</f>
        <v/>
      </c>
      <c r="H2694" t="str">
        <f t="shared" si="54"/>
        <v>BCBS PAYABLE</v>
      </c>
    </row>
    <row r="2695" spans="5:8" x14ac:dyDescent="0.25">
      <c r="E2695" t="str">
        <f>"2EC201910302806"</f>
        <v>2EC201910302806</v>
      </c>
      <c r="F2695" t="str">
        <f>"BCBS PAYABLE"</f>
        <v>BCBS PAYABLE</v>
      </c>
      <c r="G2695" s="2">
        <v>1763.32</v>
      </c>
      <c r="H2695" t="str">
        <f t="shared" si="54"/>
        <v>BCBS PAYABLE</v>
      </c>
    </row>
    <row r="2696" spans="5:8" x14ac:dyDescent="0.25">
      <c r="E2696" t="str">
        <f>""</f>
        <v/>
      </c>
      <c r="F2696" t="str">
        <f>""</f>
        <v/>
      </c>
      <c r="H2696" t="str">
        <f t="shared" si="54"/>
        <v>BCBS PAYABLE</v>
      </c>
    </row>
    <row r="2697" spans="5:8" x14ac:dyDescent="0.25">
      <c r="E2697" t="str">
        <f>"2EC201911133212"</f>
        <v>2EC201911133212</v>
      </c>
      <c r="F2697" t="str">
        <f>"BCBS PAYABLE"</f>
        <v>BCBS PAYABLE</v>
      </c>
      <c r="G2697" s="2">
        <v>47432.32</v>
      </c>
      <c r="H2697" t="str">
        <f t="shared" si="54"/>
        <v>BCBS PAYABLE</v>
      </c>
    </row>
    <row r="2698" spans="5:8" x14ac:dyDescent="0.25">
      <c r="E2698" t="str">
        <f>""</f>
        <v/>
      </c>
      <c r="F2698" t="str">
        <f>""</f>
        <v/>
      </c>
      <c r="H2698" t="str">
        <f t="shared" si="54"/>
        <v>BCBS PAYABLE</v>
      </c>
    </row>
    <row r="2699" spans="5:8" x14ac:dyDescent="0.25">
      <c r="E2699" t="str">
        <f>""</f>
        <v/>
      </c>
      <c r="F2699" t="str">
        <f>""</f>
        <v/>
      </c>
      <c r="H2699" t="str">
        <f t="shared" si="54"/>
        <v>BCBS PAYABLE</v>
      </c>
    </row>
    <row r="2700" spans="5:8" x14ac:dyDescent="0.25">
      <c r="E2700" t="str">
        <f>""</f>
        <v/>
      </c>
      <c r="F2700" t="str">
        <f>""</f>
        <v/>
      </c>
      <c r="H2700" t="str">
        <f t="shared" si="54"/>
        <v>BCBS PAYABLE</v>
      </c>
    </row>
    <row r="2701" spans="5:8" x14ac:dyDescent="0.25">
      <c r="E2701" t="str">
        <f>""</f>
        <v/>
      </c>
      <c r="F2701" t="str">
        <f>""</f>
        <v/>
      </c>
      <c r="H2701" t="str">
        <f t="shared" si="54"/>
        <v>BCBS PAYABLE</v>
      </c>
    </row>
    <row r="2702" spans="5:8" x14ac:dyDescent="0.25">
      <c r="E2702" t="str">
        <f>""</f>
        <v/>
      </c>
      <c r="F2702" t="str">
        <f>""</f>
        <v/>
      </c>
      <c r="H2702" t="str">
        <f t="shared" si="54"/>
        <v>BCBS PAYABLE</v>
      </c>
    </row>
    <row r="2703" spans="5:8" x14ac:dyDescent="0.25">
      <c r="E2703" t="str">
        <f>""</f>
        <v/>
      </c>
      <c r="F2703" t="str">
        <f>""</f>
        <v/>
      </c>
      <c r="H2703" t="str">
        <f t="shared" si="54"/>
        <v>BCBS PAYABLE</v>
      </c>
    </row>
    <row r="2704" spans="5:8" x14ac:dyDescent="0.25">
      <c r="E2704" t="str">
        <f>""</f>
        <v/>
      </c>
      <c r="F2704" t="str">
        <f>""</f>
        <v/>
      </c>
      <c r="H2704" t="str">
        <f t="shared" si="54"/>
        <v>BCBS PAYABLE</v>
      </c>
    </row>
    <row r="2705" spans="5:8" x14ac:dyDescent="0.25">
      <c r="E2705" t="str">
        <f>""</f>
        <v/>
      </c>
      <c r="F2705" t="str">
        <f>""</f>
        <v/>
      </c>
      <c r="H2705" t="str">
        <f t="shared" si="54"/>
        <v>BCBS PAYABLE</v>
      </c>
    </row>
    <row r="2706" spans="5:8" x14ac:dyDescent="0.25">
      <c r="E2706" t="str">
        <f>""</f>
        <v/>
      </c>
      <c r="F2706" t="str">
        <f>""</f>
        <v/>
      </c>
      <c r="H2706" t="str">
        <f t="shared" si="54"/>
        <v>BCBS PAYABLE</v>
      </c>
    </row>
    <row r="2707" spans="5:8" x14ac:dyDescent="0.25">
      <c r="E2707" t="str">
        <f>""</f>
        <v/>
      </c>
      <c r="F2707" t="str">
        <f>""</f>
        <v/>
      </c>
      <c r="H2707" t="str">
        <f t="shared" si="54"/>
        <v>BCBS PAYABLE</v>
      </c>
    </row>
    <row r="2708" spans="5:8" x14ac:dyDescent="0.25">
      <c r="E2708" t="str">
        <f>""</f>
        <v/>
      </c>
      <c r="F2708" t="str">
        <f>""</f>
        <v/>
      </c>
      <c r="H2708" t="str">
        <f t="shared" si="54"/>
        <v>BCBS PAYABLE</v>
      </c>
    </row>
    <row r="2709" spans="5:8" x14ac:dyDescent="0.25">
      <c r="E2709" t="str">
        <f>""</f>
        <v/>
      </c>
      <c r="F2709" t="str">
        <f>""</f>
        <v/>
      </c>
      <c r="H2709" t="str">
        <f t="shared" si="54"/>
        <v>BCBS PAYABLE</v>
      </c>
    </row>
    <row r="2710" spans="5:8" x14ac:dyDescent="0.25">
      <c r="E2710" t="str">
        <f>""</f>
        <v/>
      </c>
      <c r="F2710" t="str">
        <f>""</f>
        <v/>
      </c>
      <c r="H2710" t="str">
        <f t="shared" si="54"/>
        <v>BCBS PAYABLE</v>
      </c>
    </row>
    <row r="2711" spans="5:8" x14ac:dyDescent="0.25">
      <c r="E2711" t="str">
        <f>""</f>
        <v/>
      </c>
      <c r="F2711" t="str">
        <f>""</f>
        <v/>
      </c>
      <c r="H2711" t="str">
        <f t="shared" si="54"/>
        <v>BCBS PAYABLE</v>
      </c>
    </row>
    <row r="2712" spans="5:8" x14ac:dyDescent="0.25">
      <c r="E2712" t="str">
        <f>""</f>
        <v/>
      </c>
      <c r="F2712" t="str">
        <f>""</f>
        <v/>
      </c>
      <c r="H2712" t="str">
        <f t="shared" si="54"/>
        <v>BCBS PAYABLE</v>
      </c>
    </row>
    <row r="2713" spans="5:8" x14ac:dyDescent="0.25">
      <c r="E2713" t="str">
        <f>""</f>
        <v/>
      </c>
      <c r="F2713" t="str">
        <f>""</f>
        <v/>
      </c>
      <c r="H2713" t="str">
        <f t="shared" si="54"/>
        <v>BCBS PAYABLE</v>
      </c>
    </row>
    <row r="2714" spans="5:8" x14ac:dyDescent="0.25">
      <c r="E2714" t="str">
        <f>""</f>
        <v/>
      </c>
      <c r="F2714" t="str">
        <f>""</f>
        <v/>
      </c>
      <c r="H2714" t="str">
        <f t="shared" si="54"/>
        <v>BCBS PAYABLE</v>
      </c>
    </row>
    <row r="2715" spans="5:8" x14ac:dyDescent="0.25">
      <c r="E2715" t="str">
        <f>""</f>
        <v/>
      </c>
      <c r="F2715" t="str">
        <f>""</f>
        <v/>
      </c>
      <c r="H2715" t="str">
        <f t="shared" si="54"/>
        <v>BCBS PAYABLE</v>
      </c>
    </row>
    <row r="2716" spans="5:8" x14ac:dyDescent="0.25">
      <c r="E2716" t="str">
        <f>""</f>
        <v/>
      </c>
      <c r="F2716" t="str">
        <f>""</f>
        <v/>
      </c>
      <c r="H2716" t="str">
        <f t="shared" si="54"/>
        <v>BCBS PAYABLE</v>
      </c>
    </row>
    <row r="2717" spans="5:8" x14ac:dyDescent="0.25">
      <c r="E2717" t="str">
        <f>""</f>
        <v/>
      </c>
      <c r="F2717" t="str">
        <f>""</f>
        <v/>
      </c>
      <c r="H2717" t="str">
        <f t="shared" si="54"/>
        <v>BCBS PAYABLE</v>
      </c>
    </row>
    <row r="2718" spans="5:8" x14ac:dyDescent="0.25">
      <c r="E2718" t="str">
        <f>""</f>
        <v/>
      </c>
      <c r="F2718" t="str">
        <f>""</f>
        <v/>
      </c>
      <c r="H2718" t="str">
        <f t="shared" si="54"/>
        <v>BCBS PAYABLE</v>
      </c>
    </row>
    <row r="2719" spans="5:8" x14ac:dyDescent="0.25">
      <c r="E2719" t="str">
        <f>""</f>
        <v/>
      </c>
      <c r="F2719" t="str">
        <f>""</f>
        <v/>
      </c>
      <c r="H2719" t="str">
        <f t="shared" si="54"/>
        <v>BCBS PAYABLE</v>
      </c>
    </row>
    <row r="2720" spans="5:8" x14ac:dyDescent="0.25">
      <c r="E2720" t="str">
        <f>""</f>
        <v/>
      </c>
      <c r="F2720" t="str">
        <f>""</f>
        <v/>
      </c>
      <c r="H2720" t="str">
        <f t="shared" si="54"/>
        <v>BCBS PAYABLE</v>
      </c>
    </row>
    <row r="2721" spans="5:8" x14ac:dyDescent="0.25">
      <c r="E2721" t="str">
        <f>""</f>
        <v/>
      </c>
      <c r="F2721" t="str">
        <f>""</f>
        <v/>
      </c>
      <c r="H2721" t="str">
        <f t="shared" si="54"/>
        <v>BCBS PAYABLE</v>
      </c>
    </row>
    <row r="2722" spans="5:8" x14ac:dyDescent="0.25">
      <c r="E2722" t="str">
        <f>""</f>
        <v/>
      </c>
      <c r="F2722" t="str">
        <f>""</f>
        <v/>
      </c>
      <c r="H2722" t="str">
        <f t="shared" si="54"/>
        <v>BCBS PAYABLE</v>
      </c>
    </row>
    <row r="2723" spans="5:8" x14ac:dyDescent="0.25">
      <c r="E2723" t="str">
        <f>""</f>
        <v/>
      </c>
      <c r="F2723" t="str">
        <f>""</f>
        <v/>
      </c>
      <c r="H2723" t="str">
        <f t="shared" si="54"/>
        <v>BCBS PAYABLE</v>
      </c>
    </row>
    <row r="2724" spans="5:8" x14ac:dyDescent="0.25">
      <c r="E2724" t="str">
        <f>""</f>
        <v/>
      </c>
      <c r="F2724" t="str">
        <f>""</f>
        <v/>
      </c>
      <c r="H2724" t="str">
        <f t="shared" si="54"/>
        <v>BCBS PAYABLE</v>
      </c>
    </row>
    <row r="2725" spans="5:8" x14ac:dyDescent="0.25">
      <c r="E2725" t="str">
        <f>""</f>
        <v/>
      </c>
      <c r="F2725" t="str">
        <f>""</f>
        <v/>
      </c>
      <c r="H2725" t="str">
        <f t="shared" si="54"/>
        <v>BCBS PAYABLE</v>
      </c>
    </row>
    <row r="2726" spans="5:8" x14ac:dyDescent="0.25">
      <c r="E2726" t="str">
        <f>""</f>
        <v/>
      </c>
      <c r="F2726" t="str">
        <f>""</f>
        <v/>
      </c>
      <c r="H2726" t="str">
        <f t="shared" si="54"/>
        <v>BCBS PAYABLE</v>
      </c>
    </row>
    <row r="2727" spans="5:8" x14ac:dyDescent="0.25">
      <c r="E2727" t="str">
        <f>""</f>
        <v/>
      </c>
      <c r="F2727" t="str">
        <f>""</f>
        <v/>
      </c>
      <c r="H2727" t="str">
        <f t="shared" ref="H2727:H2790" si="55">"BCBS PAYABLE"</f>
        <v>BCBS PAYABLE</v>
      </c>
    </row>
    <row r="2728" spans="5:8" x14ac:dyDescent="0.25">
      <c r="E2728" t="str">
        <f>""</f>
        <v/>
      </c>
      <c r="F2728" t="str">
        <f>""</f>
        <v/>
      </c>
      <c r="H2728" t="str">
        <f t="shared" si="55"/>
        <v>BCBS PAYABLE</v>
      </c>
    </row>
    <row r="2729" spans="5:8" x14ac:dyDescent="0.25">
      <c r="E2729" t="str">
        <f>"2EC201911133213"</f>
        <v>2EC201911133213</v>
      </c>
      <c r="F2729" t="str">
        <f>"BCBS PAYABLE"</f>
        <v>BCBS PAYABLE</v>
      </c>
      <c r="G2729" s="2">
        <v>1948.52</v>
      </c>
      <c r="H2729" t="str">
        <f t="shared" si="55"/>
        <v>BCBS PAYABLE</v>
      </c>
    </row>
    <row r="2730" spans="5:8" x14ac:dyDescent="0.25">
      <c r="E2730" t="str">
        <f>""</f>
        <v/>
      </c>
      <c r="F2730" t="str">
        <f>""</f>
        <v/>
      </c>
      <c r="H2730" t="str">
        <f t="shared" si="55"/>
        <v>BCBS PAYABLE</v>
      </c>
    </row>
    <row r="2731" spans="5:8" x14ac:dyDescent="0.25">
      <c r="E2731" t="str">
        <f>"2EF201910302805"</f>
        <v>2EF201910302805</v>
      </c>
      <c r="F2731" t="str">
        <f>"BCBS PAYABLE"</f>
        <v>BCBS PAYABLE</v>
      </c>
      <c r="G2731" s="2">
        <v>2718.27</v>
      </c>
      <c r="H2731" t="str">
        <f t="shared" si="55"/>
        <v>BCBS PAYABLE</v>
      </c>
    </row>
    <row r="2732" spans="5:8" x14ac:dyDescent="0.25">
      <c r="E2732" t="str">
        <f>""</f>
        <v/>
      </c>
      <c r="F2732" t="str">
        <f>""</f>
        <v/>
      </c>
      <c r="H2732" t="str">
        <f t="shared" si="55"/>
        <v>BCBS PAYABLE</v>
      </c>
    </row>
    <row r="2733" spans="5:8" x14ac:dyDescent="0.25">
      <c r="E2733" t="str">
        <f>""</f>
        <v/>
      </c>
      <c r="F2733" t="str">
        <f>""</f>
        <v/>
      </c>
      <c r="H2733" t="str">
        <f t="shared" si="55"/>
        <v>BCBS PAYABLE</v>
      </c>
    </row>
    <row r="2734" spans="5:8" x14ac:dyDescent="0.25">
      <c r="E2734" t="str">
        <f>""</f>
        <v/>
      </c>
      <c r="F2734" t="str">
        <f>""</f>
        <v/>
      </c>
      <c r="H2734" t="str">
        <f t="shared" si="55"/>
        <v>BCBS PAYABLE</v>
      </c>
    </row>
    <row r="2735" spans="5:8" x14ac:dyDescent="0.25">
      <c r="E2735" t="str">
        <f>""</f>
        <v/>
      </c>
      <c r="F2735" t="str">
        <f>""</f>
        <v/>
      </c>
      <c r="H2735" t="str">
        <f t="shared" si="55"/>
        <v>BCBS PAYABLE</v>
      </c>
    </row>
    <row r="2736" spans="5:8" x14ac:dyDescent="0.25">
      <c r="E2736" t="str">
        <f>"2EF201911133212"</f>
        <v>2EF201911133212</v>
      </c>
      <c r="F2736" t="str">
        <f>"BCBS PAYABLE"</f>
        <v>BCBS PAYABLE</v>
      </c>
      <c r="G2736" s="2">
        <v>2718.27</v>
      </c>
      <c r="H2736" t="str">
        <f t="shared" si="55"/>
        <v>BCBS PAYABLE</v>
      </c>
    </row>
    <row r="2737" spans="5:8" x14ac:dyDescent="0.25">
      <c r="E2737" t="str">
        <f>""</f>
        <v/>
      </c>
      <c r="F2737" t="str">
        <f>""</f>
        <v/>
      </c>
      <c r="H2737" t="str">
        <f t="shared" si="55"/>
        <v>BCBS PAYABLE</v>
      </c>
    </row>
    <row r="2738" spans="5:8" x14ac:dyDescent="0.25">
      <c r="E2738" t="str">
        <f>""</f>
        <v/>
      </c>
      <c r="F2738" t="str">
        <f>""</f>
        <v/>
      </c>
      <c r="H2738" t="str">
        <f t="shared" si="55"/>
        <v>BCBS PAYABLE</v>
      </c>
    </row>
    <row r="2739" spans="5:8" x14ac:dyDescent="0.25">
      <c r="E2739" t="str">
        <f>""</f>
        <v/>
      </c>
      <c r="F2739" t="str">
        <f>""</f>
        <v/>
      </c>
      <c r="H2739" t="str">
        <f t="shared" si="55"/>
        <v>BCBS PAYABLE</v>
      </c>
    </row>
    <row r="2740" spans="5:8" x14ac:dyDescent="0.25">
      <c r="E2740" t="str">
        <f>""</f>
        <v/>
      </c>
      <c r="F2740" t="str">
        <f>""</f>
        <v/>
      </c>
      <c r="H2740" t="str">
        <f t="shared" si="55"/>
        <v>BCBS PAYABLE</v>
      </c>
    </row>
    <row r="2741" spans="5:8" x14ac:dyDescent="0.25">
      <c r="E2741" t="str">
        <f>"2EO201910302805"</f>
        <v>2EO201910302805</v>
      </c>
      <c r="F2741" t="str">
        <f>"BCBS PAYABLE"</f>
        <v>BCBS PAYABLE</v>
      </c>
      <c r="G2741" s="2">
        <v>101223.4</v>
      </c>
      <c r="H2741" t="str">
        <f t="shared" si="55"/>
        <v>BCBS PAYABLE</v>
      </c>
    </row>
    <row r="2742" spans="5:8" x14ac:dyDescent="0.25">
      <c r="E2742" t="str">
        <f>""</f>
        <v/>
      </c>
      <c r="F2742" t="str">
        <f>""</f>
        <v/>
      </c>
      <c r="H2742" t="str">
        <f t="shared" si="55"/>
        <v>BCBS PAYABLE</v>
      </c>
    </row>
    <row r="2743" spans="5:8" x14ac:dyDescent="0.25">
      <c r="E2743" t="str">
        <f>""</f>
        <v/>
      </c>
      <c r="F2743" t="str">
        <f>""</f>
        <v/>
      </c>
      <c r="H2743" t="str">
        <f t="shared" si="55"/>
        <v>BCBS PAYABLE</v>
      </c>
    </row>
    <row r="2744" spans="5:8" x14ac:dyDescent="0.25">
      <c r="E2744" t="str">
        <f>""</f>
        <v/>
      </c>
      <c r="F2744" t="str">
        <f>""</f>
        <v/>
      </c>
      <c r="H2744" t="str">
        <f t="shared" si="55"/>
        <v>BCBS PAYABLE</v>
      </c>
    </row>
    <row r="2745" spans="5:8" x14ac:dyDescent="0.25">
      <c r="E2745" t="str">
        <f>""</f>
        <v/>
      </c>
      <c r="F2745" t="str">
        <f>""</f>
        <v/>
      </c>
      <c r="H2745" t="str">
        <f t="shared" si="55"/>
        <v>BCBS PAYABLE</v>
      </c>
    </row>
    <row r="2746" spans="5:8" x14ac:dyDescent="0.25">
      <c r="E2746" t="str">
        <f>""</f>
        <v/>
      </c>
      <c r="F2746" t="str">
        <f>""</f>
        <v/>
      </c>
      <c r="H2746" t="str">
        <f t="shared" si="55"/>
        <v>BCBS PAYABLE</v>
      </c>
    </row>
    <row r="2747" spans="5:8" x14ac:dyDescent="0.25">
      <c r="E2747" t="str">
        <f>""</f>
        <v/>
      </c>
      <c r="F2747" t="str">
        <f>""</f>
        <v/>
      </c>
      <c r="H2747" t="str">
        <f t="shared" si="55"/>
        <v>BCBS PAYABLE</v>
      </c>
    </row>
    <row r="2748" spans="5:8" x14ac:dyDescent="0.25">
      <c r="E2748" t="str">
        <f>""</f>
        <v/>
      </c>
      <c r="F2748" t="str">
        <f>""</f>
        <v/>
      </c>
      <c r="H2748" t="str">
        <f t="shared" si="55"/>
        <v>BCBS PAYABLE</v>
      </c>
    </row>
    <row r="2749" spans="5:8" x14ac:dyDescent="0.25">
      <c r="E2749" t="str">
        <f>""</f>
        <v/>
      </c>
      <c r="F2749" t="str">
        <f>""</f>
        <v/>
      </c>
      <c r="H2749" t="str">
        <f t="shared" si="55"/>
        <v>BCBS PAYABLE</v>
      </c>
    </row>
    <row r="2750" spans="5:8" x14ac:dyDescent="0.25">
      <c r="E2750" t="str">
        <f>""</f>
        <v/>
      </c>
      <c r="F2750" t="str">
        <f>""</f>
        <v/>
      </c>
      <c r="H2750" t="str">
        <f t="shared" si="55"/>
        <v>BCBS PAYABLE</v>
      </c>
    </row>
    <row r="2751" spans="5:8" x14ac:dyDescent="0.25">
      <c r="E2751" t="str">
        <f>""</f>
        <v/>
      </c>
      <c r="F2751" t="str">
        <f>""</f>
        <v/>
      </c>
      <c r="H2751" t="str">
        <f t="shared" si="55"/>
        <v>BCBS PAYABLE</v>
      </c>
    </row>
    <row r="2752" spans="5:8" x14ac:dyDescent="0.25">
      <c r="E2752" t="str">
        <f>""</f>
        <v/>
      </c>
      <c r="F2752" t="str">
        <f>""</f>
        <v/>
      </c>
      <c r="H2752" t="str">
        <f t="shared" si="55"/>
        <v>BCBS PAYABLE</v>
      </c>
    </row>
    <row r="2753" spans="5:8" x14ac:dyDescent="0.25">
      <c r="E2753" t="str">
        <f>""</f>
        <v/>
      </c>
      <c r="F2753" t="str">
        <f>""</f>
        <v/>
      </c>
      <c r="H2753" t="str">
        <f t="shared" si="55"/>
        <v>BCBS PAYABLE</v>
      </c>
    </row>
    <row r="2754" spans="5:8" x14ac:dyDescent="0.25">
      <c r="E2754" t="str">
        <f>""</f>
        <v/>
      </c>
      <c r="F2754" t="str">
        <f>""</f>
        <v/>
      </c>
      <c r="H2754" t="str">
        <f t="shared" si="55"/>
        <v>BCBS PAYABLE</v>
      </c>
    </row>
    <row r="2755" spans="5:8" x14ac:dyDescent="0.25">
      <c r="E2755" t="str">
        <f>""</f>
        <v/>
      </c>
      <c r="F2755" t="str">
        <f>""</f>
        <v/>
      </c>
      <c r="H2755" t="str">
        <f t="shared" si="55"/>
        <v>BCBS PAYABLE</v>
      </c>
    </row>
    <row r="2756" spans="5:8" x14ac:dyDescent="0.25">
      <c r="E2756" t="str">
        <f>""</f>
        <v/>
      </c>
      <c r="F2756" t="str">
        <f>""</f>
        <v/>
      </c>
      <c r="H2756" t="str">
        <f t="shared" si="55"/>
        <v>BCBS PAYABLE</v>
      </c>
    </row>
    <row r="2757" spans="5:8" x14ac:dyDescent="0.25">
      <c r="E2757" t="str">
        <f>""</f>
        <v/>
      </c>
      <c r="F2757" t="str">
        <f>""</f>
        <v/>
      </c>
      <c r="H2757" t="str">
        <f t="shared" si="55"/>
        <v>BCBS PAYABLE</v>
      </c>
    </row>
    <row r="2758" spans="5:8" x14ac:dyDescent="0.25">
      <c r="E2758" t="str">
        <f>""</f>
        <v/>
      </c>
      <c r="F2758" t="str">
        <f>""</f>
        <v/>
      </c>
      <c r="H2758" t="str">
        <f t="shared" si="55"/>
        <v>BCBS PAYABLE</v>
      </c>
    </row>
    <row r="2759" spans="5:8" x14ac:dyDescent="0.25">
      <c r="E2759" t="str">
        <f>""</f>
        <v/>
      </c>
      <c r="F2759" t="str">
        <f>""</f>
        <v/>
      </c>
      <c r="H2759" t="str">
        <f t="shared" si="55"/>
        <v>BCBS PAYABLE</v>
      </c>
    </row>
    <row r="2760" spans="5:8" x14ac:dyDescent="0.25">
      <c r="E2760" t="str">
        <f>""</f>
        <v/>
      </c>
      <c r="F2760" t="str">
        <f>""</f>
        <v/>
      </c>
      <c r="H2760" t="str">
        <f t="shared" si="55"/>
        <v>BCBS PAYABLE</v>
      </c>
    </row>
    <row r="2761" spans="5:8" x14ac:dyDescent="0.25">
      <c r="E2761" t="str">
        <f>""</f>
        <v/>
      </c>
      <c r="F2761" t="str">
        <f>""</f>
        <v/>
      </c>
      <c r="H2761" t="str">
        <f t="shared" si="55"/>
        <v>BCBS PAYABLE</v>
      </c>
    </row>
    <row r="2762" spans="5:8" x14ac:dyDescent="0.25">
      <c r="E2762" t="str">
        <f>""</f>
        <v/>
      </c>
      <c r="F2762" t="str">
        <f>""</f>
        <v/>
      </c>
      <c r="H2762" t="str">
        <f t="shared" si="55"/>
        <v>BCBS PAYABLE</v>
      </c>
    </row>
    <row r="2763" spans="5:8" x14ac:dyDescent="0.25">
      <c r="E2763" t="str">
        <f>""</f>
        <v/>
      </c>
      <c r="F2763" t="str">
        <f>""</f>
        <v/>
      </c>
      <c r="H2763" t="str">
        <f t="shared" si="55"/>
        <v>BCBS PAYABLE</v>
      </c>
    </row>
    <row r="2764" spans="5:8" x14ac:dyDescent="0.25">
      <c r="E2764" t="str">
        <f>""</f>
        <v/>
      </c>
      <c r="F2764" t="str">
        <f>""</f>
        <v/>
      </c>
      <c r="H2764" t="str">
        <f t="shared" si="55"/>
        <v>BCBS PAYABLE</v>
      </c>
    </row>
    <row r="2765" spans="5:8" x14ac:dyDescent="0.25">
      <c r="E2765" t="str">
        <f>""</f>
        <v/>
      </c>
      <c r="F2765" t="str">
        <f>""</f>
        <v/>
      </c>
      <c r="H2765" t="str">
        <f t="shared" si="55"/>
        <v>BCBS PAYABLE</v>
      </c>
    </row>
    <row r="2766" spans="5:8" x14ac:dyDescent="0.25">
      <c r="E2766" t="str">
        <f>""</f>
        <v/>
      </c>
      <c r="F2766" t="str">
        <f>""</f>
        <v/>
      </c>
      <c r="H2766" t="str">
        <f t="shared" si="55"/>
        <v>BCBS PAYABLE</v>
      </c>
    </row>
    <row r="2767" spans="5:8" x14ac:dyDescent="0.25">
      <c r="E2767" t="str">
        <f>""</f>
        <v/>
      </c>
      <c r="F2767" t="str">
        <f>""</f>
        <v/>
      </c>
      <c r="H2767" t="str">
        <f t="shared" si="55"/>
        <v>BCBS PAYABLE</v>
      </c>
    </row>
    <row r="2768" spans="5:8" x14ac:dyDescent="0.25">
      <c r="E2768" t="str">
        <f>""</f>
        <v/>
      </c>
      <c r="F2768" t="str">
        <f>""</f>
        <v/>
      </c>
      <c r="H2768" t="str">
        <f t="shared" si="55"/>
        <v>BCBS PAYABLE</v>
      </c>
    </row>
    <row r="2769" spans="5:8" x14ac:dyDescent="0.25">
      <c r="E2769" t="str">
        <f>""</f>
        <v/>
      </c>
      <c r="F2769" t="str">
        <f>""</f>
        <v/>
      </c>
      <c r="H2769" t="str">
        <f t="shared" si="55"/>
        <v>BCBS PAYABLE</v>
      </c>
    </row>
    <row r="2770" spans="5:8" x14ac:dyDescent="0.25">
      <c r="E2770" t="str">
        <f>""</f>
        <v/>
      </c>
      <c r="F2770" t="str">
        <f>""</f>
        <v/>
      </c>
      <c r="H2770" t="str">
        <f t="shared" si="55"/>
        <v>BCBS PAYABLE</v>
      </c>
    </row>
    <row r="2771" spans="5:8" x14ac:dyDescent="0.25">
      <c r="E2771" t="str">
        <f>""</f>
        <v/>
      </c>
      <c r="F2771" t="str">
        <f>""</f>
        <v/>
      </c>
      <c r="H2771" t="str">
        <f t="shared" si="55"/>
        <v>BCBS PAYABLE</v>
      </c>
    </row>
    <row r="2772" spans="5:8" x14ac:dyDescent="0.25">
      <c r="E2772" t="str">
        <f>""</f>
        <v/>
      </c>
      <c r="F2772" t="str">
        <f>""</f>
        <v/>
      </c>
      <c r="H2772" t="str">
        <f t="shared" si="55"/>
        <v>BCBS PAYABLE</v>
      </c>
    </row>
    <row r="2773" spans="5:8" x14ac:dyDescent="0.25">
      <c r="E2773" t="str">
        <f>""</f>
        <v/>
      </c>
      <c r="F2773" t="str">
        <f>""</f>
        <v/>
      </c>
      <c r="H2773" t="str">
        <f t="shared" si="55"/>
        <v>BCBS PAYABLE</v>
      </c>
    </row>
    <row r="2774" spans="5:8" x14ac:dyDescent="0.25">
      <c r="E2774" t="str">
        <f>""</f>
        <v/>
      </c>
      <c r="F2774" t="str">
        <f>""</f>
        <v/>
      </c>
      <c r="H2774" t="str">
        <f t="shared" si="55"/>
        <v>BCBS PAYABLE</v>
      </c>
    </row>
    <row r="2775" spans="5:8" x14ac:dyDescent="0.25">
      <c r="E2775" t="str">
        <f>""</f>
        <v/>
      </c>
      <c r="F2775" t="str">
        <f>""</f>
        <v/>
      </c>
      <c r="H2775" t="str">
        <f t="shared" si="55"/>
        <v>BCBS PAYABLE</v>
      </c>
    </row>
    <row r="2776" spans="5:8" x14ac:dyDescent="0.25">
      <c r="E2776" t="str">
        <f>""</f>
        <v/>
      </c>
      <c r="F2776" t="str">
        <f>""</f>
        <v/>
      </c>
      <c r="H2776" t="str">
        <f t="shared" si="55"/>
        <v>BCBS PAYABLE</v>
      </c>
    </row>
    <row r="2777" spans="5:8" x14ac:dyDescent="0.25">
      <c r="E2777" t="str">
        <f>""</f>
        <v/>
      </c>
      <c r="F2777" t="str">
        <f>""</f>
        <v/>
      </c>
      <c r="H2777" t="str">
        <f t="shared" si="55"/>
        <v>BCBS PAYABLE</v>
      </c>
    </row>
    <row r="2778" spans="5:8" x14ac:dyDescent="0.25">
      <c r="E2778" t="str">
        <f>""</f>
        <v/>
      </c>
      <c r="F2778" t="str">
        <f>""</f>
        <v/>
      </c>
      <c r="H2778" t="str">
        <f t="shared" si="55"/>
        <v>BCBS PAYABLE</v>
      </c>
    </row>
    <row r="2779" spans="5:8" x14ac:dyDescent="0.25">
      <c r="E2779" t="str">
        <f>""</f>
        <v/>
      </c>
      <c r="F2779" t="str">
        <f>""</f>
        <v/>
      </c>
      <c r="H2779" t="str">
        <f t="shared" si="55"/>
        <v>BCBS PAYABLE</v>
      </c>
    </row>
    <row r="2780" spans="5:8" x14ac:dyDescent="0.25">
      <c r="E2780" t="str">
        <f>""</f>
        <v/>
      </c>
      <c r="F2780" t="str">
        <f>""</f>
        <v/>
      </c>
      <c r="H2780" t="str">
        <f t="shared" si="55"/>
        <v>BCBS PAYABLE</v>
      </c>
    </row>
    <row r="2781" spans="5:8" x14ac:dyDescent="0.25">
      <c r="E2781" t="str">
        <f>""</f>
        <v/>
      </c>
      <c r="F2781" t="str">
        <f>""</f>
        <v/>
      </c>
      <c r="H2781" t="str">
        <f t="shared" si="55"/>
        <v>BCBS PAYABLE</v>
      </c>
    </row>
    <row r="2782" spans="5:8" x14ac:dyDescent="0.25">
      <c r="E2782" t="str">
        <f>""</f>
        <v/>
      </c>
      <c r="F2782" t="str">
        <f>""</f>
        <v/>
      </c>
      <c r="H2782" t="str">
        <f t="shared" si="55"/>
        <v>BCBS PAYABLE</v>
      </c>
    </row>
    <row r="2783" spans="5:8" x14ac:dyDescent="0.25">
      <c r="E2783" t="str">
        <f>""</f>
        <v/>
      </c>
      <c r="F2783" t="str">
        <f>""</f>
        <v/>
      </c>
      <c r="H2783" t="str">
        <f t="shared" si="55"/>
        <v>BCBS PAYABLE</v>
      </c>
    </row>
    <row r="2784" spans="5:8" x14ac:dyDescent="0.25">
      <c r="E2784" t="str">
        <f>""</f>
        <v/>
      </c>
      <c r="F2784" t="str">
        <f>""</f>
        <v/>
      </c>
      <c r="H2784" t="str">
        <f t="shared" si="55"/>
        <v>BCBS PAYABLE</v>
      </c>
    </row>
    <row r="2785" spans="5:8" x14ac:dyDescent="0.25">
      <c r="E2785" t="str">
        <f>""</f>
        <v/>
      </c>
      <c r="F2785" t="str">
        <f>""</f>
        <v/>
      </c>
      <c r="H2785" t="str">
        <f t="shared" si="55"/>
        <v>BCBS PAYABLE</v>
      </c>
    </row>
    <row r="2786" spans="5:8" x14ac:dyDescent="0.25">
      <c r="E2786" t="str">
        <f>""</f>
        <v/>
      </c>
      <c r="F2786" t="str">
        <f>""</f>
        <v/>
      </c>
      <c r="H2786" t="str">
        <f t="shared" si="55"/>
        <v>BCBS PAYABLE</v>
      </c>
    </row>
    <row r="2787" spans="5:8" x14ac:dyDescent="0.25">
      <c r="E2787" t="str">
        <f>""</f>
        <v/>
      </c>
      <c r="F2787" t="str">
        <f>""</f>
        <v/>
      </c>
      <c r="H2787" t="str">
        <f t="shared" si="55"/>
        <v>BCBS PAYABLE</v>
      </c>
    </row>
    <row r="2788" spans="5:8" x14ac:dyDescent="0.25">
      <c r="E2788" t="str">
        <f>"2EO201910302806"</f>
        <v>2EO201910302806</v>
      </c>
      <c r="F2788" t="str">
        <f>"BCBS PAYABLE"</f>
        <v>BCBS PAYABLE</v>
      </c>
      <c r="G2788" s="2">
        <v>4693.6400000000003</v>
      </c>
      <c r="H2788" t="str">
        <f t="shared" si="55"/>
        <v>BCBS PAYABLE</v>
      </c>
    </row>
    <row r="2789" spans="5:8" x14ac:dyDescent="0.25">
      <c r="E2789" t="str">
        <f>"2EO201911133212"</f>
        <v>2EO201911133212</v>
      </c>
      <c r="F2789" t="str">
        <f>"BCBS PAYABLE"</f>
        <v>BCBS PAYABLE</v>
      </c>
      <c r="G2789" s="2">
        <v>101223.4</v>
      </c>
      <c r="H2789" t="str">
        <f t="shared" si="55"/>
        <v>BCBS PAYABLE</v>
      </c>
    </row>
    <row r="2790" spans="5:8" x14ac:dyDescent="0.25">
      <c r="E2790" t="str">
        <f>""</f>
        <v/>
      </c>
      <c r="F2790" t="str">
        <f>""</f>
        <v/>
      </c>
      <c r="H2790" t="str">
        <f t="shared" si="55"/>
        <v>BCBS PAYABLE</v>
      </c>
    </row>
    <row r="2791" spans="5:8" x14ac:dyDescent="0.25">
      <c r="E2791" t="str">
        <f>""</f>
        <v/>
      </c>
      <c r="F2791" t="str">
        <f>""</f>
        <v/>
      </c>
      <c r="H2791" t="str">
        <f t="shared" ref="H2791:H2854" si="56">"BCBS PAYABLE"</f>
        <v>BCBS PAYABLE</v>
      </c>
    </row>
    <row r="2792" spans="5:8" x14ac:dyDescent="0.25">
      <c r="E2792" t="str">
        <f>""</f>
        <v/>
      </c>
      <c r="F2792" t="str">
        <f>""</f>
        <v/>
      </c>
      <c r="H2792" t="str">
        <f t="shared" si="56"/>
        <v>BCBS PAYABLE</v>
      </c>
    </row>
    <row r="2793" spans="5:8" x14ac:dyDescent="0.25">
      <c r="E2793" t="str">
        <f>""</f>
        <v/>
      </c>
      <c r="F2793" t="str">
        <f>""</f>
        <v/>
      </c>
      <c r="H2793" t="str">
        <f t="shared" si="56"/>
        <v>BCBS PAYABLE</v>
      </c>
    </row>
    <row r="2794" spans="5:8" x14ac:dyDescent="0.25">
      <c r="E2794" t="str">
        <f>""</f>
        <v/>
      </c>
      <c r="F2794" t="str">
        <f>""</f>
        <v/>
      </c>
      <c r="H2794" t="str">
        <f t="shared" si="56"/>
        <v>BCBS PAYABLE</v>
      </c>
    </row>
    <row r="2795" spans="5:8" x14ac:dyDescent="0.25">
      <c r="E2795" t="str">
        <f>""</f>
        <v/>
      </c>
      <c r="F2795" t="str">
        <f>""</f>
        <v/>
      </c>
      <c r="H2795" t="str">
        <f t="shared" si="56"/>
        <v>BCBS PAYABLE</v>
      </c>
    </row>
    <row r="2796" spans="5:8" x14ac:dyDescent="0.25">
      <c r="E2796" t="str">
        <f>""</f>
        <v/>
      </c>
      <c r="F2796" t="str">
        <f>""</f>
        <v/>
      </c>
      <c r="H2796" t="str">
        <f t="shared" si="56"/>
        <v>BCBS PAYABLE</v>
      </c>
    </row>
    <row r="2797" spans="5:8" x14ac:dyDescent="0.25">
      <c r="E2797" t="str">
        <f>""</f>
        <v/>
      </c>
      <c r="F2797" t="str">
        <f>""</f>
        <v/>
      </c>
      <c r="H2797" t="str">
        <f t="shared" si="56"/>
        <v>BCBS PAYABLE</v>
      </c>
    </row>
    <row r="2798" spans="5:8" x14ac:dyDescent="0.25">
      <c r="E2798" t="str">
        <f>""</f>
        <v/>
      </c>
      <c r="F2798" t="str">
        <f>""</f>
        <v/>
      </c>
      <c r="H2798" t="str">
        <f t="shared" si="56"/>
        <v>BCBS PAYABLE</v>
      </c>
    </row>
    <row r="2799" spans="5:8" x14ac:dyDescent="0.25">
      <c r="E2799" t="str">
        <f>""</f>
        <v/>
      </c>
      <c r="F2799" t="str">
        <f>""</f>
        <v/>
      </c>
      <c r="H2799" t="str">
        <f t="shared" si="56"/>
        <v>BCBS PAYABLE</v>
      </c>
    </row>
    <row r="2800" spans="5:8" x14ac:dyDescent="0.25">
      <c r="E2800" t="str">
        <f>""</f>
        <v/>
      </c>
      <c r="F2800" t="str">
        <f>""</f>
        <v/>
      </c>
      <c r="H2800" t="str">
        <f t="shared" si="56"/>
        <v>BCBS PAYABLE</v>
      </c>
    </row>
    <row r="2801" spans="5:8" x14ac:dyDescent="0.25">
      <c r="E2801" t="str">
        <f>""</f>
        <v/>
      </c>
      <c r="F2801" t="str">
        <f>""</f>
        <v/>
      </c>
      <c r="H2801" t="str">
        <f t="shared" si="56"/>
        <v>BCBS PAYABLE</v>
      </c>
    </row>
    <row r="2802" spans="5:8" x14ac:dyDescent="0.25">
      <c r="E2802" t="str">
        <f>""</f>
        <v/>
      </c>
      <c r="F2802" t="str">
        <f>""</f>
        <v/>
      </c>
      <c r="H2802" t="str">
        <f t="shared" si="56"/>
        <v>BCBS PAYABLE</v>
      </c>
    </row>
    <row r="2803" spans="5:8" x14ac:dyDescent="0.25">
      <c r="E2803" t="str">
        <f>""</f>
        <v/>
      </c>
      <c r="F2803" t="str">
        <f>""</f>
        <v/>
      </c>
      <c r="H2803" t="str">
        <f t="shared" si="56"/>
        <v>BCBS PAYABLE</v>
      </c>
    </row>
    <row r="2804" spans="5:8" x14ac:dyDescent="0.25">
      <c r="E2804" t="str">
        <f>""</f>
        <v/>
      </c>
      <c r="F2804" t="str">
        <f>""</f>
        <v/>
      </c>
      <c r="H2804" t="str">
        <f t="shared" si="56"/>
        <v>BCBS PAYABLE</v>
      </c>
    </row>
    <row r="2805" spans="5:8" x14ac:dyDescent="0.25">
      <c r="E2805" t="str">
        <f>""</f>
        <v/>
      </c>
      <c r="F2805" t="str">
        <f>""</f>
        <v/>
      </c>
      <c r="H2805" t="str">
        <f t="shared" si="56"/>
        <v>BCBS PAYABLE</v>
      </c>
    </row>
    <row r="2806" spans="5:8" x14ac:dyDescent="0.25">
      <c r="E2806" t="str">
        <f>""</f>
        <v/>
      </c>
      <c r="F2806" t="str">
        <f>""</f>
        <v/>
      </c>
      <c r="H2806" t="str">
        <f t="shared" si="56"/>
        <v>BCBS PAYABLE</v>
      </c>
    </row>
    <row r="2807" spans="5:8" x14ac:dyDescent="0.25">
      <c r="E2807" t="str">
        <f>""</f>
        <v/>
      </c>
      <c r="F2807" t="str">
        <f>""</f>
        <v/>
      </c>
      <c r="H2807" t="str">
        <f t="shared" si="56"/>
        <v>BCBS PAYABLE</v>
      </c>
    </row>
    <row r="2808" spans="5:8" x14ac:dyDescent="0.25">
      <c r="E2808" t="str">
        <f>""</f>
        <v/>
      </c>
      <c r="F2808" t="str">
        <f>""</f>
        <v/>
      </c>
      <c r="H2808" t="str">
        <f t="shared" si="56"/>
        <v>BCBS PAYABLE</v>
      </c>
    </row>
    <row r="2809" spans="5:8" x14ac:dyDescent="0.25">
      <c r="E2809" t="str">
        <f>""</f>
        <v/>
      </c>
      <c r="F2809" t="str">
        <f>""</f>
        <v/>
      </c>
      <c r="H2809" t="str">
        <f t="shared" si="56"/>
        <v>BCBS PAYABLE</v>
      </c>
    </row>
    <row r="2810" spans="5:8" x14ac:dyDescent="0.25">
      <c r="E2810" t="str">
        <f>""</f>
        <v/>
      </c>
      <c r="F2810" t="str">
        <f>""</f>
        <v/>
      </c>
      <c r="H2810" t="str">
        <f t="shared" si="56"/>
        <v>BCBS PAYABLE</v>
      </c>
    </row>
    <row r="2811" spans="5:8" x14ac:dyDescent="0.25">
      <c r="E2811" t="str">
        <f>""</f>
        <v/>
      </c>
      <c r="F2811" t="str">
        <f>""</f>
        <v/>
      </c>
      <c r="H2811" t="str">
        <f t="shared" si="56"/>
        <v>BCBS PAYABLE</v>
      </c>
    </row>
    <row r="2812" spans="5:8" x14ac:dyDescent="0.25">
      <c r="E2812" t="str">
        <f>""</f>
        <v/>
      </c>
      <c r="F2812" t="str">
        <f>""</f>
        <v/>
      </c>
      <c r="H2812" t="str">
        <f t="shared" si="56"/>
        <v>BCBS PAYABLE</v>
      </c>
    </row>
    <row r="2813" spans="5:8" x14ac:dyDescent="0.25">
      <c r="E2813" t="str">
        <f>""</f>
        <v/>
      </c>
      <c r="F2813" t="str">
        <f>""</f>
        <v/>
      </c>
      <c r="H2813" t="str">
        <f t="shared" si="56"/>
        <v>BCBS PAYABLE</v>
      </c>
    </row>
    <row r="2814" spans="5:8" x14ac:dyDescent="0.25">
      <c r="E2814" t="str">
        <f>""</f>
        <v/>
      </c>
      <c r="F2814" t="str">
        <f>""</f>
        <v/>
      </c>
      <c r="H2814" t="str">
        <f t="shared" si="56"/>
        <v>BCBS PAYABLE</v>
      </c>
    </row>
    <row r="2815" spans="5:8" x14ac:dyDescent="0.25">
      <c r="E2815" t="str">
        <f>""</f>
        <v/>
      </c>
      <c r="F2815" t="str">
        <f>""</f>
        <v/>
      </c>
      <c r="H2815" t="str">
        <f t="shared" si="56"/>
        <v>BCBS PAYABLE</v>
      </c>
    </row>
    <row r="2816" spans="5:8" x14ac:dyDescent="0.25">
      <c r="E2816" t="str">
        <f>""</f>
        <v/>
      </c>
      <c r="F2816" t="str">
        <f>""</f>
        <v/>
      </c>
      <c r="H2816" t="str">
        <f t="shared" si="56"/>
        <v>BCBS PAYABLE</v>
      </c>
    </row>
    <row r="2817" spans="5:8" x14ac:dyDescent="0.25">
      <c r="E2817" t="str">
        <f>""</f>
        <v/>
      </c>
      <c r="F2817" t="str">
        <f>""</f>
        <v/>
      </c>
      <c r="H2817" t="str">
        <f t="shared" si="56"/>
        <v>BCBS PAYABLE</v>
      </c>
    </row>
    <row r="2818" spans="5:8" x14ac:dyDescent="0.25">
      <c r="E2818" t="str">
        <f>""</f>
        <v/>
      </c>
      <c r="F2818" t="str">
        <f>""</f>
        <v/>
      </c>
      <c r="H2818" t="str">
        <f t="shared" si="56"/>
        <v>BCBS PAYABLE</v>
      </c>
    </row>
    <row r="2819" spans="5:8" x14ac:dyDescent="0.25">
      <c r="E2819" t="str">
        <f>""</f>
        <v/>
      </c>
      <c r="F2819" t="str">
        <f>""</f>
        <v/>
      </c>
      <c r="H2819" t="str">
        <f t="shared" si="56"/>
        <v>BCBS PAYABLE</v>
      </c>
    </row>
    <row r="2820" spans="5:8" x14ac:dyDescent="0.25">
      <c r="E2820" t="str">
        <f>""</f>
        <v/>
      </c>
      <c r="F2820" t="str">
        <f>""</f>
        <v/>
      </c>
      <c r="H2820" t="str">
        <f t="shared" si="56"/>
        <v>BCBS PAYABLE</v>
      </c>
    </row>
    <row r="2821" spans="5:8" x14ac:dyDescent="0.25">
      <c r="E2821" t="str">
        <f>""</f>
        <v/>
      </c>
      <c r="F2821" t="str">
        <f>""</f>
        <v/>
      </c>
      <c r="H2821" t="str">
        <f t="shared" si="56"/>
        <v>BCBS PAYABLE</v>
      </c>
    </row>
    <row r="2822" spans="5:8" x14ac:dyDescent="0.25">
      <c r="E2822" t="str">
        <f>""</f>
        <v/>
      </c>
      <c r="F2822" t="str">
        <f>""</f>
        <v/>
      </c>
      <c r="H2822" t="str">
        <f t="shared" si="56"/>
        <v>BCBS PAYABLE</v>
      </c>
    </row>
    <row r="2823" spans="5:8" x14ac:dyDescent="0.25">
      <c r="E2823" t="str">
        <f>""</f>
        <v/>
      </c>
      <c r="F2823" t="str">
        <f>""</f>
        <v/>
      </c>
      <c r="H2823" t="str">
        <f t="shared" si="56"/>
        <v>BCBS PAYABLE</v>
      </c>
    </row>
    <row r="2824" spans="5:8" x14ac:dyDescent="0.25">
      <c r="E2824" t="str">
        <f>""</f>
        <v/>
      </c>
      <c r="F2824" t="str">
        <f>""</f>
        <v/>
      </c>
      <c r="H2824" t="str">
        <f t="shared" si="56"/>
        <v>BCBS PAYABLE</v>
      </c>
    </row>
    <row r="2825" spans="5:8" x14ac:dyDescent="0.25">
      <c r="E2825" t="str">
        <f>""</f>
        <v/>
      </c>
      <c r="F2825" t="str">
        <f>""</f>
        <v/>
      </c>
      <c r="H2825" t="str">
        <f t="shared" si="56"/>
        <v>BCBS PAYABLE</v>
      </c>
    </row>
    <row r="2826" spans="5:8" x14ac:dyDescent="0.25">
      <c r="E2826" t="str">
        <f>""</f>
        <v/>
      </c>
      <c r="F2826" t="str">
        <f>""</f>
        <v/>
      </c>
      <c r="H2826" t="str">
        <f t="shared" si="56"/>
        <v>BCBS PAYABLE</v>
      </c>
    </row>
    <row r="2827" spans="5:8" x14ac:dyDescent="0.25">
      <c r="E2827" t="str">
        <f>""</f>
        <v/>
      </c>
      <c r="F2827" t="str">
        <f>""</f>
        <v/>
      </c>
      <c r="H2827" t="str">
        <f t="shared" si="56"/>
        <v>BCBS PAYABLE</v>
      </c>
    </row>
    <row r="2828" spans="5:8" x14ac:dyDescent="0.25">
      <c r="E2828" t="str">
        <f>""</f>
        <v/>
      </c>
      <c r="F2828" t="str">
        <f>""</f>
        <v/>
      </c>
      <c r="H2828" t="str">
        <f t="shared" si="56"/>
        <v>BCBS PAYABLE</v>
      </c>
    </row>
    <row r="2829" spans="5:8" x14ac:dyDescent="0.25">
      <c r="E2829" t="str">
        <f>""</f>
        <v/>
      </c>
      <c r="F2829" t="str">
        <f>""</f>
        <v/>
      </c>
      <c r="H2829" t="str">
        <f t="shared" si="56"/>
        <v>BCBS PAYABLE</v>
      </c>
    </row>
    <row r="2830" spans="5:8" x14ac:dyDescent="0.25">
      <c r="E2830" t="str">
        <f>""</f>
        <v/>
      </c>
      <c r="F2830" t="str">
        <f>""</f>
        <v/>
      </c>
      <c r="H2830" t="str">
        <f t="shared" si="56"/>
        <v>BCBS PAYABLE</v>
      </c>
    </row>
    <row r="2831" spans="5:8" x14ac:dyDescent="0.25">
      <c r="E2831" t="str">
        <f>""</f>
        <v/>
      </c>
      <c r="F2831" t="str">
        <f>""</f>
        <v/>
      </c>
      <c r="H2831" t="str">
        <f t="shared" si="56"/>
        <v>BCBS PAYABLE</v>
      </c>
    </row>
    <row r="2832" spans="5:8" x14ac:dyDescent="0.25">
      <c r="E2832" t="str">
        <f>""</f>
        <v/>
      </c>
      <c r="F2832" t="str">
        <f>""</f>
        <v/>
      </c>
      <c r="H2832" t="str">
        <f t="shared" si="56"/>
        <v>BCBS PAYABLE</v>
      </c>
    </row>
    <row r="2833" spans="5:8" x14ac:dyDescent="0.25">
      <c r="E2833" t="str">
        <f>""</f>
        <v/>
      </c>
      <c r="F2833" t="str">
        <f>""</f>
        <v/>
      </c>
      <c r="H2833" t="str">
        <f t="shared" si="56"/>
        <v>BCBS PAYABLE</v>
      </c>
    </row>
    <row r="2834" spans="5:8" x14ac:dyDescent="0.25">
      <c r="E2834" t="str">
        <f>""</f>
        <v/>
      </c>
      <c r="F2834" t="str">
        <f>""</f>
        <v/>
      </c>
      <c r="H2834" t="str">
        <f t="shared" si="56"/>
        <v>BCBS PAYABLE</v>
      </c>
    </row>
    <row r="2835" spans="5:8" x14ac:dyDescent="0.25">
      <c r="E2835" t="str">
        <f>""</f>
        <v/>
      </c>
      <c r="F2835" t="str">
        <f>""</f>
        <v/>
      </c>
      <c r="H2835" t="str">
        <f t="shared" si="56"/>
        <v>BCBS PAYABLE</v>
      </c>
    </row>
    <row r="2836" spans="5:8" x14ac:dyDescent="0.25">
      <c r="E2836" t="str">
        <f>"2EO201911133213"</f>
        <v>2EO201911133213</v>
      </c>
      <c r="F2836" t="str">
        <f>"BCBS PAYABLE"</f>
        <v>BCBS PAYABLE</v>
      </c>
      <c r="G2836" s="2">
        <v>4314.4399999999996</v>
      </c>
      <c r="H2836" t="str">
        <f t="shared" si="56"/>
        <v>BCBS PAYABLE</v>
      </c>
    </row>
    <row r="2837" spans="5:8" x14ac:dyDescent="0.25">
      <c r="E2837" t="str">
        <f>"2ES201910302805"</f>
        <v>2ES201910302805</v>
      </c>
      <c r="F2837" t="str">
        <f>"BCBS PAYABLE"</f>
        <v>BCBS PAYABLE</v>
      </c>
      <c r="G2837" s="2">
        <v>15834</v>
      </c>
      <c r="H2837" t="str">
        <f t="shared" si="56"/>
        <v>BCBS PAYABLE</v>
      </c>
    </row>
    <row r="2838" spans="5:8" x14ac:dyDescent="0.25">
      <c r="E2838" t="str">
        <f>""</f>
        <v/>
      </c>
      <c r="F2838" t="str">
        <f>""</f>
        <v/>
      </c>
      <c r="H2838" t="str">
        <f t="shared" si="56"/>
        <v>BCBS PAYABLE</v>
      </c>
    </row>
    <row r="2839" spans="5:8" x14ac:dyDescent="0.25">
      <c r="E2839" t="str">
        <f>""</f>
        <v/>
      </c>
      <c r="F2839" t="str">
        <f>""</f>
        <v/>
      </c>
      <c r="H2839" t="str">
        <f t="shared" si="56"/>
        <v>BCBS PAYABLE</v>
      </c>
    </row>
    <row r="2840" spans="5:8" x14ac:dyDescent="0.25">
      <c r="E2840" t="str">
        <f>""</f>
        <v/>
      </c>
      <c r="F2840" t="str">
        <f>""</f>
        <v/>
      </c>
      <c r="H2840" t="str">
        <f t="shared" si="56"/>
        <v>BCBS PAYABLE</v>
      </c>
    </row>
    <row r="2841" spans="5:8" x14ac:dyDescent="0.25">
      <c r="E2841" t="str">
        <f>""</f>
        <v/>
      </c>
      <c r="F2841" t="str">
        <f>""</f>
        <v/>
      </c>
      <c r="H2841" t="str">
        <f t="shared" si="56"/>
        <v>BCBS PAYABLE</v>
      </c>
    </row>
    <row r="2842" spans="5:8" x14ac:dyDescent="0.25">
      <c r="E2842" t="str">
        <f>""</f>
        <v/>
      </c>
      <c r="F2842" t="str">
        <f>""</f>
        <v/>
      </c>
      <c r="H2842" t="str">
        <f t="shared" si="56"/>
        <v>BCBS PAYABLE</v>
      </c>
    </row>
    <row r="2843" spans="5:8" x14ac:dyDescent="0.25">
      <c r="E2843" t="str">
        <f>""</f>
        <v/>
      </c>
      <c r="F2843" t="str">
        <f>""</f>
        <v/>
      </c>
      <c r="H2843" t="str">
        <f t="shared" si="56"/>
        <v>BCBS PAYABLE</v>
      </c>
    </row>
    <row r="2844" spans="5:8" x14ac:dyDescent="0.25">
      <c r="E2844" t="str">
        <f>""</f>
        <v/>
      </c>
      <c r="F2844" t="str">
        <f>""</f>
        <v/>
      </c>
      <c r="H2844" t="str">
        <f t="shared" si="56"/>
        <v>BCBS PAYABLE</v>
      </c>
    </row>
    <row r="2845" spans="5:8" x14ac:dyDescent="0.25">
      <c r="E2845" t="str">
        <f>""</f>
        <v/>
      </c>
      <c r="F2845" t="str">
        <f>""</f>
        <v/>
      </c>
      <c r="H2845" t="str">
        <f t="shared" si="56"/>
        <v>BCBS PAYABLE</v>
      </c>
    </row>
    <row r="2846" spans="5:8" x14ac:dyDescent="0.25">
      <c r="E2846" t="str">
        <f>""</f>
        <v/>
      </c>
      <c r="F2846" t="str">
        <f>""</f>
        <v/>
      </c>
      <c r="H2846" t="str">
        <f t="shared" si="56"/>
        <v>BCBS PAYABLE</v>
      </c>
    </row>
    <row r="2847" spans="5:8" x14ac:dyDescent="0.25">
      <c r="E2847" t="str">
        <f>""</f>
        <v/>
      </c>
      <c r="F2847" t="str">
        <f>""</f>
        <v/>
      </c>
      <c r="H2847" t="str">
        <f t="shared" si="56"/>
        <v>BCBS PAYABLE</v>
      </c>
    </row>
    <row r="2848" spans="5:8" x14ac:dyDescent="0.25">
      <c r="E2848" t="str">
        <f>""</f>
        <v/>
      </c>
      <c r="F2848" t="str">
        <f>""</f>
        <v/>
      </c>
      <c r="H2848" t="str">
        <f t="shared" si="56"/>
        <v>BCBS PAYABLE</v>
      </c>
    </row>
    <row r="2849" spans="5:8" x14ac:dyDescent="0.25">
      <c r="E2849" t="str">
        <f>""</f>
        <v/>
      </c>
      <c r="F2849" t="str">
        <f>""</f>
        <v/>
      </c>
      <c r="H2849" t="str">
        <f t="shared" si="56"/>
        <v>BCBS PAYABLE</v>
      </c>
    </row>
    <row r="2850" spans="5:8" x14ac:dyDescent="0.25">
      <c r="E2850" t="str">
        <f>""</f>
        <v/>
      </c>
      <c r="F2850" t="str">
        <f>""</f>
        <v/>
      </c>
      <c r="H2850" t="str">
        <f t="shared" si="56"/>
        <v>BCBS PAYABLE</v>
      </c>
    </row>
    <row r="2851" spans="5:8" x14ac:dyDescent="0.25">
      <c r="E2851" t="str">
        <f>"2ES201911133212"</f>
        <v>2ES201911133212</v>
      </c>
      <c r="F2851" t="str">
        <f>"BCBS PAYABLE"</f>
        <v>BCBS PAYABLE</v>
      </c>
      <c r="G2851" s="2">
        <v>15834</v>
      </c>
      <c r="H2851" t="str">
        <f t="shared" si="56"/>
        <v>BCBS PAYABLE</v>
      </c>
    </row>
    <row r="2852" spans="5:8" x14ac:dyDescent="0.25">
      <c r="E2852" t="str">
        <f>""</f>
        <v/>
      </c>
      <c r="F2852" t="str">
        <f>""</f>
        <v/>
      </c>
      <c r="H2852" t="str">
        <f t="shared" si="56"/>
        <v>BCBS PAYABLE</v>
      </c>
    </row>
    <row r="2853" spans="5:8" x14ac:dyDescent="0.25">
      <c r="E2853" t="str">
        <f>""</f>
        <v/>
      </c>
      <c r="F2853" t="str">
        <f>""</f>
        <v/>
      </c>
      <c r="H2853" t="str">
        <f t="shared" si="56"/>
        <v>BCBS PAYABLE</v>
      </c>
    </row>
    <row r="2854" spans="5:8" x14ac:dyDescent="0.25">
      <c r="E2854" t="str">
        <f>""</f>
        <v/>
      </c>
      <c r="F2854" t="str">
        <f>""</f>
        <v/>
      </c>
      <c r="H2854" t="str">
        <f t="shared" si="56"/>
        <v>BCBS PAYABLE</v>
      </c>
    </row>
    <row r="2855" spans="5:8" x14ac:dyDescent="0.25">
      <c r="E2855" t="str">
        <f>""</f>
        <v/>
      </c>
      <c r="F2855" t="str">
        <f>""</f>
        <v/>
      </c>
      <c r="H2855" t="str">
        <f t="shared" ref="H2855:H2864" si="57">"BCBS PAYABLE"</f>
        <v>BCBS PAYABLE</v>
      </c>
    </row>
    <row r="2856" spans="5:8" x14ac:dyDescent="0.25">
      <c r="E2856" t="str">
        <f>""</f>
        <v/>
      </c>
      <c r="F2856" t="str">
        <f>""</f>
        <v/>
      </c>
      <c r="H2856" t="str">
        <f t="shared" si="57"/>
        <v>BCBS PAYABLE</v>
      </c>
    </row>
    <row r="2857" spans="5:8" x14ac:dyDescent="0.25">
      <c r="E2857" t="str">
        <f>""</f>
        <v/>
      </c>
      <c r="F2857" t="str">
        <f>""</f>
        <v/>
      </c>
      <c r="H2857" t="str">
        <f t="shared" si="57"/>
        <v>BCBS PAYABLE</v>
      </c>
    </row>
    <row r="2858" spans="5:8" x14ac:dyDescent="0.25">
      <c r="E2858" t="str">
        <f>""</f>
        <v/>
      </c>
      <c r="F2858" t="str">
        <f>""</f>
        <v/>
      </c>
      <c r="H2858" t="str">
        <f t="shared" si="57"/>
        <v>BCBS PAYABLE</v>
      </c>
    </row>
    <row r="2859" spans="5:8" x14ac:dyDescent="0.25">
      <c r="E2859" t="str">
        <f>""</f>
        <v/>
      </c>
      <c r="F2859" t="str">
        <f>""</f>
        <v/>
      </c>
      <c r="H2859" t="str">
        <f t="shared" si="57"/>
        <v>BCBS PAYABLE</v>
      </c>
    </row>
    <row r="2860" spans="5:8" x14ac:dyDescent="0.25">
      <c r="E2860" t="str">
        <f>""</f>
        <v/>
      </c>
      <c r="F2860" t="str">
        <f>""</f>
        <v/>
      </c>
      <c r="H2860" t="str">
        <f t="shared" si="57"/>
        <v>BCBS PAYABLE</v>
      </c>
    </row>
    <row r="2861" spans="5:8" x14ac:dyDescent="0.25">
      <c r="E2861" t="str">
        <f>""</f>
        <v/>
      </c>
      <c r="F2861" t="str">
        <f>""</f>
        <v/>
      </c>
      <c r="H2861" t="str">
        <f t="shared" si="57"/>
        <v>BCBS PAYABLE</v>
      </c>
    </row>
    <row r="2862" spans="5:8" x14ac:dyDescent="0.25">
      <c r="E2862" t="str">
        <f>""</f>
        <v/>
      </c>
      <c r="F2862" t="str">
        <f>""</f>
        <v/>
      </c>
      <c r="H2862" t="str">
        <f t="shared" si="57"/>
        <v>BCBS PAYABLE</v>
      </c>
    </row>
    <row r="2863" spans="5:8" x14ac:dyDescent="0.25">
      <c r="E2863" t="str">
        <f>""</f>
        <v/>
      </c>
      <c r="F2863" t="str">
        <f>""</f>
        <v/>
      </c>
      <c r="H2863" t="str">
        <f t="shared" si="57"/>
        <v>BCBS PAYABLE</v>
      </c>
    </row>
    <row r="2864" spans="5:8" x14ac:dyDescent="0.25">
      <c r="E2864" t="str">
        <f>""</f>
        <v/>
      </c>
      <c r="F2864" t="str">
        <f>""</f>
        <v/>
      </c>
      <c r="H2864" t="str">
        <f t="shared" si="57"/>
        <v>BCBS PAYABLE</v>
      </c>
    </row>
    <row r="2865" spans="1:8" x14ac:dyDescent="0.25">
      <c r="A2865" t="s">
        <v>458</v>
      </c>
      <c r="B2865">
        <v>262</v>
      </c>
      <c r="C2865" s="2">
        <v>15099.79</v>
      </c>
      <c r="D2865" s="1">
        <v>43770</v>
      </c>
      <c r="E2865" t="str">
        <f>"FSA201910302805"</f>
        <v>FSA201910302805</v>
      </c>
      <c r="F2865" t="str">
        <f>"TASC FSA"</f>
        <v>TASC FSA</v>
      </c>
      <c r="G2865" s="2">
        <v>7645.71</v>
      </c>
      <c r="H2865" t="str">
        <f>"TASC FSA"</f>
        <v>TASC FSA</v>
      </c>
    </row>
    <row r="2866" spans="1:8" x14ac:dyDescent="0.25">
      <c r="E2866" t="str">
        <f>"FSA201910302806"</f>
        <v>FSA201910302806</v>
      </c>
      <c r="F2866" t="str">
        <f>"TASC FSA"</f>
        <v>TASC FSA</v>
      </c>
      <c r="G2866" s="2">
        <v>393.32</v>
      </c>
      <c r="H2866" t="str">
        <f>"TASC FSA"</f>
        <v>TASC FSA</v>
      </c>
    </row>
    <row r="2867" spans="1:8" x14ac:dyDescent="0.25">
      <c r="E2867" t="str">
        <f>"FSC201910302805"</f>
        <v>FSC201910302805</v>
      </c>
      <c r="F2867" t="str">
        <f>"TASC DEPENDENT CARE"</f>
        <v>TASC DEPENDENT CARE</v>
      </c>
      <c r="G2867" s="2">
        <v>470</v>
      </c>
      <c r="H2867" t="str">
        <f>"TASC DEPENDENT CARE"</f>
        <v>TASC DEPENDENT CARE</v>
      </c>
    </row>
    <row r="2868" spans="1:8" x14ac:dyDescent="0.25">
      <c r="E2868" t="str">
        <f>"FSF201910302805"</f>
        <v>FSF201910302805</v>
      </c>
      <c r="F2868" t="str">
        <f>"TASC - FSA  FEES"</f>
        <v>TASC - FSA  FEES</v>
      </c>
      <c r="G2868" s="2">
        <v>253.8</v>
      </c>
      <c r="H2868" t="str">
        <f t="shared" ref="H2868:H2907" si="58">"TASC - FSA  FEES"</f>
        <v>TASC - FSA  FEES</v>
      </c>
    </row>
    <row r="2869" spans="1:8" x14ac:dyDescent="0.25">
      <c r="E2869" t="str">
        <f>""</f>
        <v/>
      </c>
      <c r="F2869" t="str">
        <f>""</f>
        <v/>
      </c>
      <c r="H2869" t="str">
        <f t="shared" si="58"/>
        <v>TASC - FSA  FEES</v>
      </c>
    </row>
    <row r="2870" spans="1:8" x14ac:dyDescent="0.25">
      <c r="E2870" t="str">
        <f>""</f>
        <v/>
      </c>
      <c r="F2870" t="str">
        <f>""</f>
        <v/>
      </c>
      <c r="H2870" t="str">
        <f t="shared" si="58"/>
        <v>TASC - FSA  FEES</v>
      </c>
    </row>
    <row r="2871" spans="1:8" x14ac:dyDescent="0.25">
      <c r="E2871" t="str">
        <f>""</f>
        <v/>
      </c>
      <c r="F2871" t="str">
        <f>""</f>
        <v/>
      </c>
      <c r="H2871" t="str">
        <f t="shared" si="58"/>
        <v>TASC - FSA  FEES</v>
      </c>
    </row>
    <row r="2872" spans="1:8" x14ac:dyDescent="0.25">
      <c r="E2872" t="str">
        <f>""</f>
        <v/>
      </c>
      <c r="F2872" t="str">
        <f>""</f>
        <v/>
      </c>
      <c r="H2872" t="str">
        <f t="shared" si="58"/>
        <v>TASC - FSA  FEES</v>
      </c>
    </row>
    <row r="2873" spans="1:8" x14ac:dyDescent="0.25">
      <c r="E2873" t="str">
        <f>""</f>
        <v/>
      </c>
      <c r="F2873" t="str">
        <f>""</f>
        <v/>
      </c>
      <c r="H2873" t="str">
        <f t="shared" si="58"/>
        <v>TASC - FSA  FEES</v>
      </c>
    </row>
    <row r="2874" spans="1:8" x14ac:dyDescent="0.25">
      <c r="E2874" t="str">
        <f>""</f>
        <v/>
      </c>
      <c r="F2874" t="str">
        <f>""</f>
        <v/>
      </c>
      <c r="H2874" t="str">
        <f t="shared" si="58"/>
        <v>TASC - FSA  FEES</v>
      </c>
    </row>
    <row r="2875" spans="1:8" x14ac:dyDescent="0.25">
      <c r="E2875" t="str">
        <f>""</f>
        <v/>
      </c>
      <c r="F2875" t="str">
        <f>""</f>
        <v/>
      </c>
      <c r="H2875" t="str">
        <f t="shared" si="58"/>
        <v>TASC - FSA  FEES</v>
      </c>
    </row>
    <row r="2876" spans="1:8" x14ac:dyDescent="0.25">
      <c r="E2876" t="str">
        <f>""</f>
        <v/>
      </c>
      <c r="F2876" t="str">
        <f>""</f>
        <v/>
      </c>
      <c r="H2876" t="str">
        <f t="shared" si="58"/>
        <v>TASC - FSA  FEES</v>
      </c>
    </row>
    <row r="2877" spans="1:8" x14ac:dyDescent="0.25">
      <c r="E2877" t="str">
        <f>""</f>
        <v/>
      </c>
      <c r="F2877" t="str">
        <f>""</f>
        <v/>
      </c>
      <c r="H2877" t="str">
        <f t="shared" si="58"/>
        <v>TASC - FSA  FEES</v>
      </c>
    </row>
    <row r="2878" spans="1:8" x14ac:dyDescent="0.25">
      <c r="E2878" t="str">
        <f>""</f>
        <v/>
      </c>
      <c r="F2878" t="str">
        <f>""</f>
        <v/>
      </c>
      <c r="H2878" t="str">
        <f t="shared" si="58"/>
        <v>TASC - FSA  FEES</v>
      </c>
    </row>
    <row r="2879" spans="1:8" x14ac:dyDescent="0.25">
      <c r="E2879" t="str">
        <f>""</f>
        <v/>
      </c>
      <c r="F2879" t="str">
        <f>""</f>
        <v/>
      </c>
      <c r="H2879" t="str">
        <f t="shared" si="58"/>
        <v>TASC - FSA  FEES</v>
      </c>
    </row>
    <row r="2880" spans="1:8" x14ac:dyDescent="0.25">
      <c r="E2880" t="str">
        <f>""</f>
        <v/>
      </c>
      <c r="F2880" t="str">
        <f>""</f>
        <v/>
      </c>
      <c r="H2880" t="str">
        <f t="shared" si="58"/>
        <v>TASC - FSA  FEES</v>
      </c>
    </row>
    <row r="2881" spans="5:8" x14ac:dyDescent="0.25">
      <c r="E2881" t="str">
        <f>""</f>
        <v/>
      </c>
      <c r="F2881" t="str">
        <f>""</f>
        <v/>
      </c>
      <c r="H2881" t="str">
        <f t="shared" si="58"/>
        <v>TASC - FSA  FEES</v>
      </c>
    </row>
    <row r="2882" spans="5:8" x14ac:dyDescent="0.25">
      <c r="E2882" t="str">
        <f>""</f>
        <v/>
      </c>
      <c r="F2882" t="str">
        <f>""</f>
        <v/>
      </c>
      <c r="H2882" t="str">
        <f t="shared" si="58"/>
        <v>TASC - FSA  FEES</v>
      </c>
    </row>
    <row r="2883" spans="5:8" x14ac:dyDescent="0.25">
      <c r="E2883" t="str">
        <f>""</f>
        <v/>
      </c>
      <c r="F2883" t="str">
        <f>""</f>
        <v/>
      </c>
      <c r="H2883" t="str">
        <f t="shared" si="58"/>
        <v>TASC - FSA  FEES</v>
      </c>
    </row>
    <row r="2884" spans="5:8" x14ac:dyDescent="0.25">
      <c r="E2884" t="str">
        <f>""</f>
        <v/>
      </c>
      <c r="F2884" t="str">
        <f>""</f>
        <v/>
      </c>
      <c r="H2884" t="str">
        <f t="shared" si="58"/>
        <v>TASC - FSA  FEES</v>
      </c>
    </row>
    <row r="2885" spans="5:8" x14ac:dyDescent="0.25">
      <c r="E2885" t="str">
        <f>""</f>
        <v/>
      </c>
      <c r="F2885" t="str">
        <f>""</f>
        <v/>
      </c>
      <c r="H2885" t="str">
        <f t="shared" si="58"/>
        <v>TASC - FSA  FEES</v>
      </c>
    </row>
    <row r="2886" spans="5:8" x14ac:dyDescent="0.25">
      <c r="E2886" t="str">
        <f>""</f>
        <v/>
      </c>
      <c r="F2886" t="str">
        <f>""</f>
        <v/>
      </c>
      <c r="H2886" t="str">
        <f t="shared" si="58"/>
        <v>TASC - FSA  FEES</v>
      </c>
    </row>
    <row r="2887" spans="5:8" x14ac:dyDescent="0.25">
      <c r="E2887" t="str">
        <f>""</f>
        <v/>
      </c>
      <c r="F2887" t="str">
        <f>""</f>
        <v/>
      </c>
      <c r="H2887" t="str">
        <f t="shared" si="58"/>
        <v>TASC - FSA  FEES</v>
      </c>
    </row>
    <row r="2888" spans="5:8" x14ac:dyDescent="0.25">
      <c r="E2888" t="str">
        <f>""</f>
        <v/>
      </c>
      <c r="F2888" t="str">
        <f>""</f>
        <v/>
      </c>
      <c r="H2888" t="str">
        <f t="shared" si="58"/>
        <v>TASC - FSA  FEES</v>
      </c>
    </row>
    <row r="2889" spans="5:8" x14ac:dyDescent="0.25">
      <c r="E2889" t="str">
        <f>""</f>
        <v/>
      </c>
      <c r="F2889" t="str">
        <f>""</f>
        <v/>
      </c>
      <c r="H2889" t="str">
        <f t="shared" si="58"/>
        <v>TASC - FSA  FEES</v>
      </c>
    </row>
    <row r="2890" spans="5:8" x14ac:dyDescent="0.25">
      <c r="E2890" t="str">
        <f>""</f>
        <v/>
      </c>
      <c r="F2890" t="str">
        <f>""</f>
        <v/>
      </c>
      <c r="H2890" t="str">
        <f t="shared" si="58"/>
        <v>TASC - FSA  FEES</v>
      </c>
    </row>
    <row r="2891" spans="5:8" x14ac:dyDescent="0.25">
      <c r="E2891" t="str">
        <f>""</f>
        <v/>
      </c>
      <c r="F2891" t="str">
        <f>""</f>
        <v/>
      </c>
      <c r="H2891" t="str">
        <f t="shared" si="58"/>
        <v>TASC - FSA  FEES</v>
      </c>
    </row>
    <row r="2892" spans="5:8" x14ac:dyDescent="0.25">
      <c r="E2892" t="str">
        <f>""</f>
        <v/>
      </c>
      <c r="F2892" t="str">
        <f>""</f>
        <v/>
      </c>
      <c r="H2892" t="str">
        <f t="shared" si="58"/>
        <v>TASC - FSA  FEES</v>
      </c>
    </row>
    <row r="2893" spans="5:8" x14ac:dyDescent="0.25">
      <c r="E2893" t="str">
        <f>""</f>
        <v/>
      </c>
      <c r="F2893" t="str">
        <f>""</f>
        <v/>
      </c>
      <c r="H2893" t="str">
        <f t="shared" si="58"/>
        <v>TASC - FSA  FEES</v>
      </c>
    </row>
    <row r="2894" spans="5:8" x14ac:dyDescent="0.25">
      <c r="E2894" t="str">
        <f>""</f>
        <v/>
      </c>
      <c r="F2894" t="str">
        <f>""</f>
        <v/>
      </c>
      <c r="H2894" t="str">
        <f t="shared" si="58"/>
        <v>TASC - FSA  FEES</v>
      </c>
    </row>
    <row r="2895" spans="5:8" x14ac:dyDescent="0.25">
      <c r="E2895" t="str">
        <f>""</f>
        <v/>
      </c>
      <c r="F2895" t="str">
        <f>""</f>
        <v/>
      </c>
      <c r="H2895" t="str">
        <f t="shared" si="58"/>
        <v>TASC - FSA  FEES</v>
      </c>
    </row>
    <row r="2896" spans="5:8" x14ac:dyDescent="0.25">
      <c r="E2896" t="str">
        <f>""</f>
        <v/>
      </c>
      <c r="F2896" t="str">
        <f>""</f>
        <v/>
      </c>
      <c r="H2896" t="str">
        <f t="shared" si="58"/>
        <v>TASC - FSA  FEES</v>
      </c>
    </row>
    <row r="2897" spans="5:8" x14ac:dyDescent="0.25">
      <c r="E2897" t="str">
        <f>""</f>
        <v/>
      </c>
      <c r="F2897" t="str">
        <f>""</f>
        <v/>
      </c>
      <c r="H2897" t="str">
        <f t="shared" si="58"/>
        <v>TASC - FSA  FEES</v>
      </c>
    </row>
    <row r="2898" spans="5:8" x14ac:dyDescent="0.25">
      <c r="E2898" t="str">
        <f>""</f>
        <v/>
      </c>
      <c r="F2898" t="str">
        <f>""</f>
        <v/>
      </c>
      <c r="H2898" t="str">
        <f t="shared" si="58"/>
        <v>TASC - FSA  FEES</v>
      </c>
    </row>
    <row r="2899" spans="5:8" x14ac:dyDescent="0.25">
      <c r="E2899" t="str">
        <f>""</f>
        <v/>
      </c>
      <c r="F2899" t="str">
        <f>""</f>
        <v/>
      </c>
      <c r="H2899" t="str">
        <f t="shared" si="58"/>
        <v>TASC - FSA  FEES</v>
      </c>
    </row>
    <row r="2900" spans="5:8" x14ac:dyDescent="0.25">
      <c r="E2900" t="str">
        <f>""</f>
        <v/>
      </c>
      <c r="F2900" t="str">
        <f>""</f>
        <v/>
      </c>
      <c r="H2900" t="str">
        <f t="shared" si="58"/>
        <v>TASC - FSA  FEES</v>
      </c>
    </row>
    <row r="2901" spans="5:8" x14ac:dyDescent="0.25">
      <c r="E2901" t="str">
        <f>""</f>
        <v/>
      </c>
      <c r="F2901" t="str">
        <f>""</f>
        <v/>
      </c>
      <c r="H2901" t="str">
        <f t="shared" si="58"/>
        <v>TASC - FSA  FEES</v>
      </c>
    </row>
    <row r="2902" spans="5:8" x14ac:dyDescent="0.25">
      <c r="E2902" t="str">
        <f>""</f>
        <v/>
      </c>
      <c r="F2902" t="str">
        <f>""</f>
        <v/>
      </c>
      <c r="H2902" t="str">
        <f t="shared" si="58"/>
        <v>TASC - FSA  FEES</v>
      </c>
    </row>
    <row r="2903" spans="5:8" x14ac:dyDescent="0.25">
      <c r="E2903" t="str">
        <f>""</f>
        <v/>
      </c>
      <c r="F2903" t="str">
        <f>""</f>
        <v/>
      </c>
      <c r="H2903" t="str">
        <f t="shared" si="58"/>
        <v>TASC - FSA  FEES</v>
      </c>
    </row>
    <row r="2904" spans="5:8" x14ac:dyDescent="0.25">
      <c r="E2904" t="str">
        <f>""</f>
        <v/>
      </c>
      <c r="F2904" t="str">
        <f>""</f>
        <v/>
      </c>
      <c r="H2904" t="str">
        <f t="shared" si="58"/>
        <v>TASC - FSA  FEES</v>
      </c>
    </row>
    <row r="2905" spans="5:8" x14ac:dyDescent="0.25">
      <c r="E2905" t="str">
        <f>""</f>
        <v/>
      </c>
      <c r="F2905" t="str">
        <f>""</f>
        <v/>
      </c>
      <c r="H2905" t="str">
        <f t="shared" si="58"/>
        <v>TASC - FSA  FEES</v>
      </c>
    </row>
    <row r="2906" spans="5:8" x14ac:dyDescent="0.25">
      <c r="E2906" t="str">
        <f>""</f>
        <v/>
      </c>
      <c r="F2906" t="str">
        <f>""</f>
        <v/>
      </c>
      <c r="H2906" t="str">
        <f t="shared" si="58"/>
        <v>TASC - FSA  FEES</v>
      </c>
    </row>
    <row r="2907" spans="5:8" x14ac:dyDescent="0.25">
      <c r="E2907" t="str">
        <f>"FSF201910302806"</f>
        <v>FSF201910302806</v>
      </c>
      <c r="F2907" t="str">
        <f>"TASC - FSA  FEES"</f>
        <v>TASC - FSA  FEES</v>
      </c>
      <c r="G2907" s="2">
        <v>12.6</v>
      </c>
      <c r="H2907" t="str">
        <f t="shared" si="58"/>
        <v>TASC - FSA  FEES</v>
      </c>
    </row>
    <row r="2908" spans="5:8" x14ac:dyDescent="0.25">
      <c r="E2908" t="str">
        <f>"HRA201910302805"</f>
        <v>HRA201910302805</v>
      </c>
      <c r="F2908" t="str">
        <f>"TASC HRA"</f>
        <v>TASC HRA</v>
      </c>
      <c r="G2908" s="2">
        <v>5041.63</v>
      </c>
      <c r="H2908" t="str">
        <f t="shared" ref="H2908:H2915" si="59">"TASC HRA"</f>
        <v>TASC HRA</v>
      </c>
    </row>
    <row r="2909" spans="5:8" x14ac:dyDescent="0.25">
      <c r="E2909" t="str">
        <f>""</f>
        <v/>
      </c>
      <c r="F2909" t="str">
        <f>""</f>
        <v/>
      </c>
      <c r="H2909" t="str">
        <f t="shared" si="59"/>
        <v>TASC HRA</v>
      </c>
    </row>
    <row r="2910" spans="5:8" x14ac:dyDescent="0.25">
      <c r="E2910" t="str">
        <f>""</f>
        <v/>
      </c>
      <c r="F2910" t="str">
        <f>""</f>
        <v/>
      </c>
      <c r="H2910" t="str">
        <f t="shared" si="59"/>
        <v>TASC HRA</v>
      </c>
    </row>
    <row r="2911" spans="5:8" x14ac:dyDescent="0.25">
      <c r="E2911" t="str">
        <f>""</f>
        <v/>
      </c>
      <c r="F2911" t="str">
        <f>""</f>
        <v/>
      </c>
      <c r="H2911" t="str">
        <f t="shared" si="59"/>
        <v>TASC HRA</v>
      </c>
    </row>
    <row r="2912" spans="5:8" x14ac:dyDescent="0.25">
      <c r="E2912" t="str">
        <f>""</f>
        <v/>
      </c>
      <c r="F2912" t="str">
        <f>""</f>
        <v/>
      </c>
      <c r="H2912" t="str">
        <f t="shared" si="59"/>
        <v>TASC HRA</v>
      </c>
    </row>
    <row r="2913" spans="5:8" x14ac:dyDescent="0.25">
      <c r="E2913" t="str">
        <f>""</f>
        <v/>
      </c>
      <c r="F2913" t="str">
        <f>""</f>
        <v/>
      </c>
      <c r="H2913" t="str">
        <f t="shared" si="59"/>
        <v>TASC HRA</v>
      </c>
    </row>
    <row r="2914" spans="5:8" x14ac:dyDescent="0.25">
      <c r="E2914" t="str">
        <f>""</f>
        <v/>
      </c>
      <c r="F2914" t="str">
        <f>""</f>
        <v/>
      </c>
      <c r="H2914" t="str">
        <f t="shared" si="59"/>
        <v>TASC HRA</v>
      </c>
    </row>
    <row r="2915" spans="5:8" x14ac:dyDescent="0.25">
      <c r="E2915" t="str">
        <f>"HRA201910302806"</f>
        <v>HRA201910302806</v>
      </c>
      <c r="F2915" t="str">
        <f>"TASC HRA"</f>
        <v>TASC HRA</v>
      </c>
      <c r="G2915" s="2">
        <v>458.33</v>
      </c>
      <c r="H2915" t="str">
        <f t="shared" si="59"/>
        <v>TASC HRA</v>
      </c>
    </row>
    <row r="2916" spans="5:8" x14ac:dyDescent="0.25">
      <c r="E2916" t="str">
        <f>"HRF201910302805"</f>
        <v>HRF201910302805</v>
      </c>
      <c r="F2916" t="str">
        <f>"TASC - HRA FEES"</f>
        <v>TASC - HRA FEES</v>
      </c>
      <c r="G2916" s="2">
        <v>793.8</v>
      </c>
      <c r="H2916" t="str">
        <f t="shared" ref="H2916:H2947" si="60">"TASC - HRA FEES"</f>
        <v>TASC - HRA FEES</v>
      </c>
    </row>
    <row r="2917" spans="5:8" x14ac:dyDescent="0.25">
      <c r="E2917" t="str">
        <f>""</f>
        <v/>
      </c>
      <c r="F2917" t="str">
        <f>""</f>
        <v/>
      </c>
      <c r="H2917" t="str">
        <f t="shared" si="60"/>
        <v>TASC - HRA FEES</v>
      </c>
    </row>
    <row r="2918" spans="5:8" x14ac:dyDescent="0.25">
      <c r="E2918" t="str">
        <f>""</f>
        <v/>
      </c>
      <c r="F2918" t="str">
        <f>""</f>
        <v/>
      </c>
      <c r="H2918" t="str">
        <f t="shared" si="60"/>
        <v>TASC - HRA FEES</v>
      </c>
    </row>
    <row r="2919" spans="5:8" x14ac:dyDescent="0.25">
      <c r="E2919" t="str">
        <f>""</f>
        <v/>
      </c>
      <c r="F2919" t="str">
        <f>""</f>
        <v/>
      </c>
      <c r="H2919" t="str">
        <f t="shared" si="60"/>
        <v>TASC - HRA FEES</v>
      </c>
    </row>
    <row r="2920" spans="5:8" x14ac:dyDescent="0.25">
      <c r="E2920" t="str">
        <f>""</f>
        <v/>
      </c>
      <c r="F2920" t="str">
        <f>""</f>
        <v/>
      </c>
      <c r="H2920" t="str">
        <f t="shared" si="60"/>
        <v>TASC - HRA FEES</v>
      </c>
    </row>
    <row r="2921" spans="5:8" x14ac:dyDescent="0.25">
      <c r="E2921" t="str">
        <f>""</f>
        <v/>
      </c>
      <c r="F2921" t="str">
        <f>""</f>
        <v/>
      </c>
      <c r="H2921" t="str">
        <f t="shared" si="60"/>
        <v>TASC - HRA FEES</v>
      </c>
    </row>
    <row r="2922" spans="5:8" x14ac:dyDescent="0.25">
      <c r="E2922" t="str">
        <f>""</f>
        <v/>
      </c>
      <c r="F2922" t="str">
        <f>""</f>
        <v/>
      </c>
      <c r="H2922" t="str">
        <f t="shared" si="60"/>
        <v>TASC - HRA FEES</v>
      </c>
    </row>
    <row r="2923" spans="5:8" x14ac:dyDescent="0.25">
      <c r="E2923" t="str">
        <f>""</f>
        <v/>
      </c>
      <c r="F2923" t="str">
        <f>""</f>
        <v/>
      </c>
      <c r="H2923" t="str">
        <f t="shared" si="60"/>
        <v>TASC - HRA FEES</v>
      </c>
    </row>
    <row r="2924" spans="5:8" x14ac:dyDescent="0.25">
      <c r="E2924" t="str">
        <f>""</f>
        <v/>
      </c>
      <c r="F2924" t="str">
        <f>""</f>
        <v/>
      </c>
      <c r="H2924" t="str">
        <f t="shared" si="60"/>
        <v>TASC - HRA FEES</v>
      </c>
    </row>
    <row r="2925" spans="5:8" x14ac:dyDescent="0.25">
      <c r="E2925" t="str">
        <f>""</f>
        <v/>
      </c>
      <c r="F2925" t="str">
        <f>""</f>
        <v/>
      </c>
      <c r="H2925" t="str">
        <f t="shared" si="60"/>
        <v>TASC - HRA FEES</v>
      </c>
    </row>
    <row r="2926" spans="5:8" x14ac:dyDescent="0.25">
      <c r="E2926" t="str">
        <f>""</f>
        <v/>
      </c>
      <c r="F2926" t="str">
        <f>""</f>
        <v/>
      </c>
      <c r="H2926" t="str">
        <f t="shared" si="60"/>
        <v>TASC - HRA FEES</v>
      </c>
    </row>
    <row r="2927" spans="5:8" x14ac:dyDescent="0.25">
      <c r="E2927" t="str">
        <f>""</f>
        <v/>
      </c>
      <c r="F2927" t="str">
        <f>""</f>
        <v/>
      </c>
      <c r="H2927" t="str">
        <f t="shared" si="60"/>
        <v>TASC - HRA FEES</v>
      </c>
    </row>
    <row r="2928" spans="5:8" x14ac:dyDescent="0.25">
      <c r="E2928" t="str">
        <f>""</f>
        <v/>
      </c>
      <c r="F2928" t="str">
        <f>""</f>
        <v/>
      </c>
      <c r="H2928" t="str">
        <f t="shared" si="60"/>
        <v>TASC - HRA FEES</v>
      </c>
    </row>
    <row r="2929" spans="5:8" x14ac:dyDescent="0.25">
      <c r="E2929" t="str">
        <f>""</f>
        <v/>
      </c>
      <c r="F2929" t="str">
        <f>""</f>
        <v/>
      </c>
      <c r="H2929" t="str">
        <f t="shared" si="60"/>
        <v>TASC - HRA FEES</v>
      </c>
    </row>
    <row r="2930" spans="5:8" x14ac:dyDescent="0.25">
      <c r="E2930" t="str">
        <f>""</f>
        <v/>
      </c>
      <c r="F2930" t="str">
        <f>""</f>
        <v/>
      </c>
      <c r="H2930" t="str">
        <f t="shared" si="60"/>
        <v>TASC - HRA FEES</v>
      </c>
    </row>
    <row r="2931" spans="5:8" x14ac:dyDescent="0.25">
      <c r="E2931" t="str">
        <f>""</f>
        <v/>
      </c>
      <c r="F2931" t="str">
        <f>""</f>
        <v/>
      </c>
      <c r="H2931" t="str">
        <f t="shared" si="60"/>
        <v>TASC - HRA FEES</v>
      </c>
    </row>
    <row r="2932" spans="5:8" x14ac:dyDescent="0.25">
      <c r="E2932" t="str">
        <f>""</f>
        <v/>
      </c>
      <c r="F2932" t="str">
        <f>""</f>
        <v/>
      </c>
      <c r="H2932" t="str">
        <f t="shared" si="60"/>
        <v>TASC - HRA FEES</v>
      </c>
    </row>
    <row r="2933" spans="5:8" x14ac:dyDescent="0.25">
      <c r="E2933" t="str">
        <f>""</f>
        <v/>
      </c>
      <c r="F2933" t="str">
        <f>""</f>
        <v/>
      </c>
      <c r="H2933" t="str">
        <f t="shared" si="60"/>
        <v>TASC - HRA FEES</v>
      </c>
    </row>
    <row r="2934" spans="5:8" x14ac:dyDescent="0.25">
      <c r="E2934" t="str">
        <f>""</f>
        <v/>
      </c>
      <c r="F2934" t="str">
        <f>""</f>
        <v/>
      </c>
      <c r="H2934" t="str">
        <f t="shared" si="60"/>
        <v>TASC - HRA FEES</v>
      </c>
    </row>
    <row r="2935" spans="5:8" x14ac:dyDescent="0.25">
      <c r="E2935" t="str">
        <f>""</f>
        <v/>
      </c>
      <c r="F2935" t="str">
        <f>""</f>
        <v/>
      </c>
      <c r="H2935" t="str">
        <f t="shared" si="60"/>
        <v>TASC - HRA FEES</v>
      </c>
    </row>
    <row r="2936" spans="5:8" x14ac:dyDescent="0.25">
      <c r="E2936" t="str">
        <f>""</f>
        <v/>
      </c>
      <c r="F2936" t="str">
        <f>""</f>
        <v/>
      </c>
      <c r="H2936" t="str">
        <f t="shared" si="60"/>
        <v>TASC - HRA FEES</v>
      </c>
    </row>
    <row r="2937" spans="5:8" x14ac:dyDescent="0.25">
      <c r="E2937" t="str">
        <f>""</f>
        <v/>
      </c>
      <c r="F2937" t="str">
        <f>""</f>
        <v/>
      </c>
      <c r="H2937" t="str">
        <f t="shared" si="60"/>
        <v>TASC - HRA FEES</v>
      </c>
    </row>
    <row r="2938" spans="5:8" x14ac:dyDescent="0.25">
      <c r="E2938" t="str">
        <f>""</f>
        <v/>
      </c>
      <c r="F2938" t="str">
        <f>""</f>
        <v/>
      </c>
      <c r="H2938" t="str">
        <f t="shared" si="60"/>
        <v>TASC - HRA FEES</v>
      </c>
    </row>
    <row r="2939" spans="5:8" x14ac:dyDescent="0.25">
      <c r="E2939" t="str">
        <f>""</f>
        <v/>
      </c>
      <c r="F2939" t="str">
        <f>""</f>
        <v/>
      </c>
      <c r="H2939" t="str">
        <f t="shared" si="60"/>
        <v>TASC - HRA FEES</v>
      </c>
    </row>
    <row r="2940" spans="5:8" x14ac:dyDescent="0.25">
      <c r="E2940" t="str">
        <f>""</f>
        <v/>
      </c>
      <c r="F2940" t="str">
        <f>""</f>
        <v/>
      </c>
      <c r="H2940" t="str">
        <f t="shared" si="60"/>
        <v>TASC - HRA FEES</v>
      </c>
    </row>
    <row r="2941" spans="5:8" x14ac:dyDescent="0.25">
      <c r="E2941" t="str">
        <f>""</f>
        <v/>
      </c>
      <c r="F2941" t="str">
        <f>""</f>
        <v/>
      </c>
      <c r="H2941" t="str">
        <f t="shared" si="60"/>
        <v>TASC - HRA FEES</v>
      </c>
    </row>
    <row r="2942" spans="5:8" x14ac:dyDescent="0.25">
      <c r="E2942" t="str">
        <f>""</f>
        <v/>
      </c>
      <c r="F2942" t="str">
        <f>""</f>
        <v/>
      </c>
      <c r="H2942" t="str">
        <f t="shared" si="60"/>
        <v>TASC - HRA FEES</v>
      </c>
    </row>
    <row r="2943" spans="5:8" x14ac:dyDescent="0.25">
      <c r="E2943" t="str">
        <f>""</f>
        <v/>
      </c>
      <c r="F2943" t="str">
        <f>""</f>
        <v/>
      </c>
      <c r="H2943" t="str">
        <f t="shared" si="60"/>
        <v>TASC - HRA FEES</v>
      </c>
    </row>
    <row r="2944" spans="5:8" x14ac:dyDescent="0.25">
      <c r="E2944" t="str">
        <f>""</f>
        <v/>
      </c>
      <c r="F2944" t="str">
        <f>""</f>
        <v/>
      </c>
      <c r="H2944" t="str">
        <f t="shared" si="60"/>
        <v>TASC - HRA FEES</v>
      </c>
    </row>
    <row r="2945" spans="5:8" x14ac:dyDescent="0.25">
      <c r="E2945" t="str">
        <f>""</f>
        <v/>
      </c>
      <c r="F2945" t="str">
        <f>""</f>
        <v/>
      </c>
      <c r="H2945" t="str">
        <f t="shared" si="60"/>
        <v>TASC - HRA FEES</v>
      </c>
    </row>
    <row r="2946" spans="5:8" x14ac:dyDescent="0.25">
      <c r="E2946" t="str">
        <f>""</f>
        <v/>
      </c>
      <c r="F2946" t="str">
        <f>""</f>
        <v/>
      </c>
      <c r="H2946" t="str">
        <f t="shared" si="60"/>
        <v>TASC - HRA FEES</v>
      </c>
    </row>
    <row r="2947" spans="5:8" x14ac:dyDescent="0.25">
      <c r="E2947" t="str">
        <f>""</f>
        <v/>
      </c>
      <c r="F2947" t="str">
        <f>""</f>
        <v/>
      </c>
      <c r="H2947" t="str">
        <f t="shared" si="60"/>
        <v>TASC - HRA FEES</v>
      </c>
    </row>
    <row r="2948" spans="5:8" x14ac:dyDescent="0.25">
      <c r="E2948" t="str">
        <f>""</f>
        <v/>
      </c>
      <c r="F2948" t="str">
        <f>""</f>
        <v/>
      </c>
      <c r="H2948" t="str">
        <f t="shared" ref="H2948:H2967" si="61">"TASC - HRA FEES"</f>
        <v>TASC - HRA FEES</v>
      </c>
    </row>
    <row r="2949" spans="5:8" x14ac:dyDescent="0.25">
      <c r="E2949" t="str">
        <f>""</f>
        <v/>
      </c>
      <c r="F2949" t="str">
        <f>""</f>
        <v/>
      </c>
      <c r="H2949" t="str">
        <f t="shared" si="61"/>
        <v>TASC - HRA FEES</v>
      </c>
    </row>
    <row r="2950" spans="5:8" x14ac:dyDescent="0.25">
      <c r="E2950" t="str">
        <f>""</f>
        <v/>
      </c>
      <c r="F2950" t="str">
        <f>""</f>
        <v/>
      </c>
      <c r="H2950" t="str">
        <f t="shared" si="61"/>
        <v>TASC - HRA FEES</v>
      </c>
    </row>
    <row r="2951" spans="5:8" x14ac:dyDescent="0.25">
      <c r="E2951" t="str">
        <f>""</f>
        <v/>
      </c>
      <c r="F2951" t="str">
        <f>""</f>
        <v/>
      </c>
      <c r="H2951" t="str">
        <f t="shared" si="61"/>
        <v>TASC - HRA FEES</v>
      </c>
    </row>
    <row r="2952" spans="5:8" x14ac:dyDescent="0.25">
      <c r="E2952" t="str">
        <f>""</f>
        <v/>
      </c>
      <c r="F2952" t="str">
        <f>""</f>
        <v/>
      </c>
      <c r="H2952" t="str">
        <f t="shared" si="61"/>
        <v>TASC - HRA FEES</v>
      </c>
    </row>
    <row r="2953" spans="5:8" x14ac:dyDescent="0.25">
      <c r="E2953" t="str">
        <f>""</f>
        <v/>
      </c>
      <c r="F2953" t="str">
        <f>""</f>
        <v/>
      </c>
      <c r="H2953" t="str">
        <f t="shared" si="61"/>
        <v>TASC - HRA FEES</v>
      </c>
    </row>
    <row r="2954" spans="5:8" x14ac:dyDescent="0.25">
      <c r="E2954" t="str">
        <f>""</f>
        <v/>
      </c>
      <c r="F2954" t="str">
        <f>""</f>
        <v/>
      </c>
      <c r="H2954" t="str">
        <f t="shared" si="61"/>
        <v>TASC - HRA FEES</v>
      </c>
    </row>
    <row r="2955" spans="5:8" x14ac:dyDescent="0.25">
      <c r="E2955" t="str">
        <f>""</f>
        <v/>
      </c>
      <c r="F2955" t="str">
        <f>""</f>
        <v/>
      </c>
      <c r="H2955" t="str">
        <f t="shared" si="61"/>
        <v>TASC - HRA FEES</v>
      </c>
    </row>
    <row r="2956" spans="5:8" x14ac:dyDescent="0.25">
      <c r="E2956" t="str">
        <f>""</f>
        <v/>
      </c>
      <c r="F2956" t="str">
        <f>""</f>
        <v/>
      </c>
      <c r="H2956" t="str">
        <f t="shared" si="61"/>
        <v>TASC - HRA FEES</v>
      </c>
    </row>
    <row r="2957" spans="5:8" x14ac:dyDescent="0.25">
      <c r="E2957" t="str">
        <f>""</f>
        <v/>
      </c>
      <c r="F2957" t="str">
        <f>""</f>
        <v/>
      </c>
      <c r="H2957" t="str">
        <f t="shared" si="61"/>
        <v>TASC - HRA FEES</v>
      </c>
    </row>
    <row r="2958" spans="5:8" x14ac:dyDescent="0.25">
      <c r="E2958" t="str">
        <f>""</f>
        <v/>
      </c>
      <c r="F2958" t="str">
        <f>""</f>
        <v/>
      </c>
      <c r="H2958" t="str">
        <f t="shared" si="61"/>
        <v>TASC - HRA FEES</v>
      </c>
    </row>
    <row r="2959" spans="5:8" x14ac:dyDescent="0.25">
      <c r="E2959" t="str">
        <f>""</f>
        <v/>
      </c>
      <c r="F2959" t="str">
        <f>""</f>
        <v/>
      </c>
      <c r="H2959" t="str">
        <f t="shared" si="61"/>
        <v>TASC - HRA FEES</v>
      </c>
    </row>
    <row r="2960" spans="5:8" x14ac:dyDescent="0.25">
      <c r="E2960" t="str">
        <f>""</f>
        <v/>
      </c>
      <c r="F2960" t="str">
        <f>""</f>
        <v/>
      </c>
      <c r="H2960" t="str">
        <f t="shared" si="61"/>
        <v>TASC - HRA FEES</v>
      </c>
    </row>
    <row r="2961" spans="1:8" x14ac:dyDescent="0.25">
      <c r="E2961" t="str">
        <f>""</f>
        <v/>
      </c>
      <c r="F2961" t="str">
        <f>""</f>
        <v/>
      </c>
      <c r="H2961" t="str">
        <f t="shared" si="61"/>
        <v>TASC - HRA FEES</v>
      </c>
    </row>
    <row r="2962" spans="1:8" x14ac:dyDescent="0.25">
      <c r="E2962" t="str">
        <f>""</f>
        <v/>
      </c>
      <c r="F2962" t="str">
        <f>""</f>
        <v/>
      </c>
      <c r="H2962" t="str">
        <f t="shared" si="61"/>
        <v>TASC - HRA FEES</v>
      </c>
    </row>
    <row r="2963" spans="1:8" x14ac:dyDescent="0.25">
      <c r="E2963" t="str">
        <f>""</f>
        <v/>
      </c>
      <c r="F2963" t="str">
        <f>""</f>
        <v/>
      </c>
      <c r="H2963" t="str">
        <f t="shared" si="61"/>
        <v>TASC - HRA FEES</v>
      </c>
    </row>
    <row r="2964" spans="1:8" x14ac:dyDescent="0.25">
      <c r="E2964" t="str">
        <f>""</f>
        <v/>
      </c>
      <c r="F2964" t="str">
        <f>""</f>
        <v/>
      </c>
      <c r="H2964" t="str">
        <f t="shared" si="61"/>
        <v>TASC - HRA FEES</v>
      </c>
    </row>
    <row r="2965" spans="1:8" x14ac:dyDescent="0.25">
      <c r="E2965" t="str">
        <f>""</f>
        <v/>
      </c>
      <c r="F2965" t="str">
        <f>""</f>
        <v/>
      </c>
      <c r="H2965" t="str">
        <f t="shared" si="61"/>
        <v>TASC - HRA FEES</v>
      </c>
    </row>
    <row r="2966" spans="1:8" x14ac:dyDescent="0.25">
      <c r="E2966" t="str">
        <f>""</f>
        <v/>
      </c>
      <c r="F2966" t="str">
        <f>""</f>
        <v/>
      </c>
      <c r="H2966" t="str">
        <f t="shared" si="61"/>
        <v>TASC - HRA FEES</v>
      </c>
    </row>
    <row r="2967" spans="1:8" x14ac:dyDescent="0.25">
      <c r="E2967" t="str">
        <f>"HRF201910302806"</f>
        <v>HRF201910302806</v>
      </c>
      <c r="F2967" t="str">
        <f>"TASC - HRA FEES"</f>
        <v>TASC - HRA FEES</v>
      </c>
      <c r="G2967" s="2">
        <v>30.6</v>
      </c>
      <c r="H2967" t="str">
        <f t="shared" si="61"/>
        <v>TASC - HRA FEES</v>
      </c>
    </row>
    <row r="2968" spans="1:8" x14ac:dyDescent="0.25">
      <c r="A2968" t="s">
        <v>458</v>
      </c>
      <c r="B2968">
        <v>273</v>
      </c>
      <c r="C2968" s="2">
        <v>9685.5300000000007</v>
      </c>
      <c r="D2968" s="1">
        <v>43784</v>
      </c>
      <c r="E2968" t="str">
        <f>"FSA201911133212"</f>
        <v>FSA201911133212</v>
      </c>
      <c r="F2968" t="str">
        <f>"TASC FSA"</f>
        <v>TASC FSA</v>
      </c>
      <c r="G2968" s="2">
        <v>7629.05</v>
      </c>
      <c r="H2968" t="str">
        <f>"TASC FSA"</f>
        <v>TASC FSA</v>
      </c>
    </row>
    <row r="2969" spans="1:8" x14ac:dyDescent="0.25">
      <c r="E2969" t="str">
        <f>"FSA201911133213"</f>
        <v>FSA201911133213</v>
      </c>
      <c r="F2969" t="str">
        <f>"TASC FSA"</f>
        <v>TASC FSA</v>
      </c>
      <c r="G2969" s="2">
        <v>497.48</v>
      </c>
      <c r="H2969" t="str">
        <f>"TASC FSA"</f>
        <v>TASC FSA</v>
      </c>
    </row>
    <row r="2970" spans="1:8" x14ac:dyDescent="0.25">
      <c r="E2970" t="str">
        <f>"FSC201911133212"</f>
        <v>FSC201911133212</v>
      </c>
      <c r="F2970" t="str">
        <f>"TASC DEPENDENT CARE"</f>
        <v>TASC DEPENDENT CARE</v>
      </c>
      <c r="G2970" s="2">
        <v>470</v>
      </c>
      <c r="H2970" t="str">
        <f>"TASC DEPENDENT CARE"</f>
        <v>TASC DEPENDENT CARE</v>
      </c>
    </row>
    <row r="2971" spans="1:8" x14ac:dyDescent="0.25">
      <c r="E2971" t="str">
        <f>"FSF201911133212"</f>
        <v>FSF201911133212</v>
      </c>
      <c r="F2971" t="str">
        <f>"TASC - FSA  FEES"</f>
        <v>TASC - FSA  FEES</v>
      </c>
      <c r="G2971" s="2">
        <v>252</v>
      </c>
      <c r="H2971" t="str">
        <f t="shared" ref="H2971:H3010" si="62">"TASC - FSA  FEES"</f>
        <v>TASC - FSA  FEES</v>
      </c>
    </row>
    <row r="2972" spans="1:8" x14ac:dyDescent="0.25">
      <c r="E2972" t="str">
        <f>""</f>
        <v/>
      </c>
      <c r="F2972" t="str">
        <f>""</f>
        <v/>
      </c>
      <c r="H2972" t="str">
        <f t="shared" si="62"/>
        <v>TASC - FSA  FEES</v>
      </c>
    </row>
    <row r="2973" spans="1:8" x14ac:dyDescent="0.25">
      <c r="E2973" t="str">
        <f>""</f>
        <v/>
      </c>
      <c r="F2973" t="str">
        <f>""</f>
        <v/>
      </c>
      <c r="H2973" t="str">
        <f t="shared" si="62"/>
        <v>TASC - FSA  FEES</v>
      </c>
    </row>
    <row r="2974" spans="1:8" x14ac:dyDescent="0.25">
      <c r="E2974" t="str">
        <f>""</f>
        <v/>
      </c>
      <c r="F2974" t="str">
        <f>""</f>
        <v/>
      </c>
      <c r="H2974" t="str">
        <f t="shared" si="62"/>
        <v>TASC - FSA  FEES</v>
      </c>
    </row>
    <row r="2975" spans="1:8" x14ac:dyDescent="0.25">
      <c r="E2975" t="str">
        <f>""</f>
        <v/>
      </c>
      <c r="F2975" t="str">
        <f>""</f>
        <v/>
      </c>
      <c r="H2975" t="str">
        <f t="shared" si="62"/>
        <v>TASC - FSA  FEES</v>
      </c>
    </row>
    <row r="2976" spans="1:8" x14ac:dyDescent="0.25">
      <c r="E2976" t="str">
        <f>""</f>
        <v/>
      </c>
      <c r="F2976" t="str">
        <f>""</f>
        <v/>
      </c>
      <c r="H2976" t="str">
        <f t="shared" si="62"/>
        <v>TASC - FSA  FEES</v>
      </c>
    </row>
    <row r="2977" spans="5:8" x14ac:dyDescent="0.25">
      <c r="E2977" t="str">
        <f>""</f>
        <v/>
      </c>
      <c r="F2977" t="str">
        <f>""</f>
        <v/>
      </c>
      <c r="H2977" t="str">
        <f t="shared" si="62"/>
        <v>TASC - FSA  FEES</v>
      </c>
    </row>
    <row r="2978" spans="5:8" x14ac:dyDescent="0.25">
      <c r="E2978" t="str">
        <f>""</f>
        <v/>
      </c>
      <c r="F2978" t="str">
        <f>""</f>
        <v/>
      </c>
      <c r="H2978" t="str">
        <f t="shared" si="62"/>
        <v>TASC - FSA  FEES</v>
      </c>
    </row>
    <row r="2979" spans="5:8" x14ac:dyDescent="0.25">
      <c r="E2979" t="str">
        <f>""</f>
        <v/>
      </c>
      <c r="F2979" t="str">
        <f>""</f>
        <v/>
      </c>
      <c r="H2979" t="str">
        <f t="shared" si="62"/>
        <v>TASC - FSA  FEES</v>
      </c>
    </row>
    <row r="2980" spans="5:8" x14ac:dyDescent="0.25">
      <c r="E2980" t="str">
        <f>""</f>
        <v/>
      </c>
      <c r="F2980" t="str">
        <f>""</f>
        <v/>
      </c>
      <c r="H2980" t="str">
        <f t="shared" si="62"/>
        <v>TASC - FSA  FEES</v>
      </c>
    </row>
    <row r="2981" spans="5:8" x14ac:dyDescent="0.25">
      <c r="E2981" t="str">
        <f>""</f>
        <v/>
      </c>
      <c r="F2981" t="str">
        <f>""</f>
        <v/>
      </c>
      <c r="H2981" t="str">
        <f t="shared" si="62"/>
        <v>TASC - FSA  FEES</v>
      </c>
    </row>
    <row r="2982" spans="5:8" x14ac:dyDescent="0.25">
      <c r="E2982" t="str">
        <f>""</f>
        <v/>
      </c>
      <c r="F2982" t="str">
        <f>""</f>
        <v/>
      </c>
      <c r="H2982" t="str">
        <f t="shared" si="62"/>
        <v>TASC - FSA  FEES</v>
      </c>
    </row>
    <row r="2983" spans="5:8" x14ac:dyDescent="0.25">
      <c r="E2983" t="str">
        <f>""</f>
        <v/>
      </c>
      <c r="F2983" t="str">
        <f>""</f>
        <v/>
      </c>
      <c r="H2983" t="str">
        <f t="shared" si="62"/>
        <v>TASC - FSA  FEES</v>
      </c>
    </row>
    <row r="2984" spans="5:8" x14ac:dyDescent="0.25">
      <c r="E2984" t="str">
        <f>""</f>
        <v/>
      </c>
      <c r="F2984" t="str">
        <f>""</f>
        <v/>
      </c>
      <c r="H2984" t="str">
        <f t="shared" si="62"/>
        <v>TASC - FSA  FEES</v>
      </c>
    </row>
    <row r="2985" spans="5:8" x14ac:dyDescent="0.25">
      <c r="E2985" t="str">
        <f>""</f>
        <v/>
      </c>
      <c r="F2985" t="str">
        <f>""</f>
        <v/>
      </c>
      <c r="H2985" t="str">
        <f t="shared" si="62"/>
        <v>TASC - FSA  FEES</v>
      </c>
    </row>
    <row r="2986" spans="5:8" x14ac:dyDescent="0.25">
      <c r="E2986" t="str">
        <f>""</f>
        <v/>
      </c>
      <c r="F2986" t="str">
        <f>""</f>
        <v/>
      </c>
      <c r="H2986" t="str">
        <f t="shared" si="62"/>
        <v>TASC - FSA  FEES</v>
      </c>
    </row>
    <row r="2987" spans="5:8" x14ac:dyDescent="0.25">
      <c r="E2987" t="str">
        <f>""</f>
        <v/>
      </c>
      <c r="F2987" t="str">
        <f>""</f>
        <v/>
      </c>
      <c r="H2987" t="str">
        <f t="shared" si="62"/>
        <v>TASC - FSA  FEES</v>
      </c>
    </row>
    <row r="2988" spans="5:8" x14ac:dyDescent="0.25">
      <c r="E2988" t="str">
        <f>""</f>
        <v/>
      </c>
      <c r="F2988" t="str">
        <f>""</f>
        <v/>
      </c>
      <c r="H2988" t="str">
        <f t="shared" si="62"/>
        <v>TASC - FSA  FEES</v>
      </c>
    </row>
    <row r="2989" spans="5:8" x14ac:dyDescent="0.25">
      <c r="E2989" t="str">
        <f>""</f>
        <v/>
      </c>
      <c r="F2989" t="str">
        <f>""</f>
        <v/>
      </c>
      <c r="H2989" t="str">
        <f t="shared" si="62"/>
        <v>TASC - FSA  FEES</v>
      </c>
    </row>
    <row r="2990" spans="5:8" x14ac:dyDescent="0.25">
      <c r="E2990" t="str">
        <f>""</f>
        <v/>
      </c>
      <c r="F2990" t="str">
        <f>""</f>
        <v/>
      </c>
      <c r="H2990" t="str">
        <f t="shared" si="62"/>
        <v>TASC - FSA  FEES</v>
      </c>
    </row>
    <row r="2991" spans="5:8" x14ac:dyDescent="0.25">
      <c r="E2991" t="str">
        <f>""</f>
        <v/>
      </c>
      <c r="F2991" t="str">
        <f>""</f>
        <v/>
      </c>
      <c r="H2991" t="str">
        <f t="shared" si="62"/>
        <v>TASC - FSA  FEES</v>
      </c>
    </row>
    <row r="2992" spans="5:8" x14ac:dyDescent="0.25">
      <c r="E2992" t="str">
        <f>""</f>
        <v/>
      </c>
      <c r="F2992" t="str">
        <f>""</f>
        <v/>
      </c>
      <c r="H2992" t="str">
        <f t="shared" si="62"/>
        <v>TASC - FSA  FEES</v>
      </c>
    </row>
    <row r="2993" spans="5:8" x14ac:dyDescent="0.25">
      <c r="E2993" t="str">
        <f>""</f>
        <v/>
      </c>
      <c r="F2993" t="str">
        <f>""</f>
        <v/>
      </c>
      <c r="H2993" t="str">
        <f t="shared" si="62"/>
        <v>TASC - FSA  FEES</v>
      </c>
    </row>
    <row r="2994" spans="5:8" x14ac:dyDescent="0.25">
      <c r="E2994" t="str">
        <f>""</f>
        <v/>
      </c>
      <c r="F2994" t="str">
        <f>""</f>
        <v/>
      </c>
      <c r="H2994" t="str">
        <f t="shared" si="62"/>
        <v>TASC - FSA  FEES</v>
      </c>
    </row>
    <row r="2995" spans="5:8" x14ac:dyDescent="0.25">
      <c r="E2995" t="str">
        <f>""</f>
        <v/>
      </c>
      <c r="F2995" t="str">
        <f>""</f>
        <v/>
      </c>
      <c r="H2995" t="str">
        <f t="shared" si="62"/>
        <v>TASC - FSA  FEES</v>
      </c>
    </row>
    <row r="2996" spans="5:8" x14ac:dyDescent="0.25">
      <c r="E2996" t="str">
        <f>""</f>
        <v/>
      </c>
      <c r="F2996" t="str">
        <f>""</f>
        <v/>
      </c>
      <c r="H2996" t="str">
        <f t="shared" si="62"/>
        <v>TASC - FSA  FEES</v>
      </c>
    </row>
    <row r="2997" spans="5:8" x14ac:dyDescent="0.25">
      <c r="E2997" t="str">
        <f>""</f>
        <v/>
      </c>
      <c r="F2997" t="str">
        <f>""</f>
        <v/>
      </c>
      <c r="H2997" t="str">
        <f t="shared" si="62"/>
        <v>TASC - FSA  FEES</v>
      </c>
    </row>
    <row r="2998" spans="5:8" x14ac:dyDescent="0.25">
      <c r="E2998" t="str">
        <f>""</f>
        <v/>
      </c>
      <c r="F2998" t="str">
        <f>""</f>
        <v/>
      </c>
      <c r="H2998" t="str">
        <f t="shared" si="62"/>
        <v>TASC - FSA  FEES</v>
      </c>
    </row>
    <row r="2999" spans="5:8" x14ac:dyDescent="0.25">
      <c r="E2999" t="str">
        <f>""</f>
        <v/>
      </c>
      <c r="F2999" t="str">
        <f>""</f>
        <v/>
      </c>
      <c r="H2999" t="str">
        <f t="shared" si="62"/>
        <v>TASC - FSA  FEES</v>
      </c>
    </row>
    <row r="3000" spans="5:8" x14ac:dyDescent="0.25">
      <c r="E3000" t="str">
        <f>""</f>
        <v/>
      </c>
      <c r="F3000" t="str">
        <f>""</f>
        <v/>
      </c>
      <c r="H3000" t="str">
        <f t="shared" si="62"/>
        <v>TASC - FSA  FEES</v>
      </c>
    </row>
    <row r="3001" spans="5:8" x14ac:dyDescent="0.25">
      <c r="E3001" t="str">
        <f>""</f>
        <v/>
      </c>
      <c r="F3001" t="str">
        <f>""</f>
        <v/>
      </c>
      <c r="H3001" t="str">
        <f t="shared" si="62"/>
        <v>TASC - FSA  FEES</v>
      </c>
    </row>
    <row r="3002" spans="5:8" x14ac:dyDescent="0.25">
      <c r="E3002" t="str">
        <f>""</f>
        <v/>
      </c>
      <c r="F3002" t="str">
        <f>""</f>
        <v/>
      </c>
      <c r="H3002" t="str">
        <f t="shared" si="62"/>
        <v>TASC - FSA  FEES</v>
      </c>
    </row>
    <row r="3003" spans="5:8" x14ac:dyDescent="0.25">
      <c r="E3003" t="str">
        <f>""</f>
        <v/>
      </c>
      <c r="F3003" t="str">
        <f>""</f>
        <v/>
      </c>
      <c r="H3003" t="str">
        <f t="shared" si="62"/>
        <v>TASC - FSA  FEES</v>
      </c>
    </row>
    <row r="3004" spans="5:8" x14ac:dyDescent="0.25">
      <c r="E3004" t="str">
        <f>""</f>
        <v/>
      </c>
      <c r="F3004" t="str">
        <f>""</f>
        <v/>
      </c>
      <c r="H3004" t="str">
        <f t="shared" si="62"/>
        <v>TASC - FSA  FEES</v>
      </c>
    </row>
    <row r="3005" spans="5:8" x14ac:dyDescent="0.25">
      <c r="E3005" t="str">
        <f>""</f>
        <v/>
      </c>
      <c r="F3005" t="str">
        <f>""</f>
        <v/>
      </c>
      <c r="H3005" t="str">
        <f t="shared" si="62"/>
        <v>TASC - FSA  FEES</v>
      </c>
    </row>
    <row r="3006" spans="5:8" x14ac:dyDescent="0.25">
      <c r="E3006" t="str">
        <f>""</f>
        <v/>
      </c>
      <c r="F3006" t="str">
        <f>""</f>
        <v/>
      </c>
      <c r="H3006" t="str">
        <f t="shared" si="62"/>
        <v>TASC - FSA  FEES</v>
      </c>
    </row>
    <row r="3007" spans="5:8" x14ac:dyDescent="0.25">
      <c r="E3007" t="str">
        <f>""</f>
        <v/>
      </c>
      <c r="F3007" t="str">
        <f>""</f>
        <v/>
      </c>
      <c r="H3007" t="str">
        <f t="shared" si="62"/>
        <v>TASC - FSA  FEES</v>
      </c>
    </row>
    <row r="3008" spans="5:8" x14ac:dyDescent="0.25">
      <c r="E3008" t="str">
        <f>""</f>
        <v/>
      </c>
      <c r="F3008" t="str">
        <f>""</f>
        <v/>
      </c>
      <c r="H3008" t="str">
        <f t="shared" si="62"/>
        <v>TASC - FSA  FEES</v>
      </c>
    </row>
    <row r="3009" spans="5:8" x14ac:dyDescent="0.25">
      <c r="E3009" t="str">
        <f>""</f>
        <v/>
      </c>
      <c r="F3009" t="str">
        <f>""</f>
        <v/>
      </c>
      <c r="H3009" t="str">
        <f t="shared" si="62"/>
        <v>TASC - FSA  FEES</v>
      </c>
    </row>
    <row r="3010" spans="5:8" x14ac:dyDescent="0.25">
      <c r="E3010" t="str">
        <f>"FSF201911133213"</f>
        <v>FSF201911133213</v>
      </c>
      <c r="F3010" t="str">
        <f>"TASC - FSA  FEES"</f>
        <v>TASC - FSA  FEES</v>
      </c>
      <c r="G3010" s="2">
        <v>12.6</v>
      </c>
      <c r="H3010" t="str">
        <f t="shared" si="62"/>
        <v>TASC - FSA  FEES</v>
      </c>
    </row>
    <row r="3011" spans="5:8" x14ac:dyDescent="0.25">
      <c r="E3011" t="str">
        <f>"HRF201911133212"</f>
        <v>HRF201911133212</v>
      </c>
      <c r="F3011" t="str">
        <f>"TASC - HRA FEES"</f>
        <v>TASC - HRA FEES</v>
      </c>
      <c r="G3011" s="2">
        <v>793.8</v>
      </c>
      <c r="H3011" t="str">
        <f t="shared" ref="H3011:H3042" si="63">"TASC - HRA FEES"</f>
        <v>TASC - HRA FEES</v>
      </c>
    </row>
    <row r="3012" spans="5:8" x14ac:dyDescent="0.25">
      <c r="E3012" t="str">
        <f>""</f>
        <v/>
      </c>
      <c r="F3012" t="str">
        <f>""</f>
        <v/>
      </c>
      <c r="H3012" t="str">
        <f t="shared" si="63"/>
        <v>TASC - HRA FEES</v>
      </c>
    </row>
    <row r="3013" spans="5:8" x14ac:dyDescent="0.25">
      <c r="E3013" t="str">
        <f>""</f>
        <v/>
      </c>
      <c r="F3013" t="str">
        <f>""</f>
        <v/>
      </c>
      <c r="H3013" t="str">
        <f t="shared" si="63"/>
        <v>TASC - HRA FEES</v>
      </c>
    </row>
    <row r="3014" spans="5:8" x14ac:dyDescent="0.25">
      <c r="E3014" t="str">
        <f>""</f>
        <v/>
      </c>
      <c r="F3014" t="str">
        <f>""</f>
        <v/>
      </c>
      <c r="H3014" t="str">
        <f t="shared" si="63"/>
        <v>TASC - HRA FEES</v>
      </c>
    </row>
    <row r="3015" spans="5:8" x14ac:dyDescent="0.25">
      <c r="E3015" t="str">
        <f>""</f>
        <v/>
      </c>
      <c r="F3015" t="str">
        <f>""</f>
        <v/>
      </c>
      <c r="H3015" t="str">
        <f t="shared" si="63"/>
        <v>TASC - HRA FEES</v>
      </c>
    </row>
    <row r="3016" spans="5:8" x14ac:dyDescent="0.25">
      <c r="E3016" t="str">
        <f>""</f>
        <v/>
      </c>
      <c r="F3016" t="str">
        <f>""</f>
        <v/>
      </c>
      <c r="H3016" t="str">
        <f t="shared" si="63"/>
        <v>TASC - HRA FEES</v>
      </c>
    </row>
    <row r="3017" spans="5:8" x14ac:dyDescent="0.25">
      <c r="E3017" t="str">
        <f>""</f>
        <v/>
      </c>
      <c r="F3017" t="str">
        <f>""</f>
        <v/>
      </c>
      <c r="H3017" t="str">
        <f t="shared" si="63"/>
        <v>TASC - HRA FEES</v>
      </c>
    </row>
    <row r="3018" spans="5:8" x14ac:dyDescent="0.25">
      <c r="E3018" t="str">
        <f>""</f>
        <v/>
      </c>
      <c r="F3018" t="str">
        <f>""</f>
        <v/>
      </c>
      <c r="H3018" t="str">
        <f t="shared" si="63"/>
        <v>TASC - HRA FEES</v>
      </c>
    </row>
    <row r="3019" spans="5:8" x14ac:dyDescent="0.25">
      <c r="E3019" t="str">
        <f>""</f>
        <v/>
      </c>
      <c r="F3019" t="str">
        <f>""</f>
        <v/>
      </c>
      <c r="H3019" t="str">
        <f t="shared" si="63"/>
        <v>TASC - HRA FEES</v>
      </c>
    </row>
    <row r="3020" spans="5:8" x14ac:dyDescent="0.25">
      <c r="E3020" t="str">
        <f>""</f>
        <v/>
      </c>
      <c r="F3020" t="str">
        <f>""</f>
        <v/>
      </c>
      <c r="H3020" t="str">
        <f t="shared" si="63"/>
        <v>TASC - HRA FEES</v>
      </c>
    </row>
    <row r="3021" spans="5:8" x14ac:dyDescent="0.25">
      <c r="E3021" t="str">
        <f>""</f>
        <v/>
      </c>
      <c r="F3021" t="str">
        <f>""</f>
        <v/>
      </c>
      <c r="H3021" t="str">
        <f t="shared" si="63"/>
        <v>TASC - HRA FEES</v>
      </c>
    </row>
    <row r="3022" spans="5:8" x14ac:dyDescent="0.25">
      <c r="E3022" t="str">
        <f>""</f>
        <v/>
      </c>
      <c r="F3022" t="str">
        <f>""</f>
        <v/>
      </c>
      <c r="H3022" t="str">
        <f t="shared" si="63"/>
        <v>TASC - HRA FEES</v>
      </c>
    </row>
    <row r="3023" spans="5:8" x14ac:dyDescent="0.25">
      <c r="E3023" t="str">
        <f>""</f>
        <v/>
      </c>
      <c r="F3023" t="str">
        <f>""</f>
        <v/>
      </c>
      <c r="H3023" t="str">
        <f t="shared" si="63"/>
        <v>TASC - HRA FEES</v>
      </c>
    </row>
    <row r="3024" spans="5:8" x14ac:dyDescent="0.25">
      <c r="E3024" t="str">
        <f>""</f>
        <v/>
      </c>
      <c r="F3024" t="str">
        <f>""</f>
        <v/>
      </c>
      <c r="H3024" t="str">
        <f t="shared" si="63"/>
        <v>TASC - HRA FEES</v>
      </c>
    </row>
    <row r="3025" spans="5:8" x14ac:dyDescent="0.25">
      <c r="E3025" t="str">
        <f>""</f>
        <v/>
      </c>
      <c r="F3025" t="str">
        <f>""</f>
        <v/>
      </c>
      <c r="H3025" t="str">
        <f t="shared" si="63"/>
        <v>TASC - HRA FEES</v>
      </c>
    </row>
    <row r="3026" spans="5:8" x14ac:dyDescent="0.25">
      <c r="E3026" t="str">
        <f>""</f>
        <v/>
      </c>
      <c r="F3026" t="str">
        <f>""</f>
        <v/>
      </c>
      <c r="H3026" t="str">
        <f t="shared" si="63"/>
        <v>TASC - HRA FEES</v>
      </c>
    </row>
    <row r="3027" spans="5:8" x14ac:dyDescent="0.25">
      <c r="E3027" t="str">
        <f>""</f>
        <v/>
      </c>
      <c r="F3027" t="str">
        <f>""</f>
        <v/>
      </c>
      <c r="H3027" t="str">
        <f t="shared" si="63"/>
        <v>TASC - HRA FEES</v>
      </c>
    </row>
    <row r="3028" spans="5:8" x14ac:dyDescent="0.25">
      <c r="E3028" t="str">
        <f>""</f>
        <v/>
      </c>
      <c r="F3028" t="str">
        <f>""</f>
        <v/>
      </c>
      <c r="H3028" t="str">
        <f t="shared" si="63"/>
        <v>TASC - HRA FEES</v>
      </c>
    </row>
    <row r="3029" spans="5:8" x14ac:dyDescent="0.25">
      <c r="E3029" t="str">
        <f>""</f>
        <v/>
      </c>
      <c r="F3029" t="str">
        <f>""</f>
        <v/>
      </c>
      <c r="H3029" t="str">
        <f t="shared" si="63"/>
        <v>TASC - HRA FEES</v>
      </c>
    </row>
    <row r="3030" spans="5:8" x14ac:dyDescent="0.25">
      <c r="E3030" t="str">
        <f>""</f>
        <v/>
      </c>
      <c r="F3030" t="str">
        <f>""</f>
        <v/>
      </c>
      <c r="H3030" t="str">
        <f t="shared" si="63"/>
        <v>TASC - HRA FEES</v>
      </c>
    </row>
    <row r="3031" spans="5:8" x14ac:dyDescent="0.25">
      <c r="E3031" t="str">
        <f>""</f>
        <v/>
      </c>
      <c r="F3031" t="str">
        <f>""</f>
        <v/>
      </c>
      <c r="H3031" t="str">
        <f t="shared" si="63"/>
        <v>TASC - HRA FEES</v>
      </c>
    </row>
    <row r="3032" spans="5:8" x14ac:dyDescent="0.25">
      <c r="E3032" t="str">
        <f>""</f>
        <v/>
      </c>
      <c r="F3032" t="str">
        <f>""</f>
        <v/>
      </c>
      <c r="H3032" t="str">
        <f t="shared" si="63"/>
        <v>TASC - HRA FEES</v>
      </c>
    </row>
    <row r="3033" spans="5:8" x14ac:dyDescent="0.25">
      <c r="E3033" t="str">
        <f>""</f>
        <v/>
      </c>
      <c r="F3033" t="str">
        <f>""</f>
        <v/>
      </c>
      <c r="H3033" t="str">
        <f t="shared" si="63"/>
        <v>TASC - HRA FEES</v>
      </c>
    </row>
    <row r="3034" spans="5:8" x14ac:dyDescent="0.25">
      <c r="E3034" t="str">
        <f>""</f>
        <v/>
      </c>
      <c r="F3034" t="str">
        <f>""</f>
        <v/>
      </c>
      <c r="H3034" t="str">
        <f t="shared" si="63"/>
        <v>TASC - HRA FEES</v>
      </c>
    </row>
    <row r="3035" spans="5:8" x14ac:dyDescent="0.25">
      <c r="E3035" t="str">
        <f>""</f>
        <v/>
      </c>
      <c r="F3035" t="str">
        <f>""</f>
        <v/>
      </c>
      <c r="H3035" t="str">
        <f t="shared" si="63"/>
        <v>TASC - HRA FEES</v>
      </c>
    </row>
    <row r="3036" spans="5:8" x14ac:dyDescent="0.25">
      <c r="E3036" t="str">
        <f>""</f>
        <v/>
      </c>
      <c r="F3036" t="str">
        <f>""</f>
        <v/>
      </c>
      <c r="H3036" t="str">
        <f t="shared" si="63"/>
        <v>TASC - HRA FEES</v>
      </c>
    </row>
    <row r="3037" spans="5:8" x14ac:dyDescent="0.25">
      <c r="E3037" t="str">
        <f>""</f>
        <v/>
      </c>
      <c r="F3037" t="str">
        <f>""</f>
        <v/>
      </c>
      <c r="H3037" t="str">
        <f t="shared" si="63"/>
        <v>TASC - HRA FEES</v>
      </c>
    </row>
    <row r="3038" spans="5:8" x14ac:dyDescent="0.25">
      <c r="E3038" t="str">
        <f>""</f>
        <v/>
      </c>
      <c r="F3038" t="str">
        <f>""</f>
        <v/>
      </c>
      <c r="H3038" t="str">
        <f t="shared" si="63"/>
        <v>TASC - HRA FEES</v>
      </c>
    </row>
    <row r="3039" spans="5:8" x14ac:dyDescent="0.25">
      <c r="E3039" t="str">
        <f>""</f>
        <v/>
      </c>
      <c r="F3039" t="str">
        <f>""</f>
        <v/>
      </c>
      <c r="H3039" t="str">
        <f t="shared" si="63"/>
        <v>TASC - HRA FEES</v>
      </c>
    </row>
    <row r="3040" spans="5:8" x14ac:dyDescent="0.25">
      <c r="E3040" t="str">
        <f>""</f>
        <v/>
      </c>
      <c r="F3040" t="str">
        <f>""</f>
        <v/>
      </c>
      <c r="H3040" t="str">
        <f t="shared" si="63"/>
        <v>TASC - HRA FEES</v>
      </c>
    </row>
    <row r="3041" spans="5:8" x14ac:dyDescent="0.25">
      <c r="E3041" t="str">
        <f>""</f>
        <v/>
      </c>
      <c r="F3041" t="str">
        <f>""</f>
        <v/>
      </c>
      <c r="H3041" t="str">
        <f t="shared" si="63"/>
        <v>TASC - HRA FEES</v>
      </c>
    </row>
    <row r="3042" spans="5:8" x14ac:dyDescent="0.25">
      <c r="E3042" t="str">
        <f>""</f>
        <v/>
      </c>
      <c r="F3042" t="str">
        <f>""</f>
        <v/>
      </c>
      <c r="H3042" t="str">
        <f t="shared" si="63"/>
        <v>TASC - HRA FEES</v>
      </c>
    </row>
    <row r="3043" spans="5:8" x14ac:dyDescent="0.25">
      <c r="E3043" t="str">
        <f>""</f>
        <v/>
      </c>
      <c r="F3043" t="str">
        <f>""</f>
        <v/>
      </c>
      <c r="H3043" t="str">
        <f t="shared" ref="H3043:H3062" si="64">"TASC - HRA FEES"</f>
        <v>TASC - HRA FEES</v>
      </c>
    </row>
    <row r="3044" spans="5:8" x14ac:dyDescent="0.25">
      <c r="E3044" t="str">
        <f>""</f>
        <v/>
      </c>
      <c r="F3044" t="str">
        <f>""</f>
        <v/>
      </c>
      <c r="H3044" t="str">
        <f t="shared" si="64"/>
        <v>TASC - HRA FEES</v>
      </c>
    </row>
    <row r="3045" spans="5:8" x14ac:dyDescent="0.25">
      <c r="E3045" t="str">
        <f>""</f>
        <v/>
      </c>
      <c r="F3045" t="str">
        <f>""</f>
        <v/>
      </c>
      <c r="H3045" t="str">
        <f t="shared" si="64"/>
        <v>TASC - HRA FEES</v>
      </c>
    </row>
    <row r="3046" spans="5:8" x14ac:dyDescent="0.25">
      <c r="E3046" t="str">
        <f>""</f>
        <v/>
      </c>
      <c r="F3046" t="str">
        <f>""</f>
        <v/>
      </c>
      <c r="H3046" t="str">
        <f t="shared" si="64"/>
        <v>TASC - HRA FEES</v>
      </c>
    </row>
    <row r="3047" spans="5:8" x14ac:dyDescent="0.25">
      <c r="E3047" t="str">
        <f>""</f>
        <v/>
      </c>
      <c r="F3047" t="str">
        <f>""</f>
        <v/>
      </c>
      <c r="H3047" t="str">
        <f t="shared" si="64"/>
        <v>TASC - HRA FEES</v>
      </c>
    </row>
    <row r="3048" spans="5:8" x14ac:dyDescent="0.25">
      <c r="E3048" t="str">
        <f>""</f>
        <v/>
      </c>
      <c r="F3048" t="str">
        <f>""</f>
        <v/>
      </c>
      <c r="H3048" t="str">
        <f t="shared" si="64"/>
        <v>TASC - HRA FEES</v>
      </c>
    </row>
    <row r="3049" spans="5:8" x14ac:dyDescent="0.25">
      <c r="E3049" t="str">
        <f>""</f>
        <v/>
      </c>
      <c r="F3049" t="str">
        <f>""</f>
        <v/>
      </c>
      <c r="H3049" t="str">
        <f t="shared" si="64"/>
        <v>TASC - HRA FEES</v>
      </c>
    </row>
    <row r="3050" spans="5:8" x14ac:dyDescent="0.25">
      <c r="E3050" t="str">
        <f>""</f>
        <v/>
      </c>
      <c r="F3050" t="str">
        <f>""</f>
        <v/>
      </c>
      <c r="H3050" t="str">
        <f t="shared" si="64"/>
        <v>TASC - HRA FEES</v>
      </c>
    </row>
    <row r="3051" spans="5:8" x14ac:dyDescent="0.25">
      <c r="E3051" t="str">
        <f>""</f>
        <v/>
      </c>
      <c r="F3051" t="str">
        <f>""</f>
        <v/>
      </c>
      <c r="H3051" t="str">
        <f t="shared" si="64"/>
        <v>TASC - HRA FEES</v>
      </c>
    </row>
    <row r="3052" spans="5:8" x14ac:dyDescent="0.25">
      <c r="E3052" t="str">
        <f>""</f>
        <v/>
      </c>
      <c r="F3052" t="str">
        <f>""</f>
        <v/>
      </c>
      <c r="H3052" t="str">
        <f t="shared" si="64"/>
        <v>TASC - HRA FEES</v>
      </c>
    </row>
    <row r="3053" spans="5:8" x14ac:dyDescent="0.25">
      <c r="E3053" t="str">
        <f>""</f>
        <v/>
      </c>
      <c r="F3053" t="str">
        <f>""</f>
        <v/>
      </c>
      <c r="H3053" t="str">
        <f t="shared" si="64"/>
        <v>TASC - HRA FEES</v>
      </c>
    </row>
    <row r="3054" spans="5:8" x14ac:dyDescent="0.25">
      <c r="E3054" t="str">
        <f>""</f>
        <v/>
      </c>
      <c r="F3054" t="str">
        <f>""</f>
        <v/>
      </c>
      <c r="H3054" t="str">
        <f t="shared" si="64"/>
        <v>TASC - HRA FEES</v>
      </c>
    </row>
    <row r="3055" spans="5:8" x14ac:dyDescent="0.25">
      <c r="E3055" t="str">
        <f>""</f>
        <v/>
      </c>
      <c r="F3055" t="str">
        <f>""</f>
        <v/>
      </c>
      <c r="H3055" t="str">
        <f t="shared" si="64"/>
        <v>TASC - HRA FEES</v>
      </c>
    </row>
    <row r="3056" spans="5:8" x14ac:dyDescent="0.25">
      <c r="E3056" t="str">
        <f>""</f>
        <v/>
      </c>
      <c r="F3056" t="str">
        <f>""</f>
        <v/>
      </c>
      <c r="H3056" t="str">
        <f t="shared" si="64"/>
        <v>TASC - HRA FEES</v>
      </c>
    </row>
    <row r="3057" spans="1:8" x14ac:dyDescent="0.25">
      <c r="E3057" t="str">
        <f>""</f>
        <v/>
      </c>
      <c r="F3057" t="str">
        <f>""</f>
        <v/>
      </c>
      <c r="H3057" t="str">
        <f t="shared" si="64"/>
        <v>TASC - HRA FEES</v>
      </c>
    </row>
    <row r="3058" spans="1:8" x14ac:dyDescent="0.25">
      <c r="E3058" t="str">
        <f>""</f>
        <v/>
      </c>
      <c r="F3058" t="str">
        <f>""</f>
        <v/>
      </c>
      <c r="H3058" t="str">
        <f t="shared" si="64"/>
        <v>TASC - HRA FEES</v>
      </c>
    </row>
    <row r="3059" spans="1:8" x14ac:dyDescent="0.25">
      <c r="E3059" t="str">
        <f>""</f>
        <v/>
      </c>
      <c r="F3059" t="str">
        <f>""</f>
        <v/>
      </c>
      <c r="H3059" t="str">
        <f t="shared" si="64"/>
        <v>TASC - HRA FEES</v>
      </c>
    </row>
    <row r="3060" spans="1:8" x14ac:dyDescent="0.25">
      <c r="E3060" t="str">
        <f>""</f>
        <v/>
      </c>
      <c r="F3060" t="str">
        <f>""</f>
        <v/>
      </c>
      <c r="H3060" t="str">
        <f t="shared" si="64"/>
        <v>TASC - HRA FEES</v>
      </c>
    </row>
    <row r="3061" spans="1:8" x14ac:dyDescent="0.25">
      <c r="E3061" t="str">
        <f>""</f>
        <v/>
      </c>
      <c r="F3061" t="str">
        <f>""</f>
        <v/>
      </c>
      <c r="H3061" t="str">
        <f t="shared" si="64"/>
        <v>TASC - HRA FEES</v>
      </c>
    </row>
    <row r="3062" spans="1:8" x14ac:dyDescent="0.25">
      <c r="E3062" t="str">
        <f>"HRF201911133213"</f>
        <v>HRF201911133213</v>
      </c>
      <c r="F3062" t="str">
        <f>"TASC - HRA FEES"</f>
        <v>TASC - HRA FEES</v>
      </c>
      <c r="G3062" s="2">
        <v>30.6</v>
      </c>
      <c r="H3062" t="str">
        <f t="shared" si="64"/>
        <v>TASC - HRA FEES</v>
      </c>
    </row>
    <row r="3063" spans="1:8" x14ac:dyDescent="0.25">
      <c r="A3063" t="s">
        <v>459</v>
      </c>
      <c r="B3063">
        <v>261</v>
      </c>
      <c r="C3063" s="2">
        <v>4654.38</v>
      </c>
      <c r="D3063" s="1">
        <v>43770</v>
      </c>
      <c r="E3063" t="str">
        <f>"C18201910302806"</f>
        <v>C18201910302806</v>
      </c>
      <c r="F3063" t="str">
        <f>"CAUSE# 0011635329"</f>
        <v>CAUSE# 0011635329</v>
      </c>
      <c r="G3063" s="2">
        <v>603.23</v>
      </c>
      <c r="H3063" t="str">
        <f>"CAUSE# 0011635329"</f>
        <v>CAUSE# 0011635329</v>
      </c>
    </row>
    <row r="3064" spans="1:8" x14ac:dyDescent="0.25">
      <c r="E3064" t="str">
        <f>"C2 201910302806"</f>
        <v>C2 201910302806</v>
      </c>
      <c r="F3064" t="str">
        <f>"0012982132CCL7445"</f>
        <v>0012982132CCL7445</v>
      </c>
      <c r="G3064" s="2">
        <v>692.31</v>
      </c>
      <c r="H3064" t="str">
        <f>"0012982132CCL7445"</f>
        <v>0012982132CCL7445</v>
      </c>
    </row>
    <row r="3065" spans="1:8" x14ac:dyDescent="0.25">
      <c r="E3065" t="str">
        <f>"C20201910302805"</f>
        <v>C20201910302805</v>
      </c>
      <c r="F3065" t="str">
        <f>"001003981107-12252"</f>
        <v>001003981107-12252</v>
      </c>
      <c r="G3065" s="2">
        <v>115.39</v>
      </c>
      <c r="H3065" t="str">
        <f>"001003981107-12252"</f>
        <v>001003981107-12252</v>
      </c>
    </row>
    <row r="3066" spans="1:8" x14ac:dyDescent="0.25">
      <c r="E3066" t="str">
        <f>"C42201910302805"</f>
        <v>C42201910302805</v>
      </c>
      <c r="F3066" t="str">
        <f>"001236769211-14410"</f>
        <v>001236769211-14410</v>
      </c>
      <c r="G3066" s="2">
        <v>230.31</v>
      </c>
      <c r="H3066" t="str">
        <f>"001236769211-14410"</f>
        <v>001236769211-14410</v>
      </c>
    </row>
    <row r="3067" spans="1:8" x14ac:dyDescent="0.25">
      <c r="E3067" t="str">
        <f>"C46201910302805"</f>
        <v>C46201910302805</v>
      </c>
      <c r="F3067" t="str">
        <f>"CAUSE# 11-14911"</f>
        <v>CAUSE# 11-14911</v>
      </c>
      <c r="G3067" s="2">
        <v>238.62</v>
      </c>
      <c r="H3067" t="str">
        <f>"CAUSE# 11-14911"</f>
        <v>CAUSE# 11-14911</v>
      </c>
    </row>
    <row r="3068" spans="1:8" x14ac:dyDescent="0.25">
      <c r="E3068" t="str">
        <f>"C53201910302805"</f>
        <v>C53201910302805</v>
      </c>
      <c r="F3068" t="str">
        <f>"0012453366"</f>
        <v>0012453366</v>
      </c>
      <c r="G3068" s="2">
        <v>138.46</v>
      </c>
      <c r="H3068" t="str">
        <f>"0012453366"</f>
        <v>0012453366</v>
      </c>
    </row>
    <row r="3069" spans="1:8" x14ac:dyDescent="0.25">
      <c r="E3069" t="str">
        <f>"C60201910302805"</f>
        <v>C60201910302805</v>
      </c>
      <c r="F3069" t="str">
        <f>"00130730762012V300"</f>
        <v>00130730762012V300</v>
      </c>
      <c r="G3069" s="2">
        <v>399.32</v>
      </c>
      <c r="H3069" t="str">
        <f>"00130730762012V300"</f>
        <v>00130730762012V300</v>
      </c>
    </row>
    <row r="3070" spans="1:8" x14ac:dyDescent="0.25">
      <c r="E3070" t="str">
        <f>"C62201910302805"</f>
        <v>C62201910302805</v>
      </c>
      <c r="F3070" t="str">
        <f>"# 0012128865"</f>
        <v># 0012128865</v>
      </c>
      <c r="G3070" s="2">
        <v>243.23</v>
      </c>
      <c r="H3070" t="str">
        <f>"# 0012128865"</f>
        <v># 0012128865</v>
      </c>
    </row>
    <row r="3071" spans="1:8" x14ac:dyDescent="0.25">
      <c r="E3071" t="str">
        <f>"C66201910302805"</f>
        <v>C66201910302805</v>
      </c>
      <c r="F3071" t="str">
        <f>"# 0012871801"</f>
        <v># 0012871801</v>
      </c>
      <c r="G3071" s="2">
        <v>90</v>
      </c>
      <c r="H3071" t="str">
        <f>"# 0012871801"</f>
        <v># 0012871801</v>
      </c>
    </row>
    <row r="3072" spans="1:8" x14ac:dyDescent="0.25">
      <c r="E3072" t="str">
        <f>"C67201910302805"</f>
        <v>C67201910302805</v>
      </c>
      <c r="F3072" t="str">
        <f>"13154657"</f>
        <v>13154657</v>
      </c>
      <c r="G3072" s="2">
        <v>101.99</v>
      </c>
      <c r="H3072" t="str">
        <f>"13154657"</f>
        <v>13154657</v>
      </c>
    </row>
    <row r="3073" spans="1:8" x14ac:dyDescent="0.25">
      <c r="E3073" t="str">
        <f>"C69201910302805"</f>
        <v>C69201910302805</v>
      </c>
      <c r="F3073" t="str">
        <f>"0012046911423672"</f>
        <v>0012046911423672</v>
      </c>
      <c r="G3073" s="2">
        <v>187.38</v>
      </c>
      <c r="H3073" t="str">
        <f>"0012046911423672"</f>
        <v>0012046911423672</v>
      </c>
    </row>
    <row r="3074" spans="1:8" x14ac:dyDescent="0.25">
      <c r="E3074" t="str">
        <f>"C70201910302805"</f>
        <v>C70201910302805</v>
      </c>
      <c r="F3074" t="str">
        <f>"00136881334235026"</f>
        <v>00136881334235026</v>
      </c>
      <c r="G3074" s="2">
        <v>195.15</v>
      </c>
      <c r="H3074" t="str">
        <f>"00136881334235026"</f>
        <v>00136881334235026</v>
      </c>
    </row>
    <row r="3075" spans="1:8" x14ac:dyDescent="0.25">
      <c r="E3075" t="str">
        <f>"C71201910302805"</f>
        <v>C71201910302805</v>
      </c>
      <c r="F3075" t="str">
        <f>"00137390532018V215"</f>
        <v>00137390532018V215</v>
      </c>
      <c r="G3075" s="2">
        <v>264</v>
      </c>
      <c r="H3075" t="str">
        <f>"00137390532018V215"</f>
        <v>00137390532018V215</v>
      </c>
    </row>
    <row r="3076" spans="1:8" x14ac:dyDescent="0.25">
      <c r="E3076" t="str">
        <f>"C72201910302805"</f>
        <v>C72201910302805</v>
      </c>
      <c r="F3076" t="str">
        <f>"0012797601C20130529B"</f>
        <v>0012797601C20130529B</v>
      </c>
      <c r="G3076" s="2">
        <v>241.85</v>
      </c>
      <c r="H3076" t="str">
        <f>"0012797601C20130529B"</f>
        <v>0012797601C20130529B</v>
      </c>
    </row>
    <row r="3077" spans="1:8" x14ac:dyDescent="0.25">
      <c r="E3077" t="str">
        <f>"C78201910302805"</f>
        <v>C78201910302805</v>
      </c>
      <c r="F3077" t="str">
        <f>"00105115972005106221"</f>
        <v>00105115972005106221</v>
      </c>
      <c r="G3077" s="2">
        <v>144.68</v>
      </c>
      <c r="H3077" t="str">
        <f>"00105115972005106221"</f>
        <v>00105115972005106221</v>
      </c>
    </row>
    <row r="3078" spans="1:8" x14ac:dyDescent="0.25">
      <c r="E3078" t="str">
        <f>"C79201910302805"</f>
        <v>C79201910302805</v>
      </c>
      <c r="F3078" t="str">
        <f>"0013045733S146091FLB"</f>
        <v>0013045733S146091FLB</v>
      </c>
      <c r="G3078" s="2">
        <v>197.08</v>
      </c>
      <c r="H3078" t="str">
        <f>"0013045733S146091FLB"</f>
        <v>0013045733S146091FLB</v>
      </c>
    </row>
    <row r="3079" spans="1:8" x14ac:dyDescent="0.25">
      <c r="E3079" t="str">
        <f>"C81201910302805"</f>
        <v>C81201910302805</v>
      </c>
      <c r="F3079" t="str">
        <f>"00123916889200232472"</f>
        <v>00123916889200232472</v>
      </c>
      <c r="G3079" s="2">
        <v>109.85</v>
      </c>
      <c r="H3079" t="str">
        <f>"00123916889200232472"</f>
        <v>00123916889200232472</v>
      </c>
    </row>
    <row r="3080" spans="1:8" x14ac:dyDescent="0.25">
      <c r="E3080" t="str">
        <f>"C82201910302805"</f>
        <v>C82201910302805</v>
      </c>
      <c r="F3080" t="str">
        <f>"0009476377203172B"</f>
        <v>0009476377203172B</v>
      </c>
      <c r="G3080" s="2">
        <v>115.38</v>
      </c>
      <c r="H3080" t="str">
        <f>"0009476377203172B"</f>
        <v>0009476377203172B</v>
      </c>
    </row>
    <row r="3081" spans="1:8" x14ac:dyDescent="0.25">
      <c r="E3081" t="str">
        <f>"C83201910302805"</f>
        <v>C83201910302805</v>
      </c>
      <c r="F3081" t="str">
        <f>"0013096953150533"</f>
        <v>0013096953150533</v>
      </c>
      <c r="G3081" s="2">
        <v>346.15</v>
      </c>
      <c r="H3081" t="str">
        <f>"0013096953150533"</f>
        <v>0013096953150533</v>
      </c>
    </row>
    <row r="3082" spans="1:8" x14ac:dyDescent="0.25">
      <c r="A3082" t="s">
        <v>459</v>
      </c>
      <c r="B3082">
        <v>272</v>
      </c>
      <c r="C3082" s="2">
        <v>5025.09</v>
      </c>
      <c r="D3082" s="1">
        <v>43784</v>
      </c>
      <c r="E3082" t="str">
        <f>"C18201911133213"</f>
        <v>C18201911133213</v>
      </c>
      <c r="F3082" t="str">
        <f>"CAUSE# 0011635329"</f>
        <v>CAUSE# 0011635329</v>
      </c>
      <c r="G3082" s="2">
        <v>603.23</v>
      </c>
      <c r="H3082" t="str">
        <f>"CAUSE# 0011635329"</f>
        <v>CAUSE# 0011635329</v>
      </c>
    </row>
    <row r="3083" spans="1:8" x14ac:dyDescent="0.25">
      <c r="E3083" t="str">
        <f>"C2 201911133213"</f>
        <v>C2 201911133213</v>
      </c>
      <c r="F3083" t="str">
        <f>"0012982132CCL7445"</f>
        <v>0012982132CCL7445</v>
      </c>
      <c r="G3083" s="2">
        <v>692.31</v>
      </c>
      <c r="H3083" t="str">
        <f>"0012982132CCL7445"</f>
        <v>0012982132CCL7445</v>
      </c>
    </row>
    <row r="3084" spans="1:8" x14ac:dyDescent="0.25">
      <c r="E3084" t="str">
        <f>"C20201911133212"</f>
        <v>C20201911133212</v>
      </c>
      <c r="F3084" t="str">
        <f>"001003981107-12252"</f>
        <v>001003981107-12252</v>
      </c>
      <c r="G3084" s="2">
        <v>115.39</v>
      </c>
      <c r="H3084" t="str">
        <f>"001003981107-12252"</f>
        <v>001003981107-12252</v>
      </c>
    </row>
    <row r="3085" spans="1:8" x14ac:dyDescent="0.25">
      <c r="E3085" t="str">
        <f>"C42201911133212"</f>
        <v>C42201911133212</v>
      </c>
      <c r="F3085" t="str">
        <f>"001236769211-14410"</f>
        <v>001236769211-14410</v>
      </c>
      <c r="G3085" s="2">
        <v>230.31</v>
      </c>
      <c r="H3085" t="str">
        <f>"001236769211-14410"</f>
        <v>001236769211-14410</v>
      </c>
    </row>
    <row r="3086" spans="1:8" x14ac:dyDescent="0.25">
      <c r="E3086" t="str">
        <f>"C46201911133212"</f>
        <v>C46201911133212</v>
      </c>
      <c r="F3086" t="str">
        <f>"CAUSE# 11-14911"</f>
        <v>CAUSE# 11-14911</v>
      </c>
      <c r="G3086" s="2">
        <v>238.62</v>
      </c>
      <c r="H3086" t="str">
        <f>"CAUSE# 11-14911"</f>
        <v>CAUSE# 11-14911</v>
      </c>
    </row>
    <row r="3087" spans="1:8" x14ac:dyDescent="0.25">
      <c r="E3087" t="str">
        <f>"C53201911133212"</f>
        <v>C53201911133212</v>
      </c>
      <c r="F3087" t="str">
        <f>"0012453366"</f>
        <v>0012453366</v>
      </c>
      <c r="G3087" s="2">
        <v>138.46</v>
      </c>
      <c r="H3087" t="str">
        <f>"0012453366"</f>
        <v>0012453366</v>
      </c>
    </row>
    <row r="3088" spans="1:8" x14ac:dyDescent="0.25">
      <c r="E3088" t="str">
        <f>"C60201911133212"</f>
        <v>C60201911133212</v>
      </c>
      <c r="F3088" t="str">
        <f>"00130730762012V300"</f>
        <v>00130730762012V300</v>
      </c>
      <c r="G3088" s="2">
        <v>399.32</v>
      </c>
      <c r="H3088" t="str">
        <f>"00130730762012V300"</f>
        <v>00130730762012V300</v>
      </c>
    </row>
    <row r="3089" spans="1:8" x14ac:dyDescent="0.25">
      <c r="E3089" t="str">
        <f>"C62201911133212"</f>
        <v>C62201911133212</v>
      </c>
      <c r="F3089" t="str">
        <f>"# 0012128865"</f>
        <v># 0012128865</v>
      </c>
      <c r="G3089" s="2">
        <v>243.23</v>
      </c>
      <c r="H3089" t="str">
        <f>"# 0012128865"</f>
        <v># 0012128865</v>
      </c>
    </row>
    <row r="3090" spans="1:8" x14ac:dyDescent="0.25">
      <c r="E3090" t="str">
        <f>"C66201911133212"</f>
        <v>C66201911133212</v>
      </c>
      <c r="F3090" t="str">
        <f>"# 0012871801"</f>
        <v># 0012871801</v>
      </c>
      <c r="G3090" s="2">
        <v>90</v>
      </c>
      <c r="H3090" t="str">
        <f>"# 0012871801"</f>
        <v># 0012871801</v>
      </c>
    </row>
    <row r="3091" spans="1:8" x14ac:dyDescent="0.25">
      <c r="E3091" t="str">
        <f>"C67201911133212"</f>
        <v>C67201911133212</v>
      </c>
      <c r="F3091" t="str">
        <f>"13154657"</f>
        <v>13154657</v>
      </c>
      <c r="G3091" s="2">
        <v>101.99</v>
      </c>
      <c r="H3091" t="str">
        <f>"13154657"</f>
        <v>13154657</v>
      </c>
    </row>
    <row r="3092" spans="1:8" x14ac:dyDescent="0.25">
      <c r="E3092" t="str">
        <f>"C69201911133212"</f>
        <v>C69201911133212</v>
      </c>
      <c r="F3092" t="str">
        <f>"0012046911423672"</f>
        <v>0012046911423672</v>
      </c>
      <c r="G3092" s="2">
        <v>187.38</v>
      </c>
      <c r="H3092" t="str">
        <f>"0012046911423672"</f>
        <v>0012046911423672</v>
      </c>
    </row>
    <row r="3093" spans="1:8" x14ac:dyDescent="0.25">
      <c r="E3093" t="str">
        <f>"C70201911133212"</f>
        <v>C70201911133212</v>
      </c>
      <c r="F3093" t="str">
        <f>"00136881334235026"</f>
        <v>00136881334235026</v>
      </c>
      <c r="G3093" s="2">
        <v>195.15</v>
      </c>
      <c r="H3093" t="str">
        <f>"00136881334235026"</f>
        <v>00136881334235026</v>
      </c>
    </row>
    <row r="3094" spans="1:8" x14ac:dyDescent="0.25">
      <c r="E3094" t="str">
        <f>"C71201911133212"</f>
        <v>C71201911133212</v>
      </c>
      <c r="F3094" t="str">
        <f>"00137390532018V215"</f>
        <v>00137390532018V215</v>
      </c>
      <c r="G3094" s="2">
        <v>264</v>
      </c>
      <c r="H3094" t="str">
        <f>"00137390532018V215"</f>
        <v>00137390532018V215</v>
      </c>
    </row>
    <row r="3095" spans="1:8" x14ac:dyDescent="0.25">
      <c r="E3095" t="str">
        <f>"C72201911133212"</f>
        <v>C72201911133212</v>
      </c>
      <c r="F3095" t="str">
        <f>"0012797601C20130529B"</f>
        <v>0012797601C20130529B</v>
      </c>
      <c r="G3095" s="2">
        <v>241.85</v>
      </c>
      <c r="H3095" t="str">
        <f>"0012797601C20130529B"</f>
        <v>0012797601C20130529B</v>
      </c>
    </row>
    <row r="3096" spans="1:8" x14ac:dyDescent="0.25">
      <c r="E3096" t="str">
        <f>"C78201911133212"</f>
        <v>C78201911133212</v>
      </c>
      <c r="F3096" t="str">
        <f>"00105115972005106221"</f>
        <v>00105115972005106221</v>
      </c>
      <c r="G3096" s="2">
        <v>144.68</v>
      </c>
      <c r="H3096" t="str">
        <f>"00105115972005106221"</f>
        <v>00105115972005106221</v>
      </c>
    </row>
    <row r="3097" spans="1:8" x14ac:dyDescent="0.25">
      <c r="E3097" t="str">
        <f>"C79201911133212"</f>
        <v>C79201911133212</v>
      </c>
      <c r="F3097" t="str">
        <f>"0013045733S146091FLB"</f>
        <v>0013045733S146091FLB</v>
      </c>
      <c r="G3097" s="2">
        <v>197.08</v>
      </c>
      <c r="H3097" t="str">
        <f>"0013045733S146091FLB"</f>
        <v>0013045733S146091FLB</v>
      </c>
    </row>
    <row r="3098" spans="1:8" x14ac:dyDescent="0.25">
      <c r="E3098" t="str">
        <f>"C81201911133212"</f>
        <v>C81201911133212</v>
      </c>
      <c r="F3098" t="str">
        <f>"00123916889200232472"</f>
        <v>00123916889200232472</v>
      </c>
      <c r="G3098" s="2">
        <v>109.85</v>
      </c>
      <c r="H3098" t="str">
        <f>"00123916889200232472"</f>
        <v>00123916889200232472</v>
      </c>
    </row>
    <row r="3099" spans="1:8" x14ac:dyDescent="0.25">
      <c r="E3099" t="str">
        <f>"C82201911133212"</f>
        <v>C82201911133212</v>
      </c>
      <c r="F3099" t="str">
        <f>"0009476377203172B"</f>
        <v>0009476377203172B</v>
      </c>
      <c r="G3099" s="2">
        <v>46.15</v>
      </c>
      <c r="H3099" t="str">
        <f>"0009476377203172B"</f>
        <v>0009476377203172B</v>
      </c>
    </row>
    <row r="3100" spans="1:8" x14ac:dyDescent="0.25">
      <c r="E3100" t="str">
        <f>"C83201911133212"</f>
        <v>C83201911133212</v>
      </c>
      <c r="F3100" t="str">
        <f>"0013096953150533"</f>
        <v>0013096953150533</v>
      </c>
      <c r="G3100" s="2">
        <v>346.15</v>
      </c>
      <c r="H3100" t="str">
        <f>"0013096953150533"</f>
        <v>0013096953150533</v>
      </c>
    </row>
    <row r="3101" spans="1:8" x14ac:dyDescent="0.25">
      <c r="E3101" t="str">
        <f>"C84201911133212"</f>
        <v>C84201911133212</v>
      </c>
      <c r="F3101" t="str">
        <f>"00128499834232566"</f>
        <v>00128499834232566</v>
      </c>
      <c r="G3101" s="2">
        <v>439.94</v>
      </c>
      <c r="H3101" t="str">
        <f>"00128499834232566"</f>
        <v>00128499834232566</v>
      </c>
    </row>
    <row r="3102" spans="1:8" x14ac:dyDescent="0.25">
      <c r="A3102" t="s">
        <v>459</v>
      </c>
      <c r="B3102">
        <v>288</v>
      </c>
      <c r="C3102" s="2">
        <v>5405.4</v>
      </c>
      <c r="D3102" s="1">
        <v>43796</v>
      </c>
      <c r="E3102" t="str">
        <f>"C18201911263511"</f>
        <v>C18201911263511</v>
      </c>
      <c r="F3102" t="str">
        <f>"CAUSE# 0011635329"</f>
        <v>CAUSE# 0011635329</v>
      </c>
      <c r="G3102" s="2">
        <v>603.23</v>
      </c>
      <c r="H3102" t="str">
        <f>"CAUSE# 0011635329"</f>
        <v>CAUSE# 0011635329</v>
      </c>
    </row>
    <row r="3103" spans="1:8" x14ac:dyDescent="0.25">
      <c r="E3103" t="str">
        <f>"C2 201911263511"</f>
        <v>C2 201911263511</v>
      </c>
      <c r="F3103" t="str">
        <f>"0012982132CCL7445"</f>
        <v>0012982132CCL7445</v>
      </c>
      <c r="G3103" s="2">
        <v>692.31</v>
      </c>
      <c r="H3103" t="str">
        <f>"0012982132CCL7445"</f>
        <v>0012982132CCL7445</v>
      </c>
    </row>
    <row r="3104" spans="1:8" x14ac:dyDescent="0.25">
      <c r="E3104" t="str">
        <f>"C20201911263510"</f>
        <v>C20201911263510</v>
      </c>
      <c r="F3104" t="str">
        <f>"001003981107-12252"</f>
        <v>001003981107-12252</v>
      </c>
      <c r="G3104" s="2">
        <v>115.39</v>
      </c>
      <c r="H3104" t="str">
        <f>"001003981107-12252"</f>
        <v>001003981107-12252</v>
      </c>
    </row>
    <row r="3105" spans="5:8" x14ac:dyDescent="0.25">
      <c r="E3105" t="str">
        <f>"C42201911263510"</f>
        <v>C42201911263510</v>
      </c>
      <c r="F3105" t="str">
        <f>"001236769211-14410"</f>
        <v>001236769211-14410</v>
      </c>
      <c r="G3105" s="2">
        <v>230.31</v>
      </c>
      <c r="H3105" t="str">
        <f>"001236769211-14410"</f>
        <v>001236769211-14410</v>
      </c>
    </row>
    <row r="3106" spans="5:8" x14ac:dyDescent="0.25">
      <c r="E3106" t="str">
        <f>"C46201911263510"</f>
        <v>C46201911263510</v>
      </c>
      <c r="F3106" t="str">
        <f>"CAUSE# 11-14911"</f>
        <v>CAUSE# 11-14911</v>
      </c>
      <c r="G3106" s="2">
        <v>238.62</v>
      </c>
      <c r="H3106" t="str">
        <f>"CAUSE# 11-14911"</f>
        <v>CAUSE# 11-14911</v>
      </c>
    </row>
    <row r="3107" spans="5:8" x14ac:dyDescent="0.25">
      <c r="E3107" t="str">
        <f>"C53201911263510"</f>
        <v>C53201911263510</v>
      </c>
      <c r="F3107" t="str">
        <f>"0012453366"</f>
        <v>0012453366</v>
      </c>
      <c r="G3107" s="2">
        <v>138.46</v>
      </c>
      <c r="H3107" t="str">
        <f>"0012453366"</f>
        <v>0012453366</v>
      </c>
    </row>
    <row r="3108" spans="5:8" x14ac:dyDescent="0.25">
      <c r="E3108" t="str">
        <f>"C60201911263510"</f>
        <v>C60201911263510</v>
      </c>
      <c r="F3108" t="str">
        <f>"00130730762012V300"</f>
        <v>00130730762012V300</v>
      </c>
      <c r="G3108" s="2">
        <v>399.32</v>
      </c>
      <c r="H3108" t="str">
        <f>"00130730762012V300"</f>
        <v>00130730762012V300</v>
      </c>
    </row>
    <row r="3109" spans="5:8" x14ac:dyDescent="0.25">
      <c r="E3109" t="str">
        <f>"C62201911263510"</f>
        <v>C62201911263510</v>
      </c>
      <c r="F3109" t="str">
        <f>"# 0012128865"</f>
        <v># 0012128865</v>
      </c>
      <c r="G3109" s="2">
        <v>243.23</v>
      </c>
      <c r="H3109" t="str">
        <f>"# 0012128865"</f>
        <v># 0012128865</v>
      </c>
    </row>
    <row r="3110" spans="5:8" x14ac:dyDescent="0.25">
      <c r="E3110" t="str">
        <f>"C66201911263510"</f>
        <v>C66201911263510</v>
      </c>
      <c r="F3110" t="str">
        <f>"# 0012871801"</f>
        <v># 0012871801</v>
      </c>
      <c r="G3110" s="2">
        <v>90</v>
      </c>
      <c r="H3110" t="str">
        <f>"# 0012871801"</f>
        <v># 0012871801</v>
      </c>
    </row>
    <row r="3111" spans="5:8" x14ac:dyDescent="0.25">
      <c r="E3111" t="str">
        <f>"C67201911263510"</f>
        <v>C67201911263510</v>
      </c>
      <c r="F3111" t="str">
        <f>"13154657"</f>
        <v>13154657</v>
      </c>
      <c r="G3111" s="2">
        <v>101.99</v>
      </c>
      <c r="H3111" t="str">
        <f>"13154657"</f>
        <v>13154657</v>
      </c>
    </row>
    <row r="3112" spans="5:8" x14ac:dyDescent="0.25">
      <c r="E3112" t="str">
        <f>"C69201911263510"</f>
        <v>C69201911263510</v>
      </c>
      <c r="F3112" t="str">
        <f>"0012046911423672"</f>
        <v>0012046911423672</v>
      </c>
      <c r="G3112" s="2">
        <v>187.38</v>
      </c>
      <c r="H3112" t="str">
        <f>"0012046911423672"</f>
        <v>0012046911423672</v>
      </c>
    </row>
    <row r="3113" spans="5:8" x14ac:dyDescent="0.25">
      <c r="E3113" t="str">
        <f>"C70201911263510"</f>
        <v>C70201911263510</v>
      </c>
      <c r="F3113" t="str">
        <f>"00136881334235026"</f>
        <v>00136881334235026</v>
      </c>
      <c r="G3113" s="2">
        <v>195.15</v>
      </c>
      <c r="H3113" t="str">
        <f>"00136881334235026"</f>
        <v>00136881334235026</v>
      </c>
    </row>
    <row r="3114" spans="5:8" x14ac:dyDescent="0.25">
      <c r="E3114" t="str">
        <f>"C71201911263510"</f>
        <v>C71201911263510</v>
      </c>
      <c r="F3114" t="str">
        <f>"00137390532018V215"</f>
        <v>00137390532018V215</v>
      </c>
      <c r="G3114" s="2">
        <v>264</v>
      </c>
      <c r="H3114" t="str">
        <f>"00137390532018V215"</f>
        <v>00137390532018V215</v>
      </c>
    </row>
    <row r="3115" spans="5:8" x14ac:dyDescent="0.25">
      <c r="E3115" t="str">
        <f>"C72201911263510"</f>
        <v>C72201911263510</v>
      </c>
      <c r="F3115" t="str">
        <f>"0012797601C20130529B"</f>
        <v>0012797601C20130529B</v>
      </c>
      <c r="G3115" s="2">
        <v>241.85</v>
      </c>
      <c r="H3115" t="str">
        <f>"0012797601C20130529B"</f>
        <v>0012797601C20130529B</v>
      </c>
    </row>
    <row r="3116" spans="5:8" x14ac:dyDescent="0.25">
      <c r="E3116" t="str">
        <f>"C78201911263510"</f>
        <v>C78201911263510</v>
      </c>
      <c r="F3116" t="str">
        <f>"00105115972005106221"</f>
        <v>00105115972005106221</v>
      </c>
      <c r="G3116" s="2">
        <v>144.68</v>
      </c>
      <c r="H3116" t="str">
        <f>"00105115972005106221"</f>
        <v>00105115972005106221</v>
      </c>
    </row>
    <row r="3117" spans="5:8" x14ac:dyDescent="0.25">
      <c r="E3117" t="str">
        <f>"C79201911263510"</f>
        <v>C79201911263510</v>
      </c>
      <c r="F3117" t="str">
        <f>"0013045733S146091FLB"</f>
        <v>0013045733S146091FLB</v>
      </c>
      <c r="G3117" s="2">
        <v>197.08</v>
      </c>
      <c r="H3117" t="str">
        <f>"0013045733S146091FLB"</f>
        <v>0013045733S146091FLB</v>
      </c>
    </row>
    <row r="3118" spans="5:8" x14ac:dyDescent="0.25">
      <c r="E3118" t="str">
        <f>"C81201911263510"</f>
        <v>C81201911263510</v>
      </c>
      <c r="F3118" t="str">
        <f>"00123916889200232472"</f>
        <v>00123916889200232472</v>
      </c>
      <c r="G3118" s="2">
        <v>109.85</v>
      </c>
      <c r="H3118" t="str">
        <f>"00123916889200232472"</f>
        <v>00123916889200232472</v>
      </c>
    </row>
    <row r="3119" spans="5:8" x14ac:dyDescent="0.25">
      <c r="E3119" t="str">
        <f>"C82201911263510"</f>
        <v>C82201911263510</v>
      </c>
      <c r="F3119" t="str">
        <f>"0009476377203172B"</f>
        <v>0009476377203172B</v>
      </c>
      <c r="G3119" s="2">
        <v>46.15</v>
      </c>
      <c r="H3119" t="str">
        <f>"0009476377203172B"</f>
        <v>0009476377203172B</v>
      </c>
    </row>
    <row r="3120" spans="5:8" x14ac:dyDescent="0.25">
      <c r="E3120" t="str">
        <f>"C83201911263510"</f>
        <v>C83201911263510</v>
      </c>
      <c r="F3120" t="str">
        <f>"0013096953150533"</f>
        <v>0013096953150533</v>
      </c>
      <c r="G3120" s="2">
        <v>346.15</v>
      </c>
      <c r="H3120" t="str">
        <f>"0013096953150533"</f>
        <v>0013096953150533</v>
      </c>
    </row>
    <row r="3121" spans="1:8" x14ac:dyDescent="0.25">
      <c r="E3121" t="str">
        <f>"C84201911263510"</f>
        <v>C84201911263510</v>
      </c>
      <c r="F3121" t="str">
        <f>"00128499834232566"</f>
        <v>00128499834232566</v>
      </c>
      <c r="G3121" s="2">
        <v>439.94</v>
      </c>
      <c r="H3121" t="str">
        <f>"00128499834232566"</f>
        <v>00128499834232566</v>
      </c>
    </row>
    <row r="3122" spans="1:8" x14ac:dyDescent="0.25">
      <c r="E3122" t="str">
        <f>"C85201911263510"</f>
        <v>C85201911263510</v>
      </c>
      <c r="F3122" t="str">
        <f>"0012469425201770874"</f>
        <v>0012469425201770874</v>
      </c>
      <c r="G3122" s="2">
        <v>138.46</v>
      </c>
      <c r="H3122" t="str">
        <f>"0012469425201770874"</f>
        <v>0012469425201770874</v>
      </c>
    </row>
    <row r="3123" spans="1:8" x14ac:dyDescent="0.25">
      <c r="E3123" t="str">
        <f>"C86201911263510"</f>
        <v>C86201911263510</v>
      </c>
      <c r="F3123" t="str">
        <f>"0013854015101285F"</f>
        <v>0013854015101285F</v>
      </c>
      <c r="G3123" s="2">
        <v>241.85</v>
      </c>
      <c r="H3123" t="str">
        <f>"0013854015101285F"</f>
        <v>0013854015101285F</v>
      </c>
    </row>
    <row r="3124" spans="1:8" x14ac:dyDescent="0.25">
      <c r="A3124" t="s">
        <v>460</v>
      </c>
      <c r="B3124">
        <v>289</v>
      </c>
      <c r="C3124" s="2">
        <v>637319.1</v>
      </c>
      <c r="D3124" s="1">
        <v>43798</v>
      </c>
      <c r="E3124" t="str">
        <f>"RET201910302805"</f>
        <v>RET201910302805</v>
      </c>
      <c r="F3124" t="str">
        <f>"TEXAS COUNTY &amp; DISTRICT RET"</f>
        <v>TEXAS COUNTY &amp; DISTRICT RET</v>
      </c>
      <c r="G3124" s="2">
        <v>166676.81</v>
      </c>
      <c r="H3124" t="str">
        <f t="shared" ref="H3124:H3155" si="65">"TEXAS COUNTY &amp; DISTRICT RET"</f>
        <v>TEXAS COUNTY &amp; DISTRICT RET</v>
      </c>
    </row>
    <row r="3125" spans="1:8" x14ac:dyDescent="0.25">
      <c r="E3125" t="str">
        <f>""</f>
        <v/>
      </c>
      <c r="F3125" t="str">
        <f>""</f>
        <v/>
      </c>
      <c r="H3125" t="str">
        <f t="shared" si="65"/>
        <v>TEXAS COUNTY &amp; DISTRICT RET</v>
      </c>
    </row>
    <row r="3126" spans="1:8" x14ac:dyDescent="0.25">
      <c r="E3126" t="str">
        <f>""</f>
        <v/>
      </c>
      <c r="F3126" t="str">
        <f>""</f>
        <v/>
      </c>
      <c r="H3126" t="str">
        <f t="shared" si="65"/>
        <v>TEXAS COUNTY &amp; DISTRICT RET</v>
      </c>
    </row>
    <row r="3127" spans="1:8" x14ac:dyDescent="0.25">
      <c r="E3127" t="str">
        <f>""</f>
        <v/>
      </c>
      <c r="F3127" t="str">
        <f>""</f>
        <v/>
      </c>
      <c r="H3127" t="str">
        <f t="shared" si="65"/>
        <v>TEXAS COUNTY &amp; DISTRICT RET</v>
      </c>
    </row>
    <row r="3128" spans="1:8" x14ac:dyDescent="0.25">
      <c r="E3128" t="str">
        <f>""</f>
        <v/>
      </c>
      <c r="F3128" t="str">
        <f>""</f>
        <v/>
      </c>
      <c r="H3128" t="str">
        <f t="shared" si="65"/>
        <v>TEXAS COUNTY &amp; DISTRICT RET</v>
      </c>
    </row>
    <row r="3129" spans="1:8" x14ac:dyDescent="0.25">
      <c r="E3129" t="str">
        <f>""</f>
        <v/>
      </c>
      <c r="F3129" t="str">
        <f>""</f>
        <v/>
      </c>
      <c r="H3129" t="str">
        <f t="shared" si="65"/>
        <v>TEXAS COUNTY &amp; DISTRICT RET</v>
      </c>
    </row>
    <row r="3130" spans="1:8" x14ac:dyDescent="0.25">
      <c r="E3130" t="str">
        <f>""</f>
        <v/>
      </c>
      <c r="F3130" t="str">
        <f>""</f>
        <v/>
      </c>
      <c r="H3130" t="str">
        <f t="shared" si="65"/>
        <v>TEXAS COUNTY &amp; DISTRICT RET</v>
      </c>
    </row>
    <row r="3131" spans="1:8" x14ac:dyDescent="0.25">
      <c r="E3131" t="str">
        <f>""</f>
        <v/>
      </c>
      <c r="F3131" t="str">
        <f>""</f>
        <v/>
      </c>
      <c r="H3131" t="str">
        <f t="shared" si="65"/>
        <v>TEXAS COUNTY &amp; DISTRICT RET</v>
      </c>
    </row>
    <row r="3132" spans="1:8" x14ac:dyDescent="0.25">
      <c r="E3132" t="str">
        <f>""</f>
        <v/>
      </c>
      <c r="F3132" t="str">
        <f>""</f>
        <v/>
      </c>
      <c r="H3132" t="str">
        <f t="shared" si="65"/>
        <v>TEXAS COUNTY &amp; DISTRICT RET</v>
      </c>
    </row>
    <row r="3133" spans="1:8" x14ac:dyDescent="0.25">
      <c r="E3133" t="str">
        <f>""</f>
        <v/>
      </c>
      <c r="F3133" t="str">
        <f>""</f>
        <v/>
      </c>
      <c r="H3133" t="str">
        <f t="shared" si="65"/>
        <v>TEXAS COUNTY &amp; DISTRICT RET</v>
      </c>
    </row>
    <row r="3134" spans="1:8" x14ac:dyDescent="0.25">
      <c r="E3134" t="str">
        <f>""</f>
        <v/>
      </c>
      <c r="F3134" t="str">
        <f>""</f>
        <v/>
      </c>
      <c r="H3134" t="str">
        <f t="shared" si="65"/>
        <v>TEXAS COUNTY &amp; DISTRICT RET</v>
      </c>
    </row>
    <row r="3135" spans="1:8" x14ac:dyDescent="0.25">
      <c r="E3135" t="str">
        <f>""</f>
        <v/>
      </c>
      <c r="F3135" t="str">
        <f>""</f>
        <v/>
      </c>
      <c r="H3135" t="str">
        <f t="shared" si="65"/>
        <v>TEXAS COUNTY &amp; DISTRICT RET</v>
      </c>
    </row>
    <row r="3136" spans="1:8" x14ac:dyDescent="0.25">
      <c r="E3136" t="str">
        <f>""</f>
        <v/>
      </c>
      <c r="F3136" t="str">
        <f>""</f>
        <v/>
      </c>
      <c r="H3136" t="str">
        <f t="shared" si="65"/>
        <v>TEXAS COUNTY &amp; DISTRICT RET</v>
      </c>
    </row>
    <row r="3137" spans="5:8" x14ac:dyDescent="0.25">
      <c r="E3137" t="str">
        <f>""</f>
        <v/>
      </c>
      <c r="F3137" t="str">
        <f>""</f>
        <v/>
      </c>
      <c r="H3137" t="str">
        <f t="shared" si="65"/>
        <v>TEXAS COUNTY &amp; DISTRICT RET</v>
      </c>
    </row>
    <row r="3138" spans="5:8" x14ac:dyDescent="0.25">
      <c r="E3138" t="str">
        <f>""</f>
        <v/>
      </c>
      <c r="F3138" t="str">
        <f>""</f>
        <v/>
      </c>
      <c r="H3138" t="str">
        <f t="shared" si="65"/>
        <v>TEXAS COUNTY &amp; DISTRICT RET</v>
      </c>
    </row>
    <row r="3139" spans="5:8" x14ac:dyDescent="0.25">
      <c r="E3139" t="str">
        <f>""</f>
        <v/>
      </c>
      <c r="F3139" t="str">
        <f>""</f>
        <v/>
      </c>
      <c r="H3139" t="str">
        <f t="shared" si="65"/>
        <v>TEXAS COUNTY &amp; DISTRICT RET</v>
      </c>
    </row>
    <row r="3140" spans="5:8" x14ac:dyDescent="0.25">
      <c r="E3140" t="str">
        <f>""</f>
        <v/>
      </c>
      <c r="F3140" t="str">
        <f>""</f>
        <v/>
      </c>
      <c r="H3140" t="str">
        <f t="shared" si="65"/>
        <v>TEXAS COUNTY &amp; DISTRICT RET</v>
      </c>
    </row>
    <row r="3141" spans="5:8" x14ac:dyDescent="0.25">
      <c r="E3141" t="str">
        <f>""</f>
        <v/>
      </c>
      <c r="F3141" t="str">
        <f>""</f>
        <v/>
      </c>
      <c r="H3141" t="str">
        <f t="shared" si="65"/>
        <v>TEXAS COUNTY &amp; DISTRICT RET</v>
      </c>
    </row>
    <row r="3142" spans="5:8" x14ac:dyDescent="0.25">
      <c r="E3142" t="str">
        <f>""</f>
        <v/>
      </c>
      <c r="F3142" t="str">
        <f>""</f>
        <v/>
      </c>
      <c r="H3142" t="str">
        <f t="shared" si="65"/>
        <v>TEXAS COUNTY &amp; DISTRICT RET</v>
      </c>
    </row>
    <row r="3143" spans="5:8" x14ac:dyDescent="0.25">
      <c r="E3143" t="str">
        <f>""</f>
        <v/>
      </c>
      <c r="F3143" t="str">
        <f>""</f>
        <v/>
      </c>
      <c r="H3143" t="str">
        <f t="shared" si="65"/>
        <v>TEXAS COUNTY &amp; DISTRICT RET</v>
      </c>
    </row>
    <row r="3144" spans="5:8" x14ac:dyDescent="0.25">
      <c r="E3144" t="str">
        <f>""</f>
        <v/>
      </c>
      <c r="F3144" t="str">
        <f>""</f>
        <v/>
      </c>
      <c r="H3144" t="str">
        <f t="shared" si="65"/>
        <v>TEXAS COUNTY &amp; DISTRICT RET</v>
      </c>
    </row>
    <row r="3145" spans="5:8" x14ac:dyDescent="0.25">
      <c r="E3145" t="str">
        <f>""</f>
        <v/>
      </c>
      <c r="F3145" t="str">
        <f>""</f>
        <v/>
      </c>
      <c r="H3145" t="str">
        <f t="shared" si="65"/>
        <v>TEXAS COUNTY &amp; DISTRICT RET</v>
      </c>
    </row>
    <row r="3146" spans="5:8" x14ac:dyDescent="0.25">
      <c r="E3146" t="str">
        <f>""</f>
        <v/>
      </c>
      <c r="F3146" t="str">
        <f>""</f>
        <v/>
      </c>
      <c r="H3146" t="str">
        <f t="shared" si="65"/>
        <v>TEXAS COUNTY &amp; DISTRICT RET</v>
      </c>
    </row>
    <row r="3147" spans="5:8" x14ac:dyDescent="0.25">
      <c r="E3147" t="str">
        <f>""</f>
        <v/>
      </c>
      <c r="F3147" t="str">
        <f>""</f>
        <v/>
      </c>
      <c r="H3147" t="str">
        <f t="shared" si="65"/>
        <v>TEXAS COUNTY &amp; DISTRICT RET</v>
      </c>
    </row>
    <row r="3148" spans="5:8" x14ac:dyDescent="0.25">
      <c r="E3148" t="str">
        <f>""</f>
        <v/>
      </c>
      <c r="F3148" t="str">
        <f>""</f>
        <v/>
      </c>
      <c r="H3148" t="str">
        <f t="shared" si="65"/>
        <v>TEXAS COUNTY &amp; DISTRICT RET</v>
      </c>
    </row>
    <row r="3149" spans="5:8" x14ac:dyDescent="0.25">
      <c r="E3149" t="str">
        <f>""</f>
        <v/>
      </c>
      <c r="F3149" t="str">
        <f>""</f>
        <v/>
      </c>
      <c r="H3149" t="str">
        <f t="shared" si="65"/>
        <v>TEXAS COUNTY &amp; DISTRICT RET</v>
      </c>
    </row>
    <row r="3150" spans="5:8" x14ac:dyDescent="0.25">
      <c r="E3150" t="str">
        <f>""</f>
        <v/>
      </c>
      <c r="F3150" t="str">
        <f>""</f>
        <v/>
      </c>
      <c r="H3150" t="str">
        <f t="shared" si="65"/>
        <v>TEXAS COUNTY &amp; DISTRICT RET</v>
      </c>
    </row>
    <row r="3151" spans="5:8" x14ac:dyDescent="0.25">
      <c r="E3151" t="str">
        <f>""</f>
        <v/>
      </c>
      <c r="F3151" t="str">
        <f>""</f>
        <v/>
      </c>
      <c r="H3151" t="str">
        <f t="shared" si="65"/>
        <v>TEXAS COUNTY &amp; DISTRICT RET</v>
      </c>
    </row>
    <row r="3152" spans="5:8" x14ac:dyDescent="0.25">
      <c r="E3152" t="str">
        <f>""</f>
        <v/>
      </c>
      <c r="F3152" t="str">
        <f>""</f>
        <v/>
      </c>
      <c r="H3152" t="str">
        <f t="shared" si="65"/>
        <v>TEXAS COUNTY &amp; DISTRICT RET</v>
      </c>
    </row>
    <row r="3153" spans="5:8" x14ac:dyDescent="0.25">
      <c r="E3153" t="str">
        <f>""</f>
        <v/>
      </c>
      <c r="F3153" t="str">
        <f>""</f>
        <v/>
      </c>
      <c r="H3153" t="str">
        <f t="shared" si="65"/>
        <v>TEXAS COUNTY &amp; DISTRICT RET</v>
      </c>
    </row>
    <row r="3154" spans="5:8" x14ac:dyDescent="0.25">
      <c r="E3154" t="str">
        <f>""</f>
        <v/>
      </c>
      <c r="F3154" t="str">
        <f>""</f>
        <v/>
      </c>
      <c r="H3154" t="str">
        <f t="shared" si="65"/>
        <v>TEXAS COUNTY &amp; DISTRICT RET</v>
      </c>
    </row>
    <row r="3155" spans="5:8" x14ac:dyDescent="0.25">
      <c r="E3155" t="str">
        <f>""</f>
        <v/>
      </c>
      <c r="F3155" t="str">
        <f>""</f>
        <v/>
      </c>
      <c r="H3155" t="str">
        <f t="shared" si="65"/>
        <v>TEXAS COUNTY &amp; DISTRICT RET</v>
      </c>
    </row>
    <row r="3156" spans="5:8" x14ac:dyDescent="0.25">
      <c r="E3156" t="str">
        <f>""</f>
        <v/>
      </c>
      <c r="F3156" t="str">
        <f>""</f>
        <v/>
      </c>
      <c r="H3156" t="str">
        <f t="shared" ref="H3156:H3175" si="66">"TEXAS COUNTY &amp; DISTRICT RET"</f>
        <v>TEXAS COUNTY &amp; DISTRICT RET</v>
      </c>
    </row>
    <row r="3157" spans="5:8" x14ac:dyDescent="0.25">
      <c r="E3157" t="str">
        <f>""</f>
        <v/>
      </c>
      <c r="F3157" t="str">
        <f>""</f>
        <v/>
      </c>
      <c r="H3157" t="str">
        <f t="shared" si="66"/>
        <v>TEXAS COUNTY &amp; DISTRICT RET</v>
      </c>
    </row>
    <row r="3158" spans="5:8" x14ac:dyDescent="0.25">
      <c r="E3158" t="str">
        <f>""</f>
        <v/>
      </c>
      <c r="F3158" t="str">
        <f>""</f>
        <v/>
      </c>
      <c r="H3158" t="str">
        <f t="shared" si="66"/>
        <v>TEXAS COUNTY &amp; DISTRICT RET</v>
      </c>
    </row>
    <row r="3159" spans="5:8" x14ac:dyDescent="0.25">
      <c r="E3159" t="str">
        <f>""</f>
        <v/>
      </c>
      <c r="F3159" t="str">
        <f>""</f>
        <v/>
      </c>
      <c r="H3159" t="str">
        <f t="shared" si="66"/>
        <v>TEXAS COUNTY &amp; DISTRICT RET</v>
      </c>
    </row>
    <row r="3160" spans="5:8" x14ac:dyDescent="0.25">
      <c r="E3160" t="str">
        <f>""</f>
        <v/>
      </c>
      <c r="F3160" t="str">
        <f>""</f>
        <v/>
      </c>
      <c r="H3160" t="str">
        <f t="shared" si="66"/>
        <v>TEXAS COUNTY &amp; DISTRICT RET</v>
      </c>
    </row>
    <row r="3161" spans="5:8" x14ac:dyDescent="0.25">
      <c r="E3161" t="str">
        <f>""</f>
        <v/>
      </c>
      <c r="F3161" t="str">
        <f>""</f>
        <v/>
      </c>
      <c r="H3161" t="str">
        <f t="shared" si="66"/>
        <v>TEXAS COUNTY &amp; DISTRICT RET</v>
      </c>
    </row>
    <row r="3162" spans="5:8" x14ac:dyDescent="0.25">
      <c r="E3162" t="str">
        <f>""</f>
        <v/>
      </c>
      <c r="F3162" t="str">
        <f>""</f>
        <v/>
      </c>
      <c r="H3162" t="str">
        <f t="shared" si="66"/>
        <v>TEXAS COUNTY &amp; DISTRICT RET</v>
      </c>
    </row>
    <row r="3163" spans="5:8" x14ac:dyDescent="0.25">
      <c r="E3163" t="str">
        <f>""</f>
        <v/>
      </c>
      <c r="F3163" t="str">
        <f>""</f>
        <v/>
      </c>
      <c r="H3163" t="str">
        <f t="shared" si="66"/>
        <v>TEXAS COUNTY &amp; DISTRICT RET</v>
      </c>
    </row>
    <row r="3164" spans="5:8" x14ac:dyDescent="0.25">
      <c r="E3164" t="str">
        <f>""</f>
        <v/>
      </c>
      <c r="F3164" t="str">
        <f>""</f>
        <v/>
      </c>
      <c r="H3164" t="str">
        <f t="shared" si="66"/>
        <v>TEXAS COUNTY &amp; DISTRICT RET</v>
      </c>
    </row>
    <row r="3165" spans="5:8" x14ac:dyDescent="0.25">
      <c r="E3165" t="str">
        <f>""</f>
        <v/>
      </c>
      <c r="F3165" t="str">
        <f>""</f>
        <v/>
      </c>
      <c r="H3165" t="str">
        <f t="shared" si="66"/>
        <v>TEXAS COUNTY &amp; DISTRICT RET</v>
      </c>
    </row>
    <row r="3166" spans="5:8" x14ac:dyDescent="0.25">
      <c r="E3166" t="str">
        <f>""</f>
        <v/>
      </c>
      <c r="F3166" t="str">
        <f>""</f>
        <v/>
      </c>
      <c r="H3166" t="str">
        <f t="shared" si="66"/>
        <v>TEXAS COUNTY &amp; DISTRICT RET</v>
      </c>
    </row>
    <row r="3167" spans="5:8" x14ac:dyDescent="0.25">
      <c r="E3167" t="str">
        <f>""</f>
        <v/>
      </c>
      <c r="F3167" t="str">
        <f>""</f>
        <v/>
      </c>
      <c r="H3167" t="str">
        <f t="shared" si="66"/>
        <v>TEXAS COUNTY &amp; DISTRICT RET</v>
      </c>
    </row>
    <row r="3168" spans="5:8" x14ac:dyDescent="0.25">
      <c r="E3168" t="str">
        <f>""</f>
        <v/>
      </c>
      <c r="F3168" t="str">
        <f>""</f>
        <v/>
      </c>
      <c r="H3168" t="str">
        <f t="shared" si="66"/>
        <v>TEXAS COUNTY &amp; DISTRICT RET</v>
      </c>
    </row>
    <row r="3169" spans="5:8" x14ac:dyDescent="0.25">
      <c r="E3169" t="str">
        <f>""</f>
        <v/>
      </c>
      <c r="F3169" t="str">
        <f>""</f>
        <v/>
      </c>
      <c r="H3169" t="str">
        <f t="shared" si="66"/>
        <v>TEXAS COUNTY &amp; DISTRICT RET</v>
      </c>
    </row>
    <row r="3170" spans="5:8" x14ac:dyDescent="0.25">
      <c r="E3170" t="str">
        <f>""</f>
        <v/>
      </c>
      <c r="F3170" t="str">
        <f>""</f>
        <v/>
      </c>
      <c r="H3170" t="str">
        <f t="shared" si="66"/>
        <v>TEXAS COUNTY &amp; DISTRICT RET</v>
      </c>
    </row>
    <row r="3171" spans="5:8" x14ac:dyDescent="0.25">
      <c r="E3171" t="str">
        <f>""</f>
        <v/>
      </c>
      <c r="F3171" t="str">
        <f>""</f>
        <v/>
      </c>
      <c r="H3171" t="str">
        <f t="shared" si="66"/>
        <v>TEXAS COUNTY &amp; DISTRICT RET</v>
      </c>
    </row>
    <row r="3172" spans="5:8" x14ac:dyDescent="0.25">
      <c r="E3172" t="str">
        <f>""</f>
        <v/>
      </c>
      <c r="F3172" t="str">
        <f>""</f>
        <v/>
      </c>
      <c r="H3172" t="str">
        <f t="shared" si="66"/>
        <v>TEXAS COUNTY &amp; DISTRICT RET</v>
      </c>
    </row>
    <row r="3173" spans="5:8" x14ac:dyDescent="0.25">
      <c r="E3173" t="str">
        <f>""</f>
        <v/>
      </c>
      <c r="F3173" t="str">
        <f>""</f>
        <v/>
      </c>
      <c r="H3173" t="str">
        <f t="shared" si="66"/>
        <v>TEXAS COUNTY &amp; DISTRICT RET</v>
      </c>
    </row>
    <row r="3174" spans="5:8" x14ac:dyDescent="0.25">
      <c r="E3174" t="str">
        <f>""</f>
        <v/>
      </c>
      <c r="F3174" t="str">
        <f>""</f>
        <v/>
      </c>
      <c r="H3174" t="str">
        <f t="shared" si="66"/>
        <v>TEXAS COUNTY &amp; DISTRICT RET</v>
      </c>
    </row>
    <row r="3175" spans="5:8" x14ac:dyDescent="0.25">
      <c r="E3175" t="str">
        <f>""</f>
        <v/>
      </c>
      <c r="F3175" t="str">
        <f>""</f>
        <v/>
      </c>
      <c r="H3175" t="str">
        <f t="shared" si="66"/>
        <v>TEXAS COUNTY &amp; DISTRICT RET</v>
      </c>
    </row>
    <row r="3176" spans="5:8" x14ac:dyDescent="0.25">
      <c r="E3176" t="str">
        <f>"RET201910302806"</f>
        <v>RET201910302806</v>
      </c>
      <c r="F3176" t="str">
        <f>"TEXAS COUNTY  DISTRICT RET"</f>
        <v>TEXAS COUNTY  DISTRICT RET</v>
      </c>
      <c r="G3176" s="2">
        <v>6053.36</v>
      </c>
      <c r="H3176" t="str">
        <f>"TEXAS COUNTY  DISTRICT RET"</f>
        <v>TEXAS COUNTY  DISTRICT RET</v>
      </c>
    </row>
    <row r="3177" spans="5:8" x14ac:dyDescent="0.25">
      <c r="E3177" t="str">
        <f>""</f>
        <v/>
      </c>
      <c r="F3177" t="str">
        <f>""</f>
        <v/>
      </c>
      <c r="H3177" t="str">
        <f>"TEXAS COUNTY  DISTRICT RET"</f>
        <v>TEXAS COUNTY  DISTRICT RET</v>
      </c>
    </row>
    <row r="3178" spans="5:8" x14ac:dyDescent="0.25">
      <c r="E3178" t="str">
        <f>"RET201910302807"</f>
        <v>RET201910302807</v>
      </c>
      <c r="F3178" t="str">
        <f>"TEXAS COUNTY &amp; DISTRICT RET"</f>
        <v>TEXAS COUNTY &amp; DISTRICT RET</v>
      </c>
      <c r="G3178" s="2">
        <v>7359.35</v>
      </c>
      <c r="H3178" t="str">
        <f t="shared" ref="H3178:H3209" si="67">"TEXAS COUNTY &amp; DISTRICT RET"</f>
        <v>TEXAS COUNTY &amp; DISTRICT RET</v>
      </c>
    </row>
    <row r="3179" spans="5:8" x14ac:dyDescent="0.25">
      <c r="E3179" t="str">
        <f>""</f>
        <v/>
      </c>
      <c r="F3179" t="str">
        <f>""</f>
        <v/>
      </c>
      <c r="H3179" t="str">
        <f t="shared" si="67"/>
        <v>TEXAS COUNTY &amp; DISTRICT RET</v>
      </c>
    </row>
    <row r="3180" spans="5:8" x14ac:dyDescent="0.25">
      <c r="E3180" t="str">
        <f>"RET201911133212"</f>
        <v>RET201911133212</v>
      </c>
      <c r="F3180" t="str">
        <f>"TEXAS COUNTY &amp; DISTRICT RET"</f>
        <v>TEXAS COUNTY &amp; DISTRICT RET</v>
      </c>
      <c r="G3180" s="2">
        <v>167596.54</v>
      </c>
      <c r="H3180" t="str">
        <f t="shared" si="67"/>
        <v>TEXAS COUNTY &amp; DISTRICT RET</v>
      </c>
    </row>
    <row r="3181" spans="5:8" x14ac:dyDescent="0.25">
      <c r="E3181" t="str">
        <f>""</f>
        <v/>
      </c>
      <c r="F3181" t="str">
        <f>""</f>
        <v/>
      </c>
      <c r="H3181" t="str">
        <f t="shared" si="67"/>
        <v>TEXAS COUNTY &amp; DISTRICT RET</v>
      </c>
    </row>
    <row r="3182" spans="5:8" x14ac:dyDescent="0.25">
      <c r="E3182" t="str">
        <f>""</f>
        <v/>
      </c>
      <c r="F3182" t="str">
        <f>""</f>
        <v/>
      </c>
      <c r="H3182" t="str">
        <f t="shared" si="67"/>
        <v>TEXAS COUNTY &amp; DISTRICT RET</v>
      </c>
    </row>
    <row r="3183" spans="5:8" x14ac:dyDescent="0.25">
      <c r="E3183" t="str">
        <f>""</f>
        <v/>
      </c>
      <c r="F3183" t="str">
        <f>""</f>
        <v/>
      </c>
      <c r="H3183" t="str">
        <f t="shared" si="67"/>
        <v>TEXAS COUNTY &amp; DISTRICT RET</v>
      </c>
    </row>
    <row r="3184" spans="5:8" x14ac:dyDescent="0.25">
      <c r="E3184" t="str">
        <f>""</f>
        <v/>
      </c>
      <c r="F3184" t="str">
        <f>""</f>
        <v/>
      </c>
      <c r="H3184" t="str">
        <f t="shared" si="67"/>
        <v>TEXAS COUNTY &amp; DISTRICT RET</v>
      </c>
    </row>
    <row r="3185" spans="5:8" x14ac:dyDescent="0.25">
      <c r="E3185" t="str">
        <f>""</f>
        <v/>
      </c>
      <c r="F3185" t="str">
        <f>""</f>
        <v/>
      </c>
      <c r="H3185" t="str">
        <f t="shared" si="67"/>
        <v>TEXAS COUNTY &amp; DISTRICT RET</v>
      </c>
    </row>
    <row r="3186" spans="5:8" x14ac:dyDescent="0.25">
      <c r="E3186" t="str">
        <f>""</f>
        <v/>
      </c>
      <c r="F3186" t="str">
        <f>""</f>
        <v/>
      </c>
      <c r="H3186" t="str">
        <f t="shared" si="67"/>
        <v>TEXAS COUNTY &amp; DISTRICT RET</v>
      </c>
    </row>
    <row r="3187" spans="5:8" x14ac:dyDescent="0.25">
      <c r="E3187" t="str">
        <f>""</f>
        <v/>
      </c>
      <c r="F3187" t="str">
        <f>""</f>
        <v/>
      </c>
      <c r="H3187" t="str">
        <f t="shared" si="67"/>
        <v>TEXAS COUNTY &amp; DISTRICT RET</v>
      </c>
    </row>
    <row r="3188" spans="5:8" x14ac:dyDescent="0.25">
      <c r="E3188" t="str">
        <f>""</f>
        <v/>
      </c>
      <c r="F3188" t="str">
        <f>""</f>
        <v/>
      </c>
      <c r="H3188" t="str">
        <f t="shared" si="67"/>
        <v>TEXAS COUNTY &amp; DISTRICT RET</v>
      </c>
    </row>
    <row r="3189" spans="5:8" x14ac:dyDescent="0.25">
      <c r="E3189" t="str">
        <f>""</f>
        <v/>
      </c>
      <c r="F3189" t="str">
        <f>""</f>
        <v/>
      </c>
      <c r="H3189" t="str">
        <f t="shared" si="67"/>
        <v>TEXAS COUNTY &amp; DISTRICT RET</v>
      </c>
    </row>
    <row r="3190" spans="5:8" x14ac:dyDescent="0.25">
      <c r="E3190" t="str">
        <f>""</f>
        <v/>
      </c>
      <c r="F3190" t="str">
        <f>""</f>
        <v/>
      </c>
      <c r="H3190" t="str">
        <f t="shared" si="67"/>
        <v>TEXAS COUNTY &amp; DISTRICT RET</v>
      </c>
    </row>
    <row r="3191" spans="5:8" x14ac:dyDescent="0.25">
      <c r="E3191" t="str">
        <f>""</f>
        <v/>
      </c>
      <c r="F3191" t="str">
        <f>""</f>
        <v/>
      </c>
      <c r="H3191" t="str">
        <f t="shared" si="67"/>
        <v>TEXAS COUNTY &amp; DISTRICT RET</v>
      </c>
    </row>
    <row r="3192" spans="5:8" x14ac:dyDescent="0.25">
      <c r="E3192" t="str">
        <f>""</f>
        <v/>
      </c>
      <c r="F3192" t="str">
        <f>""</f>
        <v/>
      </c>
      <c r="H3192" t="str">
        <f t="shared" si="67"/>
        <v>TEXAS COUNTY &amp; DISTRICT RET</v>
      </c>
    </row>
    <row r="3193" spans="5:8" x14ac:dyDescent="0.25">
      <c r="E3193" t="str">
        <f>""</f>
        <v/>
      </c>
      <c r="F3193" t="str">
        <f>""</f>
        <v/>
      </c>
      <c r="H3193" t="str">
        <f t="shared" si="67"/>
        <v>TEXAS COUNTY &amp; DISTRICT RET</v>
      </c>
    </row>
    <row r="3194" spans="5:8" x14ac:dyDescent="0.25">
      <c r="E3194" t="str">
        <f>""</f>
        <v/>
      </c>
      <c r="F3194" t="str">
        <f>""</f>
        <v/>
      </c>
      <c r="H3194" t="str">
        <f t="shared" si="67"/>
        <v>TEXAS COUNTY &amp; DISTRICT RET</v>
      </c>
    </row>
    <row r="3195" spans="5:8" x14ac:dyDescent="0.25">
      <c r="E3195" t="str">
        <f>""</f>
        <v/>
      </c>
      <c r="F3195" t="str">
        <f>""</f>
        <v/>
      </c>
      <c r="H3195" t="str">
        <f t="shared" si="67"/>
        <v>TEXAS COUNTY &amp; DISTRICT RET</v>
      </c>
    </row>
    <row r="3196" spans="5:8" x14ac:dyDescent="0.25">
      <c r="E3196" t="str">
        <f>""</f>
        <v/>
      </c>
      <c r="F3196" t="str">
        <f>""</f>
        <v/>
      </c>
      <c r="H3196" t="str">
        <f t="shared" si="67"/>
        <v>TEXAS COUNTY &amp; DISTRICT RET</v>
      </c>
    </row>
    <row r="3197" spans="5:8" x14ac:dyDescent="0.25">
      <c r="E3197" t="str">
        <f>""</f>
        <v/>
      </c>
      <c r="F3197" t="str">
        <f>""</f>
        <v/>
      </c>
      <c r="H3197" t="str">
        <f t="shared" si="67"/>
        <v>TEXAS COUNTY &amp; DISTRICT RET</v>
      </c>
    </row>
    <row r="3198" spans="5:8" x14ac:dyDescent="0.25">
      <c r="E3198" t="str">
        <f>""</f>
        <v/>
      </c>
      <c r="F3198" t="str">
        <f>""</f>
        <v/>
      </c>
      <c r="H3198" t="str">
        <f t="shared" si="67"/>
        <v>TEXAS COUNTY &amp; DISTRICT RET</v>
      </c>
    </row>
    <row r="3199" spans="5:8" x14ac:dyDescent="0.25">
      <c r="E3199" t="str">
        <f>""</f>
        <v/>
      </c>
      <c r="F3199" t="str">
        <f>""</f>
        <v/>
      </c>
      <c r="H3199" t="str">
        <f t="shared" si="67"/>
        <v>TEXAS COUNTY &amp; DISTRICT RET</v>
      </c>
    </row>
    <row r="3200" spans="5:8" x14ac:dyDescent="0.25">
      <c r="E3200" t="str">
        <f>""</f>
        <v/>
      </c>
      <c r="F3200" t="str">
        <f>""</f>
        <v/>
      </c>
      <c r="H3200" t="str">
        <f t="shared" si="67"/>
        <v>TEXAS COUNTY &amp; DISTRICT RET</v>
      </c>
    </row>
    <row r="3201" spans="5:8" x14ac:dyDescent="0.25">
      <c r="E3201" t="str">
        <f>""</f>
        <v/>
      </c>
      <c r="F3201" t="str">
        <f>""</f>
        <v/>
      </c>
      <c r="H3201" t="str">
        <f t="shared" si="67"/>
        <v>TEXAS COUNTY &amp; DISTRICT RET</v>
      </c>
    </row>
    <row r="3202" spans="5:8" x14ac:dyDescent="0.25">
      <c r="E3202" t="str">
        <f>""</f>
        <v/>
      </c>
      <c r="F3202" t="str">
        <f>""</f>
        <v/>
      </c>
      <c r="H3202" t="str">
        <f t="shared" si="67"/>
        <v>TEXAS COUNTY &amp; DISTRICT RET</v>
      </c>
    </row>
    <row r="3203" spans="5:8" x14ac:dyDescent="0.25">
      <c r="E3203" t="str">
        <f>""</f>
        <v/>
      </c>
      <c r="F3203" t="str">
        <f>""</f>
        <v/>
      </c>
      <c r="H3203" t="str">
        <f t="shared" si="67"/>
        <v>TEXAS COUNTY &amp; DISTRICT RET</v>
      </c>
    </row>
    <row r="3204" spans="5:8" x14ac:dyDescent="0.25">
      <c r="E3204" t="str">
        <f>""</f>
        <v/>
      </c>
      <c r="F3204" t="str">
        <f>""</f>
        <v/>
      </c>
      <c r="H3204" t="str">
        <f t="shared" si="67"/>
        <v>TEXAS COUNTY &amp; DISTRICT RET</v>
      </c>
    </row>
    <row r="3205" spans="5:8" x14ac:dyDescent="0.25">
      <c r="E3205" t="str">
        <f>""</f>
        <v/>
      </c>
      <c r="F3205" t="str">
        <f>""</f>
        <v/>
      </c>
      <c r="H3205" t="str">
        <f t="shared" si="67"/>
        <v>TEXAS COUNTY &amp; DISTRICT RET</v>
      </c>
    </row>
    <row r="3206" spans="5:8" x14ac:dyDescent="0.25">
      <c r="E3206" t="str">
        <f>""</f>
        <v/>
      </c>
      <c r="F3206" t="str">
        <f>""</f>
        <v/>
      </c>
      <c r="H3206" t="str">
        <f t="shared" si="67"/>
        <v>TEXAS COUNTY &amp; DISTRICT RET</v>
      </c>
    </row>
    <row r="3207" spans="5:8" x14ac:dyDescent="0.25">
      <c r="E3207" t="str">
        <f>""</f>
        <v/>
      </c>
      <c r="F3207" t="str">
        <f>""</f>
        <v/>
      </c>
      <c r="H3207" t="str">
        <f t="shared" si="67"/>
        <v>TEXAS COUNTY &amp; DISTRICT RET</v>
      </c>
    </row>
    <row r="3208" spans="5:8" x14ac:dyDescent="0.25">
      <c r="E3208" t="str">
        <f>""</f>
        <v/>
      </c>
      <c r="F3208" t="str">
        <f>""</f>
        <v/>
      </c>
      <c r="H3208" t="str">
        <f t="shared" si="67"/>
        <v>TEXAS COUNTY &amp; DISTRICT RET</v>
      </c>
    </row>
    <row r="3209" spans="5:8" x14ac:dyDescent="0.25">
      <c r="E3209" t="str">
        <f>""</f>
        <v/>
      </c>
      <c r="F3209" t="str">
        <f>""</f>
        <v/>
      </c>
      <c r="H3209" t="str">
        <f t="shared" si="67"/>
        <v>TEXAS COUNTY &amp; DISTRICT RET</v>
      </c>
    </row>
    <row r="3210" spans="5:8" x14ac:dyDescent="0.25">
      <c r="E3210" t="str">
        <f>""</f>
        <v/>
      </c>
      <c r="F3210" t="str">
        <f>""</f>
        <v/>
      </c>
      <c r="H3210" t="str">
        <f t="shared" ref="H3210:H3231" si="68">"TEXAS COUNTY &amp; DISTRICT RET"</f>
        <v>TEXAS COUNTY &amp; DISTRICT RET</v>
      </c>
    </row>
    <row r="3211" spans="5:8" x14ac:dyDescent="0.25">
      <c r="E3211" t="str">
        <f>""</f>
        <v/>
      </c>
      <c r="F3211" t="str">
        <f>""</f>
        <v/>
      </c>
      <c r="H3211" t="str">
        <f t="shared" si="68"/>
        <v>TEXAS COUNTY &amp; DISTRICT RET</v>
      </c>
    </row>
    <row r="3212" spans="5:8" x14ac:dyDescent="0.25">
      <c r="E3212" t="str">
        <f>""</f>
        <v/>
      </c>
      <c r="F3212" t="str">
        <f>""</f>
        <v/>
      </c>
      <c r="H3212" t="str">
        <f t="shared" si="68"/>
        <v>TEXAS COUNTY &amp; DISTRICT RET</v>
      </c>
    </row>
    <row r="3213" spans="5:8" x14ac:dyDescent="0.25">
      <c r="E3213" t="str">
        <f>""</f>
        <v/>
      </c>
      <c r="F3213" t="str">
        <f>""</f>
        <v/>
      </c>
      <c r="H3213" t="str">
        <f t="shared" si="68"/>
        <v>TEXAS COUNTY &amp; DISTRICT RET</v>
      </c>
    </row>
    <row r="3214" spans="5:8" x14ac:dyDescent="0.25">
      <c r="E3214" t="str">
        <f>""</f>
        <v/>
      </c>
      <c r="F3214" t="str">
        <f>""</f>
        <v/>
      </c>
      <c r="H3214" t="str">
        <f t="shared" si="68"/>
        <v>TEXAS COUNTY &amp; DISTRICT RET</v>
      </c>
    </row>
    <row r="3215" spans="5:8" x14ac:dyDescent="0.25">
      <c r="E3215" t="str">
        <f>""</f>
        <v/>
      </c>
      <c r="F3215" t="str">
        <f>""</f>
        <v/>
      </c>
      <c r="H3215" t="str">
        <f t="shared" si="68"/>
        <v>TEXAS COUNTY &amp; DISTRICT RET</v>
      </c>
    </row>
    <row r="3216" spans="5:8" x14ac:dyDescent="0.25">
      <c r="E3216" t="str">
        <f>""</f>
        <v/>
      </c>
      <c r="F3216" t="str">
        <f>""</f>
        <v/>
      </c>
      <c r="H3216" t="str">
        <f t="shared" si="68"/>
        <v>TEXAS COUNTY &amp; DISTRICT RET</v>
      </c>
    </row>
    <row r="3217" spans="5:8" x14ac:dyDescent="0.25">
      <c r="E3217" t="str">
        <f>""</f>
        <v/>
      </c>
      <c r="F3217" t="str">
        <f>""</f>
        <v/>
      </c>
      <c r="H3217" t="str">
        <f t="shared" si="68"/>
        <v>TEXAS COUNTY &amp; DISTRICT RET</v>
      </c>
    </row>
    <row r="3218" spans="5:8" x14ac:dyDescent="0.25">
      <c r="E3218" t="str">
        <f>""</f>
        <v/>
      </c>
      <c r="F3218" t="str">
        <f>""</f>
        <v/>
      </c>
      <c r="H3218" t="str">
        <f t="shared" si="68"/>
        <v>TEXAS COUNTY &amp; DISTRICT RET</v>
      </c>
    </row>
    <row r="3219" spans="5:8" x14ac:dyDescent="0.25">
      <c r="E3219" t="str">
        <f>""</f>
        <v/>
      </c>
      <c r="F3219" t="str">
        <f>""</f>
        <v/>
      </c>
      <c r="H3219" t="str">
        <f t="shared" si="68"/>
        <v>TEXAS COUNTY &amp; DISTRICT RET</v>
      </c>
    </row>
    <row r="3220" spans="5:8" x14ac:dyDescent="0.25">
      <c r="E3220" t="str">
        <f>""</f>
        <v/>
      </c>
      <c r="F3220" t="str">
        <f>""</f>
        <v/>
      </c>
      <c r="H3220" t="str">
        <f t="shared" si="68"/>
        <v>TEXAS COUNTY &amp; DISTRICT RET</v>
      </c>
    </row>
    <row r="3221" spans="5:8" x14ac:dyDescent="0.25">
      <c r="E3221" t="str">
        <f>""</f>
        <v/>
      </c>
      <c r="F3221" t="str">
        <f>""</f>
        <v/>
      </c>
      <c r="H3221" t="str">
        <f t="shared" si="68"/>
        <v>TEXAS COUNTY &amp; DISTRICT RET</v>
      </c>
    </row>
    <row r="3222" spans="5:8" x14ac:dyDescent="0.25">
      <c r="E3222" t="str">
        <f>""</f>
        <v/>
      </c>
      <c r="F3222" t="str">
        <f>""</f>
        <v/>
      </c>
      <c r="H3222" t="str">
        <f t="shared" si="68"/>
        <v>TEXAS COUNTY &amp; DISTRICT RET</v>
      </c>
    </row>
    <row r="3223" spans="5:8" x14ac:dyDescent="0.25">
      <c r="E3223" t="str">
        <f>""</f>
        <v/>
      </c>
      <c r="F3223" t="str">
        <f>""</f>
        <v/>
      </c>
      <c r="H3223" t="str">
        <f t="shared" si="68"/>
        <v>TEXAS COUNTY &amp; DISTRICT RET</v>
      </c>
    </row>
    <row r="3224" spans="5:8" x14ac:dyDescent="0.25">
      <c r="E3224" t="str">
        <f>""</f>
        <v/>
      </c>
      <c r="F3224" t="str">
        <f>""</f>
        <v/>
      </c>
      <c r="H3224" t="str">
        <f t="shared" si="68"/>
        <v>TEXAS COUNTY &amp; DISTRICT RET</v>
      </c>
    </row>
    <row r="3225" spans="5:8" x14ac:dyDescent="0.25">
      <c r="E3225" t="str">
        <f>""</f>
        <v/>
      </c>
      <c r="F3225" t="str">
        <f>""</f>
        <v/>
      </c>
      <c r="H3225" t="str">
        <f t="shared" si="68"/>
        <v>TEXAS COUNTY &amp; DISTRICT RET</v>
      </c>
    </row>
    <row r="3226" spans="5:8" x14ac:dyDescent="0.25">
      <c r="E3226" t="str">
        <f>""</f>
        <v/>
      </c>
      <c r="F3226" t="str">
        <f>""</f>
        <v/>
      </c>
      <c r="H3226" t="str">
        <f t="shared" si="68"/>
        <v>TEXAS COUNTY &amp; DISTRICT RET</v>
      </c>
    </row>
    <row r="3227" spans="5:8" x14ac:dyDescent="0.25">
      <c r="E3227" t="str">
        <f>""</f>
        <v/>
      </c>
      <c r="F3227" t="str">
        <f>""</f>
        <v/>
      </c>
      <c r="H3227" t="str">
        <f t="shared" si="68"/>
        <v>TEXAS COUNTY &amp; DISTRICT RET</v>
      </c>
    </row>
    <row r="3228" spans="5:8" x14ac:dyDescent="0.25">
      <c r="E3228" t="str">
        <f>""</f>
        <v/>
      </c>
      <c r="F3228" t="str">
        <f>""</f>
        <v/>
      </c>
      <c r="H3228" t="str">
        <f t="shared" si="68"/>
        <v>TEXAS COUNTY &amp; DISTRICT RET</v>
      </c>
    </row>
    <row r="3229" spans="5:8" x14ac:dyDescent="0.25">
      <c r="E3229" t="str">
        <f>""</f>
        <v/>
      </c>
      <c r="F3229" t="str">
        <f>""</f>
        <v/>
      </c>
      <c r="H3229" t="str">
        <f t="shared" si="68"/>
        <v>TEXAS COUNTY &amp; DISTRICT RET</v>
      </c>
    </row>
    <row r="3230" spans="5:8" x14ac:dyDescent="0.25">
      <c r="E3230" t="str">
        <f>""</f>
        <v/>
      </c>
      <c r="F3230" t="str">
        <f>""</f>
        <v/>
      </c>
      <c r="H3230" t="str">
        <f t="shared" si="68"/>
        <v>TEXAS COUNTY &amp; DISTRICT RET</v>
      </c>
    </row>
    <row r="3231" spans="5:8" x14ac:dyDescent="0.25">
      <c r="E3231" t="str">
        <f>""</f>
        <v/>
      </c>
      <c r="F3231" t="str">
        <f>""</f>
        <v/>
      </c>
      <c r="H3231" t="str">
        <f t="shared" si="68"/>
        <v>TEXAS COUNTY &amp; DISTRICT RET</v>
      </c>
    </row>
    <row r="3232" spans="5:8" x14ac:dyDescent="0.25">
      <c r="E3232" t="str">
        <f>"RET201911133213"</f>
        <v>RET201911133213</v>
      </c>
      <c r="F3232" t="str">
        <f>"TEXAS COUNTY  DISTRICT RET"</f>
        <v>TEXAS COUNTY  DISTRICT RET</v>
      </c>
      <c r="G3232" s="2">
        <v>6393.26</v>
      </c>
      <c r="H3232" t="str">
        <f>"TEXAS COUNTY  DISTRICT RET"</f>
        <v>TEXAS COUNTY  DISTRICT RET</v>
      </c>
    </row>
    <row r="3233" spans="5:8" x14ac:dyDescent="0.25">
      <c r="E3233" t="str">
        <f>""</f>
        <v/>
      </c>
      <c r="F3233" t="str">
        <f>""</f>
        <v/>
      </c>
      <c r="H3233" t="str">
        <f>"TEXAS COUNTY  DISTRICT RET"</f>
        <v>TEXAS COUNTY  DISTRICT RET</v>
      </c>
    </row>
    <row r="3234" spans="5:8" x14ac:dyDescent="0.25">
      <c r="E3234" t="str">
        <f>"RET201911133214"</f>
        <v>RET201911133214</v>
      </c>
      <c r="F3234" t="str">
        <f>"TEXAS COUNTY &amp; DISTRICT RET"</f>
        <v>TEXAS COUNTY &amp; DISTRICT RET</v>
      </c>
      <c r="G3234" s="2">
        <v>7482.58</v>
      </c>
      <c r="H3234" t="str">
        <f t="shared" ref="H3234:H3278" si="69">"TEXAS COUNTY &amp; DISTRICT RET"</f>
        <v>TEXAS COUNTY &amp; DISTRICT RET</v>
      </c>
    </row>
    <row r="3235" spans="5:8" x14ac:dyDescent="0.25">
      <c r="E3235" t="str">
        <f>""</f>
        <v/>
      </c>
      <c r="F3235" t="str">
        <f>""</f>
        <v/>
      </c>
      <c r="H3235" t="str">
        <f t="shared" si="69"/>
        <v>TEXAS COUNTY &amp; DISTRICT RET</v>
      </c>
    </row>
    <row r="3236" spans="5:8" x14ac:dyDescent="0.25">
      <c r="E3236" t="str">
        <f>"RET201911193387"</f>
        <v>RET201911193387</v>
      </c>
      <c r="F3236" t="str">
        <f>"TEXAS COUNTY &amp; DISTRICT RET"</f>
        <v>TEXAS COUNTY &amp; DISTRICT RET</v>
      </c>
      <c r="G3236" s="2">
        <v>89097.58</v>
      </c>
      <c r="H3236" t="str">
        <f t="shared" si="69"/>
        <v>TEXAS COUNTY &amp; DISTRICT RET</v>
      </c>
    </row>
    <row r="3237" spans="5:8" x14ac:dyDescent="0.25">
      <c r="E3237" t="str">
        <f>""</f>
        <v/>
      </c>
      <c r="F3237" t="str">
        <f>""</f>
        <v/>
      </c>
      <c r="H3237" t="str">
        <f t="shared" si="69"/>
        <v>TEXAS COUNTY &amp; DISTRICT RET</v>
      </c>
    </row>
    <row r="3238" spans="5:8" x14ac:dyDescent="0.25">
      <c r="E3238" t="str">
        <f>""</f>
        <v/>
      </c>
      <c r="F3238" t="str">
        <f>""</f>
        <v/>
      </c>
      <c r="H3238" t="str">
        <f t="shared" si="69"/>
        <v>TEXAS COUNTY &amp; DISTRICT RET</v>
      </c>
    </row>
    <row r="3239" spans="5:8" x14ac:dyDescent="0.25">
      <c r="E3239" t="str">
        <f>""</f>
        <v/>
      </c>
      <c r="F3239" t="str">
        <f>""</f>
        <v/>
      </c>
      <c r="H3239" t="str">
        <f t="shared" si="69"/>
        <v>TEXAS COUNTY &amp; DISTRICT RET</v>
      </c>
    </row>
    <row r="3240" spans="5:8" x14ac:dyDescent="0.25">
      <c r="E3240" t="str">
        <f>""</f>
        <v/>
      </c>
      <c r="F3240" t="str">
        <f>""</f>
        <v/>
      </c>
      <c r="H3240" t="str">
        <f t="shared" si="69"/>
        <v>TEXAS COUNTY &amp; DISTRICT RET</v>
      </c>
    </row>
    <row r="3241" spans="5:8" x14ac:dyDescent="0.25">
      <c r="E3241" t="str">
        <f>""</f>
        <v/>
      </c>
      <c r="F3241" t="str">
        <f>""</f>
        <v/>
      </c>
      <c r="H3241" t="str">
        <f t="shared" si="69"/>
        <v>TEXAS COUNTY &amp; DISTRICT RET</v>
      </c>
    </row>
    <row r="3242" spans="5:8" x14ac:dyDescent="0.25">
      <c r="E3242" t="str">
        <f>""</f>
        <v/>
      </c>
      <c r="F3242" t="str">
        <f>""</f>
        <v/>
      </c>
      <c r="H3242" t="str">
        <f t="shared" si="69"/>
        <v>TEXAS COUNTY &amp; DISTRICT RET</v>
      </c>
    </row>
    <row r="3243" spans="5:8" x14ac:dyDescent="0.25">
      <c r="E3243" t="str">
        <f>""</f>
        <v/>
      </c>
      <c r="F3243" t="str">
        <f>""</f>
        <v/>
      </c>
      <c r="H3243" t="str">
        <f t="shared" si="69"/>
        <v>TEXAS COUNTY &amp; DISTRICT RET</v>
      </c>
    </row>
    <row r="3244" spans="5:8" x14ac:dyDescent="0.25">
      <c r="E3244" t="str">
        <f>""</f>
        <v/>
      </c>
      <c r="F3244" t="str">
        <f>""</f>
        <v/>
      </c>
      <c r="H3244" t="str">
        <f t="shared" si="69"/>
        <v>TEXAS COUNTY &amp; DISTRICT RET</v>
      </c>
    </row>
    <row r="3245" spans="5:8" x14ac:dyDescent="0.25">
      <c r="E3245" t="str">
        <f>""</f>
        <v/>
      </c>
      <c r="F3245" t="str">
        <f>""</f>
        <v/>
      </c>
      <c r="H3245" t="str">
        <f t="shared" si="69"/>
        <v>TEXAS COUNTY &amp; DISTRICT RET</v>
      </c>
    </row>
    <row r="3246" spans="5:8" x14ac:dyDescent="0.25">
      <c r="E3246" t="str">
        <f>""</f>
        <v/>
      </c>
      <c r="F3246" t="str">
        <f>""</f>
        <v/>
      </c>
      <c r="H3246" t="str">
        <f t="shared" si="69"/>
        <v>TEXAS COUNTY &amp; DISTRICT RET</v>
      </c>
    </row>
    <row r="3247" spans="5:8" x14ac:dyDescent="0.25">
      <c r="E3247" t="str">
        <f>""</f>
        <v/>
      </c>
      <c r="F3247" t="str">
        <f>""</f>
        <v/>
      </c>
      <c r="H3247" t="str">
        <f t="shared" si="69"/>
        <v>TEXAS COUNTY &amp; DISTRICT RET</v>
      </c>
    </row>
    <row r="3248" spans="5:8" x14ac:dyDescent="0.25">
      <c r="E3248" t="str">
        <f>""</f>
        <v/>
      </c>
      <c r="F3248" t="str">
        <f>""</f>
        <v/>
      </c>
      <c r="H3248" t="str">
        <f t="shared" si="69"/>
        <v>TEXAS COUNTY &amp; DISTRICT RET</v>
      </c>
    </row>
    <row r="3249" spans="5:8" x14ac:dyDescent="0.25">
      <c r="E3249" t="str">
        <f>""</f>
        <v/>
      </c>
      <c r="F3249" t="str">
        <f>""</f>
        <v/>
      </c>
      <c r="H3249" t="str">
        <f t="shared" si="69"/>
        <v>TEXAS COUNTY &amp; DISTRICT RET</v>
      </c>
    </row>
    <row r="3250" spans="5:8" x14ac:dyDescent="0.25">
      <c r="E3250" t="str">
        <f>""</f>
        <v/>
      </c>
      <c r="F3250" t="str">
        <f>""</f>
        <v/>
      </c>
      <c r="H3250" t="str">
        <f t="shared" si="69"/>
        <v>TEXAS COUNTY &amp; DISTRICT RET</v>
      </c>
    </row>
    <row r="3251" spans="5:8" x14ac:dyDescent="0.25">
      <c r="E3251" t="str">
        <f>""</f>
        <v/>
      </c>
      <c r="F3251" t="str">
        <f>""</f>
        <v/>
      </c>
      <c r="H3251" t="str">
        <f t="shared" si="69"/>
        <v>TEXAS COUNTY &amp; DISTRICT RET</v>
      </c>
    </row>
    <row r="3252" spans="5:8" x14ac:dyDescent="0.25">
      <c r="E3252" t="str">
        <f>""</f>
        <v/>
      </c>
      <c r="F3252" t="str">
        <f>""</f>
        <v/>
      </c>
      <c r="H3252" t="str">
        <f t="shared" si="69"/>
        <v>TEXAS COUNTY &amp; DISTRICT RET</v>
      </c>
    </row>
    <row r="3253" spans="5:8" x14ac:dyDescent="0.25">
      <c r="E3253" t="str">
        <f>""</f>
        <v/>
      </c>
      <c r="F3253" t="str">
        <f>""</f>
        <v/>
      </c>
      <c r="H3253" t="str">
        <f t="shared" si="69"/>
        <v>TEXAS COUNTY &amp; DISTRICT RET</v>
      </c>
    </row>
    <row r="3254" spans="5:8" x14ac:dyDescent="0.25">
      <c r="E3254" t="str">
        <f>""</f>
        <v/>
      </c>
      <c r="F3254" t="str">
        <f>""</f>
        <v/>
      </c>
      <c r="H3254" t="str">
        <f t="shared" si="69"/>
        <v>TEXAS COUNTY &amp; DISTRICT RET</v>
      </c>
    </row>
    <row r="3255" spans="5:8" x14ac:dyDescent="0.25">
      <c r="E3255" t="str">
        <f>""</f>
        <v/>
      </c>
      <c r="F3255" t="str">
        <f>""</f>
        <v/>
      </c>
      <c r="H3255" t="str">
        <f t="shared" si="69"/>
        <v>TEXAS COUNTY &amp; DISTRICT RET</v>
      </c>
    </row>
    <row r="3256" spans="5:8" x14ac:dyDescent="0.25">
      <c r="E3256" t="str">
        <f>""</f>
        <v/>
      </c>
      <c r="F3256" t="str">
        <f>""</f>
        <v/>
      </c>
      <c r="H3256" t="str">
        <f t="shared" si="69"/>
        <v>TEXAS COUNTY &amp; DISTRICT RET</v>
      </c>
    </row>
    <row r="3257" spans="5:8" x14ac:dyDescent="0.25">
      <c r="E3257" t="str">
        <f>""</f>
        <v/>
      </c>
      <c r="F3257" t="str">
        <f>""</f>
        <v/>
      </c>
      <c r="H3257" t="str">
        <f t="shared" si="69"/>
        <v>TEXAS COUNTY &amp; DISTRICT RET</v>
      </c>
    </row>
    <row r="3258" spans="5:8" x14ac:dyDescent="0.25">
      <c r="E3258" t="str">
        <f>""</f>
        <v/>
      </c>
      <c r="F3258" t="str">
        <f>""</f>
        <v/>
      </c>
      <c r="H3258" t="str">
        <f t="shared" si="69"/>
        <v>TEXAS COUNTY &amp; DISTRICT RET</v>
      </c>
    </row>
    <row r="3259" spans="5:8" x14ac:dyDescent="0.25">
      <c r="E3259" t="str">
        <f>""</f>
        <v/>
      </c>
      <c r="F3259" t="str">
        <f>""</f>
        <v/>
      </c>
      <c r="H3259" t="str">
        <f t="shared" si="69"/>
        <v>TEXAS COUNTY &amp; DISTRICT RET</v>
      </c>
    </row>
    <row r="3260" spans="5:8" x14ac:dyDescent="0.25">
      <c r="E3260" t="str">
        <f>""</f>
        <v/>
      </c>
      <c r="F3260" t="str">
        <f>""</f>
        <v/>
      </c>
      <c r="H3260" t="str">
        <f t="shared" si="69"/>
        <v>TEXAS COUNTY &amp; DISTRICT RET</v>
      </c>
    </row>
    <row r="3261" spans="5:8" x14ac:dyDescent="0.25">
      <c r="E3261" t="str">
        <f>""</f>
        <v/>
      </c>
      <c r="F3261" t="str">
        <f>""</f>
        <v/>
      </c>
      <c r="H3261" t="str">
        <f t="shared" si="69"/>
        <v>TEXAS COUNTY &amp; DISTRICT RET</v>
      </c>
    </row>
    <row r="3262" spans="5:8" x14ac:dyDescent="0.25">
      <c r="E3262" t="str">
        <f>""</f>
        <v/>
      </c>
      <c r="F3262" t="str">
        <f>""</f>
        <v/>
      </c>
      <c r="H3262" t="str">
        <f t="shared" si="69"/>
        <v>TEXAS COUNTY &amp; DISTRICT RET</v>
      </c>
    </row>
    <row r="3263" spans="5:8" x14ac:dyDescent="0.25">
      <c r="E3263" t="str">
        <f>""</f>
        <v/>
      </c>
      <c r="F3263" t="str">
        <f>""</f>
        <v/>
      </c>
      <c r="H3263" t="str">
        <f t="shared" si="69"/>
        <v>TEXAS COUNTY &amp; DISTRICT RET</v>
      </c>
    </row>
    <row r="3264" spans="5:8" x14ac:dyDescent="0.25">
      <c r="E3264" t="str">
        <f>""</f>
        <v/>
      </c>
      <c r="F3264" t="str">
        <f>""</f>
        <v/>
      </c>
      <c r="H3264" t="str">
        <f t="shared" si="69"/>
        <v>TEXAS COUNTY &amp; DISTRICT RET</v>
      </c>
    </row>
    <row r="3265" spans="5:8" x14ac:dyDescent="0.25">
      <c r="E3265" t="str">
        <f>""</f>
        <v/>
      </c>
      <c r="F3265" t="str">
        <f>""</f>
        <v/>
      </c>
      <c r="H3265" t="str">
        <f t="shared" si="69"/>
        <v>TEXAS COUNTY &amp; DISTRICT RET</v>
      </c>
    </row>
    <row r="3266" spans="5:8" x14ac:dyDescent="0.25">
      <c r="E3266" t="str">
        <f>""</f>
        <v/>
      </c>
      <c r="F3266" t="str">
        <f>""</f>
        <v/>
      </c>
      <c r="H3266" t="str">
        <f t="shared" si="69"/>
        <v>TEXAS COUNTY &amp; DISTRICT RET</v>
      </c>
    </row>
    <row r="3267" spans="5:8" x14ac:dyDescent="0.25">
      <c r="E3267" t="str">
        <f>""</f>
        <v/>
      </c>
      <c r="F3267" t="str">
        <f>""</f>
        <v/>
      </c>
      <c r="H3267" t="str">
        <f t="shared" si="69"/>
        <v>TEXAS COUNTY &amp; DISTRICT RET</v>
      </c>
    </row>
    <row r="3268" spans="5:8" x14ac:dyDescent="0.25">
      <c r="E3268" t="str">
        <f>""</f>
        <v/>
      </c>
      <c r="F3268" t="str">
        <f>""</f>
        <v/>
      </c>
      <c r="H3268" t="str">
        <f t="shared" si="69"/>
        <v>TEXAS COUNTY &amp; DISTRICT RET</v>
      </c>
    </row>
    <row r="3269" spans="5:8" x14ac:dyDescent="0.25">
      <c r="E3269" t="str">
        <f>""</f>
        <v/>
      </c>
      <c r="F3269" t="str">
        <f>""</f>
        <v/>
      </c>
      <c r="H3269" t="str">
        <f t="shared" si="69"/>
        <v>TEXAS COUNTY &amp; DISTRICT RET</v>
      </c>
    </row>
    <row r="3270" spans="5:8" x14ac:dyDescent="0.25">
      <c r="E3270" t="str">
        <f>""</f>
        <v/>
      </c>
      <c r="F3270" t="str">
        <f>""</f>
        <v/>
      </c>
      <c r="H3270" t="str">
        <f t="shared" si="69"/>
        <v>TEXAS COUNTY &amp; DISTRICT RET</v>
      </c>
    </row>
    <row r="3271" spans="5:8" x14ac:dyDescent="0.25">
      <c r="E3271" t="str">
        <f>""</f>
        <v/>
      </c>
      <c r="F3271" t="str">
        <f>""</f>
        <v/>
      </c>
      <c r="H3271" t="str">
        <f t="shared" si="69"/>
        <v>TEXAS COUNTY &amp; DISTRICT RET</v>
      </c>
    </row>
    <row r="3272" spans="5:8" x14ac:dyDescent="0.25">
      <c r="E3272" t="str">
        <f>""</f>
        <v/>
      </c>
      <c r="F3272" t="str">
        <f>""</f>
        <v/>
      </c>
      <c r="H3272" t="str">
        <f t="shared" si="69"/>
        <v>TEXAS COUNTY &amp; DISTRICT RET</v>
      </c>
    </row>
    <row r="3273" spans="5:8" x14ac:dyDescent="0.25">
      <c r="E3273" t="str">
        <f>""</f>
        <v/>
      </c>
      <c r="F3273" t="str">
        <f>""</f>
        <v/>
      </c>
      <c r="H3273" t="str">
        <f t="shared" si="69"/>
        <v>TEXAS COUNTY &amp; DISTRICT RET</v>
      </c>
    </row>
    <row r="3274" spans="5:8" x14ac:dyDescent="0.25">
      <c r="E3274" t="str">
        <f>""</f>
        <v/>
      </c>
      <c r="F3274" t="str">
        <f>""</f>
        <v/>
      </c>
      <c r="H3274" t="str">
        <f t="shared" si="69"/>
        <v>TEXAS COUNTY &amp; DISTRICT RET</v>
      </c>
    </row>
    <row r="3275" spans="5:8" x14ac:dyDescent="0.25">
      <c r="E3275" t="str">
        <f>""</f>
        <v/>
      </c>
      <c r="F3275" t="str">
        <f>""</f>
        <v/>
      </c>
      <c r="H3275" t="str">
        <f t="shared" si="69"/>
        <v>TEXAS COUNTY &amp; DISTRICT RET</v>
      </c>
    </row>
    <row r="3276" spans="5:8" x14ac:dyDescent="0.25">
      <c r="E3276" t="str">
        <f>""</f>
        <v/>
      </c>
      <c r="F3276" t="str">
        <f>""</f>
        <v/>
      </c>
      <c r="H3276" t="str">
        <f t="shared" si="69"/>
        <v>TEXAS COUNTY &amp; DISTRICT RET</v>
      </c>
    </row>
    <row r="3277" spans="5:8" x14ac:dyDescent="0.25">
      <c r="E3277" t="str">
        <f>""</f>
        <v/>
      </c>
      <c r="F3277" t="str">
        <f>""</f>
        <v/>
      </c>
      <c r="H3277" t="str">
        <f t="shared" si="69"/>
        <v>TEXAS COUNTY &amp; DISTRICT RET</v>
      </c>
    </row>
    <row r="3278" spans="5:8" x14ac:dyDescent="0.25">
      <c r="E3278" t="str">
        <f>""</f>
        <v/>
      </c>
      <c r="F3278" t="str">
        <f>""</f>
        <v/>
      </c>
      <c r="H3278" t="str">
        <f t="shared" si="69"/>
        <v>TEXAS COUNTY &amp; DISTRICT RET</v>
      </c>
    </row>
    <row r="3279" spans="5:8" x14ac:dyDescent="0.25">
      <c r="E3279" t="str">
        <f>"RET201911193390"</f>
        <v>RET201911193390</v>
      </c>
      <c r="F3279" t="str">
        <f>"TEXAS COUNTY  DISTRICT RET"</f>
        <v>TEXAS COUNTY  DISTRICT RET</v>
      </c>
      <c r="G3279" s="2">
        <v>4669.26</v>
      </c>
      <c r="H3279" t="str">
        <f>"TEXAS COUNTY  DISTRICT RET"</f>
        <v>TEXAS COUNTY  DISTRICT RET</v>
      </c>
    </row>
    <row r="3280" spans="5:8" x14ac:dyDescent="0.25">
      <c r="E3280" t="str">
        <f>""</f>
        <v/>
      </c>
      <c r="F3280" t="str">
        <f>""</f>
        <v/>
      </c>
      <c r="H3280" t="str">
        <f>"TEXAS COUNTY  DISTRICT RET"</f>
        <v>TEXAS COUNTY  DISTRICT RET</v>
      </c>
    </row>
    <row r="3281" spans="5:8" x14ac:dyDescent="0.25">
      <c r="E3281" t="str">
        <f>"RET201911193394"</f>
        <v>RET201911193394</v>
      </c>
      <c r="F3281" t="str">
        <f>"TEXAS COUNTY &amp; DISTRICT RET"</f>
        <v>TEXAS COUNTY &amp; DISTRICT RET</v>
      </c>
      <c r="G3281" s="2">
        <v>3754.16</v>
      </c>
      <c r="H3281" t="str">
        <f t="shared" ref="H3281:H3312" si="70">"TEXAS COUNTY &amp; DISTRICT RET"</f>
        <v>TEXAS COUNTY &amp; DISTRICT RET</v>
      </c>
    </row>
    <row r="3282" spans="5:8" x14ac:dyDescent="0.25">
      <c r="E3282" t="str">
        <f>""</f>
        <v/>
      </c>
      <c r="F3282" t="str">
        <f>""</f>
        <v/>
      </c>
      <c r="H3282" t="str">
        <f t="shared" si="70"/>
        <v>TEXAS COUNTY &amp; DISTRICT RET</v>
      </c>
    </row>
    <row r="3283" spans="5:8" x14ac:dyDescent="0.25">
      <c r="E3283" t="str">
        <f>"RET201911263510"</f>
        <v>RET201911263510</v>
      </c>
      <c r="F3283" t="str">
        <f>"TEXAS COUNTY &amp; DISTRICT RET"</f>
        <v>TEXAS COUNTY &amp; DISTRICT RET</v>
      </c>
      <c r="G3283" s="2">
        <v>163866.85</v>
      </c>
      <c r="H3283" t="str">
        <f t="shared" si="70"/>
        <v>TEXAS COUNTY &amp; DISTRICT RET</v>
      </c>
    </row>
    <row r="3284" spans="5:8" x14ac:dyDescent="0.25">
      <c r="E3284" t="str">
        <f>""</f>
        <v/>
      </c>
      <c r="F3284" t="str">
        <f>""</f>
        <v/>
      </c>
      <c r="H3284" t="str">
        <f t="shared" si="70"/>
        <v>TEXAS COUNTY &amp; DISTRICT RET</v>
      </c>
    </row>
    <row r="3285" spans="5:8" x14ac:dyDescent="0.25">
      <c r="E3285" t="str">
        <f>""</f>
        <v/>
      </c>
      <c r="F3285" t="str">
        <f>""</f>
        <v/>
      </c>
      <c r="H3285" t="str">
        <f t="shared" si="70"/>
        <v>TEXAS COUNTY &amp; DISTRICT RET</v>
      </c>
    </row>
    <row r="3286" spans="5:8" x14ac:dyDescent="0.25">
      <c r="E3286" t="str">
        <f>""</f>
        <v/>
      </c>
      <c r="F3286" t="str">
        <f>""</f>
        <v/>
      </c>
      <c r="H3286" t="str">
        <f t="shared" si="70"/>
        <v>TEXAS COUNTY &amp; DISTRICT RET</v>
      </c>
    </row>
    <row r="3287" spans="5:8" x14ac:dyDescent="0.25">
      <c r="E3287" t="str">
        <f>""</f>
        <v/>
      </c>
      <c r="F3287" t="str">
        <f>""</f>
        <v/>
      </c>
      <c r="H3287" t="str">
        <f t="shared" si="70"/>
        <v>TEXAS COUNTY &amp; DISTRICT RET</v>
      </c>
    </row>
    <row r="3288" spans="5:8" x14ac:dyDescent="0.25">
      <c r="E3288" t="str">
        <f>""</f>
        <v/>
      </c>
      <c r="F3288" t="str">
        <f>""</f>
        <v/>
      </c>
      <c r="H3288" t="str">
        <f t="shared" si="70"/>
        <v>TEXAS COUNTY &amp; DISTRICT RET</v>
      </c>
    </row>
    <row r="3289" spans="5:8" x14ac:dyDescent="0.25">
      <c r="E3289" t="str">
        <f>""</f>
        <v/>
      </c>
      <c r="F3289" t="str">
        <f>""</f>
        <v/>
      </c>
      <c r="H3289" t="str">
        <f t="shared" si="70"/>
        <v>TEXAS COUNTY &amp; DISTRICT RET</v>
      </c>
    </row>
    <row r="3290" spans="5:8" x14ac:dyDescent="0.25">
      <c r="E3290" t="str">
        <f>""</f>
        <v/>
      </c>
      <c r="F3290" t="str">
        <f>""</f>
        <v/>
      </c>
      <c r="H3290" t="str">
        <f t="shared" si="70"/>
        <v>TEXAS COUNTY &amp; DISTRICT RET</v>
      </c>
    </row>
    <row r="3291" spans="5:8" x14ac:dyDescent="0.25">
      <c r="E3291" t="str">
        <f>""</f>
        <v/>
      </c>
      <c r="F3291" t="str">
        <f>""</f>
        <v/>
      </c>
      <c r="H3291" t="str">
        <f t="shared" si="70"/>
        <v>TEXAS COUNTY &amp; DISTRICT RET</v>
      </c>
    </row>
    <row r="3292" spans="5:8" x14ac:dyDescent="0.25">
      <c r="E3292" t="str">
        <f>""</f>
        <v/>
      </c>
      <c r="F3292" t="str">
        <f>""</f>
        <v/>
      </c>
      <c r="H3292" t="str">
        <f t="shared" si="70"/>
        <v>TEXAS COUNTY &amp; DISTRICT RET</v>
      </c>
    </row>
    <row r="3293" spans="5:8" x14ac:dyDescent="0.25">
      <c r="E3293" t="str">
        <f>""</f>
        <v/>
      </c>
      <c r="F3293" t="str">
        <f>""</f>
        <v/>
      </c>
      <c r="H3293" t="str">
        <f t="shared" si="70"/>
        <v>TEXAS COUNTY &amp; DISTRICT RET</v>
      </c>
    </row>
    <row r="3294" spans="5:8" x14ac:dyDescent="0.25">
      <c r="E3294" t="str">
        <f>""</f>
        <v/>
      </c>
      <c r="F3294" t="str">
        <f>""</f>
        <v/>
      </c>
      <c r="H3294" t="str">
        <f t="shared" si="70"/>
        <v>TEXAS COUNTY &amp; DISTRICT RET</v>
      </c>
    </row>
    <row r="3295" spans="5:8" x14ac:dyDescent="0.25">
      <c r="E3295" t="str">
        <f>""</f>
        <v/>
      </c>
      <c r="F3295" t="str">
        <f>""</f>
        <v/>
      </c>
      <c r="H3295" t="str">
        <f t="shared" si="70"/>
        <v>TEXAS COUNTY &amp; DISTRICT RET</v>
      </c>
    </row>
    <row r="3296" spans="5:8" x14ac:dyDescent="0.25">
      <c r="E3296" t="str">
        <f>""</f>
        <v/>
      </c>
      <c r="F3296" t="str">
        <f>""</f>
        <v/>
      </c>
      <c r="H3296" t="str">
        <f t="shared" si="70"/>
        <v>TEXAS COUNTY &amp; DISTRICT RET</v>
      </c>
    </row>
    <row r="3297" spans="5:8" x14ac:dyDescent="0.25">
      <c r="E3297" t="str">
        <f>""</f>
        <v/>
      </c>
      <c r="F3297" t="str">
        <f>""</f>
        <v/>
      </c>
      <c r="H3297" t="str">
        <f t="shared" si="70"/>
        <v>TEXAS COUNTY &amp; DISTRICT RET</v>
      </c>
    </row>
    <row r="3298" spans="5:8" x14ac:dyDescent="0.25">
      <c r="E3298" t="str">
        <f>""</f>
        <v/>
      </c>
      <c r="F3298" t="str">
        <f>""</f>
        <v/>
      </c>
      <c r="H3298" t="str">
        <f t="shared" si="70"/>
        <v>TEXAS COUNTY &amp; DISTRICT RET</v>
      </c>
    </row>
    <row r="3299" spans="5:8" x14ac:dyDescent="0.25">
      <c r="E3299" t="str">
        <f>""</f>
        <v/>
      </c>
      <c r="F3299" t="str">
        <f>""</f>
        <v/>
      </c>
      <c r="H3299" t="str">
        <f t="shared" si="70"/>
        <v>TEXAS COUNTY &amp; DISTRICT RET</v>
      </c>
    </row>
    <row r="3300" spans="5:8" x14ac:dyDescent="0.25">
      <c r="E3300" t="str">
        <f>""</f>
        <v/>
      </c>
      <c r="F3300" t="str">
        <f>""</f>
        <v/>
      </c>
      <c r="H3300" t="str">
        <f t="shared" si="70"/>
        <v>TEXAS COUNTY &amp; DISTRICT RET</v>
      </c>
    </row>
    <row r="3301" spans="5:8" x14ac:dyDescent="0.25">
      <c r="E3301" t="str">
        <f>""</f>
        <v/>
      </c>
      <c r="F3301" t="str">
        <f>""</f>
        <v/>
      </c>
      <c r="H3301" t="str">
        <f t="shared" si="70"/>
        <v>TEXAS COUNTY &amp; DISTRICT RET</v>
      </c>
    </row>
    <row r="3302" spans="5:8" x14ac:dyDescent="0.25">
      <c r="E3302" t="str">
        <f>""</f>
        <v/>
      </c>
      <c r="F3302" t="str">
        <f>""</f>
        <v/>
      </c>
      <c r="H3302" t="str">
        <f t="shared" si="70"/>
        <v>TEXAS COUNTY &amp; DISTRICT RET</v>
      </c>
    </row>
    <row r="3303" spans="5:8" x14ac:dyDescent="0.25">
      <c r="E3303" t="str">
        <f>""</f>
        <v/>
      </c>
      <c r="F3303" t="str">
        <f>""</f>
        <v/>
      </c>
      <c r="H3303" t="str">
        <f t="shared" si="70"/>
        <v>TEXAS COUNTY &amp; DISTRICT RET</v>
      </c>
    </row>
    <row r="3304" spans="5:8" x14ac:dyDescent="0.25">
      <c r="E3304" t="str">
        <f>""</f>
        <v/>
      </c>
      <c r="F3304" t="str">
        <f>""</f>
        <v/>
      </c>
      <c r="H3304" t="str">
        <f t="shared" si="70"/>
        <v>TEXAS COUNTY &amp; DISTRICT RET</v>
      </c>
    </row>
    <row r="3305" spans="5:8" x14ac:dyDescent="0.25">
      <c r="E3305" t="str">
        <f>""</f>
        <v/>
      </c>
      <c r="F3305" t="str">
        <f>""</f>
        <v/>
      </c>
      <c r="H3305" t="str">
        <f t="shared" si="70"/>
        <v>TEXAS COUNTY &amp; DISTRICT RET</v>
      </c>
    </row>
    <row r="3306" spans="5:8" x14ac:dyDescent="0.25">
      <c r="E3306" t="str">
        <f>""</f>
        <v/>
      </c>
      <c r="F3306" t="str">
        <f>""</f>
        <v/>
      </c>
      <c r="H3306" t="str">
        <f t="shared" si="70"/>
        <v>TEXAS COUNTY &amp; DISTRICT RET</v>
      </c>
    </row>
    <row r="3307" spans="5:8" x14ac:dyDescent="0.25">
      <c r="E3307" t="str">
        <f>""</f>
        <v/>
      </c>
      <c r="F3307" t="str">
        <f>""</f>
        <v/>
      </c>
      <c r="H3307" t="str">
        <f t="shared" si="70"/>
        <v>TEXAS COUNTY &amp; DISTRICT RET</v>
      </c>
    </row>
    <row r="3308" spans="5:8" x14ac:dyDescent="0.25">
      <c r="E3308" t="str">
        <f>""</f>
        <v/>
      </c>
      <c r="F3308" t="str">
        <f>""</f>
        <v/>
      </c>
      <c r="H3308" t="str">
        <f t="shared" si="70"/>
        <v>TEXAS COUNTY &amp; DISTRICT RET</v>
      </c>
    </row>
    <row r="3309" spans="5:8" x14ac:dyDescent="0.25">
      <c r="E3309" t="str">
        <f>""</f>
        <v/>
      </c>
      <c r="F3309" t="str">
        <f>""</f>
        <v/>
      </c>
      <c r="H3309" t="str">
        <f t="shared" si="70"/>
        <v>TEXAS COUNTY &amp; DISTRICT RET</v>
      </c>
    </row>
    <row r="3310" spans="5:8" x14ac:dyDescent="0.25">
      <c r="E3310" t="str">
        <f>""</f>
        <v/>
      </c>
      <c r="F3310" t="str">
        <f>""</f>
        <v/>
      </c>
      <c r="H3310" t="str">
        <f t="shared" si="70"/>
        <v>TEXAS COUNTY &amp; DISTRICT RET</v>
      </c>
    </row>
    <row r="3311" spans="5:8" x14ac:dyDescent="0.25">
      <c r="E3311" t="str">
        <f>""</f>
        <v/>
      </c>
      <c r="F3311" t="str">
        <f>""</f>
        <v/>
      </c>
      <c r="H3311" t="str">
        <f t="shared" si="70"/>
        <v>TEXAS COUNTY &amp; DISTRICT RET</v>
      </c>
    </row>
    <row r="3312" spans="5:8" x14ac:dyDescent="0.25">
      <c r="E3312" t="str">
        <f>""</f>
        <v/>
      </c>
      <c r="F3312" t="str">
        <f>""</f>
        <v/>
      </c>
      <c r="H3312" t="str">
        <f t="shared" si="70"/>
        <v>TEXAS COUNTY &amp; DISTRICT RET</v>
      </c>
    </row>
    <row r="3313" spans="5:8" x14ac:dyDescent="0.25">
      <c r="E3313" t="str">
        <f>""</f>
        <v/>
      </c>
      <c r="F3313" t="str">
        <f>""</f>
        <v/>
      </c>
      <c r="H3313" t="str">
        <f t="shared" ref="H3313:H3334" si="71">"TEXAS COUNTY &amp; DISTRICT RET"</f>
        <v>TEXAS COUNTY &amp; DISTRICT RET</v>
      </c>
    </row>
    <row r="3314" spans="5:8" x14ac:dyDescent="0.25">
      <c r="E3314" t="str">
        <f>""</f>
        <v/>
      </c>
      <c r="F3314" t="str">
        <f>""</f>
        <v/>
      </c>
      <c r="H3314" t="str">
        <f t="shared" si="71"/>
        <v>TEXAS COUNTY &amp; DISTRICT RET</v>
      </c>
    </row>
    <row r="3315" spans="5:8" x14ac:dyDescent="0.25">
      <c r="E3315" t="str">
        <f>""</f>
        <v/>
      </c>
      <c r="F3315" t="str">
        <f>""</f>
        <v/>
      </c>
      <c r="H3315" t="str">
        <f t="shared" si="71"/>
        <v>TEXAS COUNTY &amp; DISTRICT RET</v>
      </c>
    </row>
    <row r="3316" spans="5:8" x14ac:dyDescent="0.25">
      <c r="E3316" t="str">
        <f>""</f>
        <v/>
      </c>
      <c r="F3316" t="str">
        <f>""</f>
        <v/>
      </c>
      <c r="H3316" t="str">
        <f t="shared" si="71"/>
        <v>TEXAS COUNTY &amp; DISTRICT RET</v>
      </c>
    </row>
    <row r="3317" spans="5:8" x14ac:dyDescent="0.25">
      <c r="E3317" t="str">
        <f>""</f>
        <v/>
      </c>
      <c r="F3317" t="str">
        <f>""</f>
        <v/>
      </c>
      <c r="H3317" t="str">
        <f t="shared" si="71"/>
        <v>TEXAS COUNTY &amp; DISTRICT RET</v>
      </c>
    </row>
    <row r="3318" spans="5:8" x14ac:dyDescent="0.25">
      <c r="E3318" t="str">
        <f>""</f>
        <v/>
      </c>
      <c r="F3318" t="str">
        <f>""</f>
        <v/>
      </c>
      <c r="H3318" t="str">
        <f t="shared" si="71"/>
        <v>TEXAS COUNTY &amp; DISTRICT RET</v>
      </c>
    </row>
    <row r="3319" spans="5:8" x14ac:dyDescent="0.25">
      <c r="E3319" t="str">
        <f>""</f>
        <v/>
      </c>
      <c r="F3319" t="str">
        <f>""</f>
        <v/>
      </c>
      <c r="H3319" t="str">
        <f t="shared" si="71"/>
        <v>TEXAS COUNTY &amp; DISTRICT RET</v>
      </c>
    </row>
    <row r="3320" spans="5:8" x14ac:dyDescent="0.25">
      <c r="E3320" t="str">
        <f>""</f>
        <v/>
      </c>
      <c r="F3320" t="str">
        <f>""</f>
        <v/>
      </c>
      <c r="H3320" t="str">
        <f t="shared" si="71"/>
        <v>TEXAS COUNTY &amp; DISTRICT RET</v>
      </c>
    </row>
    <row r="3321" spans="5:8" x14ac:dyDescent="0.25">
      <c r="E3321" t="str">
        <f>""</f>
        <v/>
      </c>
      <c r="F3321" t="str">
        <f>""</f>
        <v/>
      </c>
      <c r="H3321" t="str">
        <f t="shared" si="71"/>
        <v>TEXAS COUNTY &amp; DISTRICT RET</v>
      </c>
    </row>
    <row r="3322" spans="5:8" x14ac:dyDescent="0.25">
      <c r="E3322" t="str">
        <f>""</f>
        <v/>
      </c>
      <c r="F3322" t="str">
        <f>""</f>
        <v/>
      </c>
      <c r="H3322" t="str">
        <f t="shared" si="71"/>
        <v>TEXAS COUNTY &amp; DISTRICT RET</v>
      </c>
    </row>
    <row r="3323" spans="5:8" x14ac:dyDescent="0.25">
      <c r="E3323" t="str">
        <f>""</f>
        <v/>
      </c>
      <c r="F3323" t="str">
        <f>""</f>
        <v/>
      </c>
      <c r="H3323" t="str">
        <f t="shared" si="71"/>
        <v>TEXAS COUNTY &amp; DISTRICT RET</v>
      </c>
    </row>
    <row r="3324" spans="5:8" x14ac:dyDescent="0.25">
      <c r="E3324" t="str">
        <f>""</f>
        <v/>
      </c>
      <c r="F3324" t="str">
        <f>""</f>
        <v/>
      </c>
      <c r="H3324" t="str">
        <f t="shared" si="71"/>
        <v>TEXAS COUNTY &amp; DISTRICT RET</v>
      </c>
    </row>
    <row r="3325" spans="5:8" x14ac:dyDescent="0.25">
      <c r="E3325" t="str">
        <f>""</f>
        <v/>
      </c>
      <c r="F3325" t="str">
        <f>""</f>
        <v/>
      </c>
      <c r="H3325" t="str">
        <f t="shared" si="71"/>
        <v>TEXAS COUNTY &amp; DISTRICT RET</v>
      </c>
    </row>
    <row r="3326" spans="5:8" x14ac:dyDescent="0.25">
      <c r="E3326" t="str">
        <f>""</f>
        <v/>
      </c>
      <c r="F3326" t="str">
        <f>""</f>
        <v/>
      </c>
      <c r="H3326" t="str">
        <f t="shared" si="71"/>
        <v>TEXAS COUNTY &amp; DISTRICT RET</v>
      </c>
    </row>
    <row r="3327" spans="5:8" x14ac:dyDescent="0.25">
      <c r="E3327" t="str">
        <f>""</f>
        <v/>
      </c>
      <c r="F3327" t="str">
        <f>""</f>
        <v/>
      </c>
      <c r="H3327" t="str">
        <f t="shared" si="71"/>
        <v>TEXAS COUNTY &amp; DISTRICT RET</v>
      </c>
    </row>
    <row r="3328" spans="5:8" x14ac:dyDescent="0.25">
      <c r="E3328" t="str">
        <f>""</f>
        <v/>
      </c>
      <c r="F3328" t="str">
        <f>""</f>
        <v/>
      </c>
      <c r="H3328" t="str">
        <f t="shared" si="71"/>
        <v>TEXAS COUNTY &amp; DISTRICT RET</v>
      </c>
    </row>
    <row r="3329" spans="1:8" x14ac:dyDescent="0.25">
      <c r="E3329" t="str">
        <f>""</f>
        <v/>
      </c>
      <c r="F3329" t="str">
        <f>""</f>
        <v/>
      </c>
      <c r="H3329" t="str">
        <f t="shared" si="71"/>
        <v>TEXAS COUNTY &amp; DISTRICT RET</v>
      </c>
    </row>
    <row r="3330" spans="1:8" x14ac:dyDescent="0.25">
      <c r="E3330" t="str">
        <f>""</f>
        <v/>
      </c>
      <c r="F3330" t="str">
        <f>""</f>
        <v/>
      </c>
      <c r="H3330" t="str">
        <f t="shared" si="71"/>
        <v>TEXAS COUNTY &amp; DISTRICT RET</v>
      </c>
    </row>
    <row r="3331" spans="1:8" x14ac:dyDescent="0.25">
      <c r="E3331" t="str">
        <f>""</f>
        <v/>
      </c>
      <c r="F3331" t="str">
        <f>""</f>
        <v/>
      </c>
      <c r="H3331" t="str">
        <f t="shared" si="71"/>
        <v>TEXAS COUNTY &amp; DISTRICT RET</v>
      </c>
    </row>
    <row r="3332" spans="1:8" x14ac:dyDescent="0.25">
      <c r="E3332" t="str">
        <f>""</f>
        <v/>
      </c>
      <c r="F3332" t="str">
        <f>""</f>
        <v/>
      </c>
      <c r="H3332" t="str">
        <f t="shared" si="71"/>
        <v>TEXAS COUNTY &amp; DISTRICT RET</v>
      </c>
    </row>
    <row r="3333" spans="1:8" x14ac:dyDescent="0.25">
      <c r="E3333" t="str">
        <f>""</f>
        <v/>
      </c>
      <c r="F3333" t="str">
        <f>""</f>
        <v/>
      </c>
      <c r="H3333" t="str">
        <f t="shared" si="71"/>
        <v>TEXAS COUNTY &amp; DISTRICT RET</v>
      </c>
    </row>
    <row r="3334" spans="1:8" x14ac:dyDescent="0.25">
      <c r="E3334" t="str">
        <f>""</f>
        <v/>
      </c>
      <c r="F3334" t="str">
        <f>""</f>
        <v/>
      </c>
      <c r="H3334" t="str">
        <f t="shared" si="71"/>
        <v>TEXAS COUNTY &amp; DISTRICT RET</v>
      </c>
    </row>
    <row r="3335" spans="1:8" x14ac:dyDescent="0.25">
      <c r="E3335" t="str">
        <f>"RET201911263511"</f>
        <v>RET201911263511</v>
      </c>
      <c r="F3335" t="str">
        <f>"TEXAS COUNTY  DISTRICT RET"</f>
        <v>TEXAS COUNTY  DISTRICT RET</v>
      </c>
      <c r="G3335" s="2">
        <v>6373.46</v>
      </c>
      <c r="H3335" t="str">
        <f>"TEXAS COUNTY  DISTRICT RET"</f>
        <v>TEXAS COUNTY  DISTRICT RET</v>
      </c>
    </row>
    <row r="3336" spans="1:8" x14ac:dyDescent="0.25">
      <c r="E3336" t="str">
        <f>""</f>
        <v/>
      </c>
      <c r="F3336" t="str">
        <f>""</f>
        <v/>
      </c>
      <c r="H3336" t="str">
        <f>"TEXAS COUNTY  DISTRICT RET"</f>
        <v>TEXAS COUNTY  DISTRICT RET</v>
      </c>
    </row>
    <row r="3337" spans="1:8" x14ac:dyDescent="0.25">
      <c r="E3337" t="str">
        <f>"RET201911263512"</f>
        <v>RET201911263512</v>
      </c>
      <c r="F3337" t="str">
        <f>"TEXAS COUNTY &amp; DISTRICT RET"</f>
        <v>TEXAS COUNTY &amp; DISTRICT RET</v>
      </c>
      <c r="G3337" s="2">
        <v>7995.89</v>
      </c>
      <c r="H3337" t="str">
        <f>"TEXAS COUNTY &amp; DISTRICT RET"</f>
        <v>TEXAS COUNTY &amp; DISTRICT RET</v>
      </c>
    </row>
    <row r="3338" spans="1:8" x14ac:dyDescent="0.25">
      <c r="E3338" t="str">
        <f>""</f>
        <v/>
      </c>
      <c r="F3338" t="str">
        <f>""</f>
        <v/>
      </c>
      <c r="H3338" t="str">
        <f>"TEXAS COUNTY &amp; DISTRICT RET"</f>
        <v>TEXAS COUNTY &amp; DISTRICT RET</v>
      </c>
    </row>
    <row r="3339" spans="1:8" x14ac:dyDescent="0.25">
      <c r="A3339" t="s">
        <v>461</v>
      </c>
      <c r="B3339">
        <v>47705</v>
      </c>
      <c r="C3339" s="2">
        <v>1484</v>
      </c>
      <c r="D3339" s="1">
        <v>43794</v>
      </c>
      <c r="E3339" t="str">
        <f>"LEG201910302805"</f>
        <v>LEG201910302805</v>
      </c>
      <c r="F3339" t="str">
        <f>"TEXAS LEGAL PROTECTION PLAN"</f>
        <v>TEXAS LEGAL PROTECTION PLAN</v>
      </c>
      <c r="G3339" s="2">
        <v>270</v>
      </c>
      <c r="H3339" t="str">
        <f>"TEXAS LEGAL PROTECTION PLAN"</f>
        <v>TEXAS LEGAL PROTECTION PLAN</v>
      </c>
    </row>
    <row r="3340" spans="1:8" x14ac:dyDescent="0.25">
      <c r="E3340" t="str">
        <f>"LEG201911133212"</f>
        <v>LEG201911133212</v>
      </c>
      <c r="F3340" t="str">
        <f>"TEXAS LEGAL PROTECTION PLAN"</f>
        <v>TEXAS LEGAL PROTECTION PLAN</v>
      </c>
      <c r="G3340" s="2">
        <v>270</v>
      </c>
      <c r="H3340" t="str">
        <f>"TEXAS LEGAL PROTECTION PLAN"</f>
        <v>TEXAS LEGAL PROTECTION PLAN</v>
      </c>
    </row>
    <row r="3341" spans="1:8" x14ac:dyDescent="0.25">
      <c r="E3341" t="str">
        <f>"LGF201910302805"</f>
        <v>LGF201910302805</v>
      </c>
      <c r="F3341" t="str">
        <f>"TEXAS LEGAL PROTECTION PLAN"</f>
        <v>TEXAS LEGAL PROTECTION PLAN</v>
      </c>
      <c r="G3341" s="2">
        <v>472</v>
      </c>
      <c r="H3341" t="str">
        <f>"TEXAS LEGAL PROTECTION PLAN"</f>
        <v>TEXAS LEGAL PROTECTION PLAN</v>
      </c>
    </row>
    <row r="3342" spans="1:8" x14ac:dyDescent="0.25">
      <c r="E3342" t="str">
        <f>"LGF201911133212"</f>
        <v>LGF201911133212</v>
      </c>
      <c r="F3342" t="str">
        <f>"TEXAS LEGAL PROTECTION PLAN"</f>
        <v>TEXAS LEGAL PROTECTION PLAN</v>
      </c>
      <c r="G3342" s="2">
        <v>472</v>
      </c>
      <c r="H3342" t="str">
        <f>"TEXAS LEGAL PROTECTION PLAN"</f>
        <v>TEXAS LEGAL PROTECTION PLAN</v>
      </c>
    </row>
    <row r="3343" spans="1:8" x14ac:dyDescent="0.25">
      <c r="A3343" t="s">
        <v>462</v>
      </c>
      <c r="B3343">
        <v>47676</v>
      </c>
      <c r="C3343" s="2">
        <v>212.65</v>
      </c>
      <c r="D3343" s="1">
        <v>43770</v>
      </c>
      <c r="E3343" t="str">
        <f>"SL9201910302805"</f>
        <v>SL9201910302805</v>
      </c>
      <c r="F3343" t="str">
        <f>"STUDENT LOAN"</f>
        <v>STUDENT LOAN</v>
      </c>
      <c r="G3343" s="2">
        <v>212.65</v>
      </c>
      <c r="H3343" t="str">
        <f>"STUDENT LOAN"</f>
        <v>STUDENT LOAN</v>
      </c>
    </row>
    <row r="3344" spans="1:8" x14ac:dyDescent="0.25">
      <c r="A3344" t="s">
        <v>462</v>
      </c>
      <c r="B3344">
        <v>47696</v>
      </c>
      <c r="C3344" s="2">
        <v>212.65</v>
      </c>
      <c r="D3344" s="1">
        <v>43784</v>
      </c>
      <c r="E3344" t="str">
        <f>"SL9201911133212"</f>
        <v>SL9201911133212</v>
      </c>
      <c r="F3344" t="str">
        <f>"STUDENT LOAN"</f>
        <v>STUDENT LOAN</v>
      </c>
      <c r="G3344" s="2">
        <v>212.65</v>
      </c>
      <c r="H3344" t="str">
        <f>"STUDENT LOAN"</f>
        <v>STUDENT LOAN</v>
      </c>
    </row>
    <row r="3345" spans="1:8" x14ac:dyDescent="0.25">
      <c r="A3345" t="s">
        <v>462</v>
      </c>
      <c r="B3345">
        <v>47720</v>
      </c>
      <c r="C3345" s="2">
        <v>212.65</v>
      </c>
      <c r="D3345" s="1">
        <v>43796</v>
      </c>
      <c r="E3345" t="str">
        <f>"SL9201911263510"</f>
        <v>SL9201911263510</v>
      </c>
      <c r="F3345" t="str">
        <f>"STUDENT LOAN"</f>
        <v>STUDENT LOAN</v>
      </c>
      <c r="G3345" s="2">
        <v>212.65</v>
      </c>
      <c r="H3345" t="str">
        <f>"STUDENT LOAN"</f>
        <v>STUDENT LOAN</v>
      </c>
    </row>
    <row r="3346" spans="1:8" x14ac:dyDescent="0.25">
      <c r="A3346" t="s">
        <v>463</v>
      </c>
      <c r="B3346">
        <v>47730</v>
      </c>
      <c r="C3346" s="2">
        <v>270</v>
      </c>
      <c r="D3346" s="1">
        <v>43799</v>
      </c>
      <c r="E3346" t="str">
        <f>"201912053788"</f>
        <v>201912053788</v>
      </c>
      <c r="F3346" t="str">
        <f>"MISCELLANEOUS - ADUL"</f>
        <v>MISCELLANEOUS - ADUL</v>
      </c>
      <c r="G3346" s="2">
        <v>270</v>
      </c>
      <c r="H3346" t="str">
        <f>"ACADEMY"</f>
        <v>ACADEMY</v>
      </c>
    </row>
    <row r="3347" spans="1:8" x14ac:dyDescent="0.25">
      <c r="A3347" t="s">
        <v>464</v>
      </c>
      <c r="B3347">
        <v>47731</v>
      </c>
      <c r="C3347" s="2">
        <v>40</v>
      </c>
      <c r="D3347" s="1">
        <v>43799</v>
      </c>
      <c r="E3347" t="str">
        <f>"201912053789"</f>
        <v>201912053789</v>
      </c>
      <c r="F3347" t="str">
        <f>""</f>
        <v/>
      </c>
      <c r="G3347" s="2">
        <v>40</v>
      </c>
      <c r="H3347" t="str">
        <f>"ALLSTATE FIRE &amp; CASUALTY INS"</f>
        <v>ALLSTATE FIRE &amp; CASUALTY INS</v>
      </c>
    </row>
    <row r="3348" spans="1:8" x14ac:dyDescent="0.25">
      <c r="A3348" t="s">
        <v>465</v>
      </c>
      <c r="B3348">
        <v>47732</v>
      </c>
      <c r="C3348" s="2">
        <v>72</v>
      </c>
      <c r="D3348" s="1">
        <v>43799</v>
      </c>
      <c r="E3348" t="str">
        <f>"201912053790"</f>
        <v>201912053790</v>
      </c>
      <c r="F3348" t="str">
        <f>"MISC"</f>
        <v>MISC</v>
      </c>
      <c r="G3348" s="2">
        <v>72</v>
      </c>
      <c r="H3348" t="str">
        <f>"AMERICAS BEST VALUE INN"</f>
        <v>AMERICAS BEST VALUE INN</v>
      </c>
    </row>
    <row r="3349" spans="1:8" x14ac:dyDescent="0.25">
      <c r="A3349" t="s">
        <v>466</v>
      </c>
      <c r="B3349">
        <v>47733</v>
      </c>
      <c r="C3349" s="2">
        <v>420</v>
      </c>
      <c r="D3349" s="1">
        <v>43799</v>
      </c>
      <c r="E3349" t="str">
        <f>"201912053791"</f>
        <v>201912053791</v>
      </c>
      <c r="F3349" t="str">
        <f>"MISCELLANEOUS"</f>
        <v>MISCELLANEOUS</v>
      </c>
      <c r="G3349" s="2">
        <v>420</v>
      </c>
      <c r="H3349" t="str">
        <f>"ASIF H. PIASLA"</f>
        <v>ASIF H. PIASLA</v>
      </c>
    </row>
    <row r="3350" spans="1:8" x14ac:dyDescent="0.25">
      <c r="A3350" t="s">
        <v>467</v>
      </c>
      <c r="B3350">
        <v>47734</v>
      </c>
      <c r="C3350" s="2">
        <v>260</v>
      </c>
      <c r="D3350" s="1">
        <v>43799</v>
      </c>
      <c r="E3350" t="str">
        <f>"201912053792"</f>
        <v>201912053792</v>
      </c>
      <c r="F3350" t="str">
        <f>"MISCELLANEOUS"</f>
        <v>MISCELLANEOUS</v>
      </c>
      <c r="G3350" s="2">
        <v>260</v>
      </c>
      <c r="H3350" t="str">
        <f>"BRADLEY CAHOON"</f>
        <v>BRADLEY CAHOON</v>
      </c>
    </row>
    <row r="3351" spans="1:8" x14ac:dyDescent="0.25">
      <c r="A3351" t="s">
        <v>468</v>
      </c>
      <c r="B3351">
        <v>47735</v>
      </c>
      <c r="C3351" s="2">
        <v>403.87</v>
      </c>
      <c r="D3351" s="1">
        <v>43799</v>
      </c>
      <c r="E3351" t="str">
        <f>"201912053793"</f>
        <v>201912053793</v>
      </c>
      <c r="F3351" t="str">
        <f>"MISCELLANEO"</f>
        <v>MISCELLANEO</v>
      </c>
      <c r="G3351" s="2">
        <v>403.87</v>
      </c>
      <c r="H3351" t="str">
        <f>"BRANTENICA CLOUD"</f>
        <v>BRANTENICA CLOUD</v>
      </c>
    </row>
    <row r="3352" spans="1:8" x14ac:dyDescent="0.25">
      <c r="A3352" t="s">
        <v>469</v>
      </c>
      <c r="B3352">
        <v>47736</v>
      </c>
      <c r="C3352" s="2">
        <v>100</v>
      </c>
      <c r="D3352" s="1">
        <v>43799</v>
      </c>
      <c r="E3352" t="str">
        <f>"201912053794"</f>
        <v>201912053794</v>
      </c>
      <c r="F3352" t="str">
        <f>"MISCEL"</f>
        <v>MISCEL</v>
      </c>
      <c r="G3352" s="2">
        <v>100</v>
      </c>
      <c r="H3352" t="str">
        <f>"BRENHAM NATIONAL BANK"</f>
        <v>BRENHAM NATIONAL BANK</v>
      </c>
    </row>
    <row r="3353" spans="1:8" x14ac:dyDescent="0.25">
      <c r="A3353" t="s">
        <v>470</v>
      </c>
      <c r="B3353">
        <v>47737</v>
      </c>
      <c r="C3353" s="2">
        <v>275</v>
      </c>
      <c r="D3353" s="1">
        <v>43799</v>
      </c>
      <c r="E3353" t="str">
        <f>"201912053795"</f>
        <v>201912053795</v>
      </c>
      <c r="F3353" t="str">
        <f>""</f>
        <v/>
      </c>
      <c r="G3353" s="2">
        <v>275</v>
      </c>
      <c r="H3353" t="str">
        <f>"BRENHAM YOUTH FOOTBALL LEAGUE"</f>
        <v>BRENHAM YOUTH FOOTBALL LEAGUE</v>
      </c>
    </row>
    <row r="3354" spans="1:8" x14ac:dyDescent="0.25">
      <c r="A3354" t="s">
        <v>471</v>
      </c>
      <c r="B3354">
        <v>47738</v>
      </c>
      <c r="C3354" s="2">
        <v>20</v>
      </c>
      <c r="D3354" s="1">
        <v>43799</v>
      </c>
      <c r="E3354" t="str">
        <f>"201912053796"</f>
        <v>201912053796</v>
      </c>
      <c r="F3354" t="str">
        <f>"MI"</f>
        <v>MI</v>
      </c>
      <c r="G3354" s="2">
        <v>20</v>
      </c>
      <c r="H3354" t="str">
        <f>"BURLESON COUNTY TREASURER"</f>
        <v>BURLESON COUNTY TREASURER</v>
      </c>
    </row>
    <row r="3355" spans="1:8" x14ac:dyDescent="0.25">
      <c r="A3355" t="s">
        <v>472</v>
      </c>
      <c r="B3355">
        <v>47739</v>
      </c>
      <c r="C3355" s="2">
        <v>50</v>
      </c>
      <c r="D3355" s="1">
        <v>43799</v>
      </c>
      <c r="E3355" t="str">
        <f>"201912053797"</f>
        <v>201912053797</v>
      </c>
      <c r="F3355" t="str">
        <f>"MISCELLANE"</f>
        <v>MISCELLANE</v>
      </c>
      <c r="G3355" s="2">
        <v>50</v>
      </c>
      <c r="H3355" t="str">
        <f>"BURTON SHORT STOP"</f>
        <v>BURTON SHORT STOP</v>
      </c>
    </row>
    <row r="3356" spans="1:8" x14ac:dyDescent="0.25">
      <c r="A3356" t="s">
        <v>473</v>
      </c>
      <c r="B3356">
        <v>47740</v>
      </c>
      <c r="C3356" s="2">
        <v>38</v>
      </c>
      <c r="D3356" s="1">
        <v>43799</v>
      </c>
      <c r="E3356" t="str">
        <f>"201912053798"</f>
        <v>201912053798</v>
      </c>
      <c r="F3356" t="str">
        <f>"MISCELLANEOUS -"</f>
        <v>MISCELLANEOUS -</v>
      </c>
      <c r="G3356" s="2">
        <v>38</v>
      </c>
      <c r="H3356" t="str">
        <f>"CEFCO #0099"</f>
        <v>CEFCO #0099</v>
      </c>
    </row>
    <row r="3357" spans="1:8" x14ac:dyDescent="0.25">
      <c r="A3357" t="s">
        <v>474</v>
      </c>
      <c r="B3357">
        <v>47741</v>
      </c>
      <c r="C3357" s="2">
        <v>110</v>
      </c>
      <c r="D3357" s="1">
        <v>43799</v>
      </c>
      <c r="E3357" t="str">
        <f>"201912053799"</f>
        <v>201912053799</v>
      </c>
      <c r="F3357" t="str">
        <f>""</f>
        <v/>
      </c>
      <c r="G3357" s="2">
        <v>110</v>
      </c>
      <c r="H3357" t="str">
        <f>"CENTRAL MUTUAL INSURANCE CO."</f>
        <v>CENTRAL MUTUAL INSURANCE CO.</v>
      </c>
    </row>
    <row r="3358" spans="1:8" x14ac:dyDescent="0.25">
      <c r="A3358" t="s">
        <v>475</v>
      </c>
      <c r="B3358">
        <v>47742</v>
      </c>
      <c r="C3358" s="2">
        <v>100</v>
      </c>
      <c r="D3358" s="1">
        <v>43799</v>
      </c>
      <c r="E3358" t="str">
        <f>"201912053800"</f>
        <v>201912053800</v>
      </c>
      <c r="F3358" t="str">
        <f>"MISCELLANEO"</f>
        <v>MISCELLANEO</v>
      </c>
      <c r="G3358" s="2">
        <v>100</v>
      </c>
      <c r="H3358" t="str">
        <f>"CHASE BANK FRAUD"</f>
        <v>CHASE BANK FRAUD</v>
      </c>
    </row>
    <row r="3359" spans="1:8" x14ac:dyDescent="0.25">
      <c r="A3359" t="s">
        <v>476</v>
      </c>
      <c r="B3359">
        <v>47743</v>
      </c>
      <c r="C3359" s="2">
        <v>110</v>
      </c>
      <c r="D3359" s="1">
        <v>43799</v>
      </c>
      <c r="E3359" t="str">
        <f>"201912053801"</f>
        <v>201912053801</v>
      </c>
      <c r="F3359" t="str">
        <f>"MISCELL"</f>
        <v>MISCELL</v>
      </c>
      <c r="G3359" s="2">
        <v>110</v>
      </c>
      <c r="H3359" t="str">
        <f>"CHERYL LYNN STAMPLEY"</f>
        <v>CHERYL LYNN STAMPLEY</v>
      </c>
    </row>
    <row r="3360" spans="1:8" x14ac:dyDescent="0.25">
      <c r="A3360" t="s">
        <v>477</v>
      </c>
      <c r="B3360">
        <v>47744</v>
      </c>
      <c r="C3360" s="2">
        <v>310</v>
      </c>
      <c r="D3360" s="1">
        <v>43799</v>
      </c>
      <c r="E3360" t="str">
        <f>"201912053802"</f>
        <v>201912053802</v>
      </c>
      <c r="F3360" t="str">
        <f>""</f>
        <v/>
      </c>
      <c r="G3360" s="2">
        <v>310</v>
      </c>
      <c r="H3360" t="str">
        <f>"CIRCLE 8 CRANE SERVICES  LLC"</f>
        <v>CIRCLE 8 CRANE SERVICES  LLC</v>
      </c>
    </row>
    <row r="3361" spans="1:8" x14ac:dyDescent="0.25">
      <c r="A3361" t="s">
        <v>478</v>
      </c>
      <c r="B3361">
        <v>47745</v>
      </c>
      <c r="C3361" s="2">
        <v>500</v>
      </c>
      <c r="D3361" s="1">
        <v>43799</v>
      </c>
      <c r="E3361" t="str">
        <f>"201912053803"</f>
        <v>201912053803</v>
      </c>
      <c r="F3361" t="str">
        <f>"MISCELLANEOUS"</f>
        <v>MISCELLANEOUS</v>
      </c>
      <c r="G3361" s="2">
        <v>500</v>
      </c>
      <c r="H3361" t="str">
        <f>"CLAY NOHAVITZA"</f>
        <v>CLAY NOHAVITZA</v>
      </c>
    </row>
    <row r="3362" spans="1:8" x14ac:dyDescent="0.25">
      <c r="A3362" t="s">
        <v>479</v>
      </c>
      <c r="B3362">
        <v>47746</v>
      </c>
      <c r="C3362" s="2">
        <v>125</v>
      </c>
      <c r="D3362" s="1">
        <v>43799</v>
      </c>
      <c r="E3362" t="str">
        <f>"201912053804"</f>
        <v>201912053804</v>
      </c>
      <c r="F3362" t="str">
        <f>"MISCELLANEOUS"</f>
        <v>MISCELLANEOUS</v>
      </c>
      <c r="G3362" s="2">
        <v>125</v>
      </c>
      <c r="H3362" t="str">
        <f>"COLLIER FARMS"</f>
        <v>COLLIER FARMS</v>
      </c>
    </row>
    <row r="3363" spans="1:8" x14ac:dyDescent="0.25">
      <c r="A3363" t="s">
        <v>480</v>
      </c>
      <c r="B3363">
        <v>47747</v>
      </c>
      <c r="C3363" s="2">
        <v>50</v>
      </c>
      <c r="D3363" s="1">
        <v>43799</v>
      </c>
      <c r="E3363" t="str">
        <f>"201912053805"</f>
        <v>201912053805</v>
      </c>
      <c r="F3363" t="str">
        <f>"MI"</f>
        <v>MI</v>
      </c>
      <c r="G3363" s="2">
        <v>50</v>
      </c>
      <c r="H3363" t="str">
        <f>"CRIME VICTIM COMPENSATION"</f>
        <v>CRIME VICTIM COMPENSATION</v>
      </c>
    </row>
    <row r="3364" spans="1:8" x14ac:dyDescent="0.25">
      <c r="A3364" t="s">
        <v>481</v>
      </c>
      <c r="B3364">
        <v>47748</v>
      </c>
      <c r="C3364" s="2">
        <v>660</v>
      </c>
      <c r="D3364" s="1">
        <v>43799</v>
      </c>
      <c r="E3364" t="str">
        <f>"201912053806"</f>
        <v>201912053806</v>
      </c>
      <c r="F3364" t="str">
        <f>"MISCELL"</f>
        <v>MISCELL</v>
      </c>
      <c r="G3364" s="2">
        <v>660</v>
      </c>
      <c r="H3364" t="str">
        <f>"CVC ATTORNEY GENERAL"</f>
        <v>CVC ATTORNEY GENERAL</v>
      </c>
    </row>
    <row r="3365" spans="1:8" x14ac:dyDescent="0.25">
      <c r="A3365" t="s">
        <v>482</v>
      </c>
      <c r="B3365">
        <v>47749</v>
      </c>
      <c r="C3365" s="2">
        <v>100</v>
      </c>
      <c r="D3365" s="1">
        <v>43799</v>
      </c>
      <c r="E3365" t="str">
        <f>"201912053807"</f>
        <v>201912053807</v>
      </c>
      <c r="F3365" t="str">
        <f>"MISCELLANEOUS"</f>
        <v>MISCELLANEOUS</v>
      </c>
      <c r="G3365" s="2">
        <v>100</v>
      </c>
      <c r="H3365" t="str">
        <f>"DEANNA DIAMOND"</f>
        <v>DEANNA DIAMOND</v>
      </c>
    </row>
    <row r="3366" spans="1:8" x14ac:dyDescent="0.25">
      <c r="A3366" t="s">
        <v>483</v>
      </c>
      <c r="B3366">
        <v>47750</v>
      </c>
      <c r="C3366" s="2">
        <v>165</v>
      </c>
      <c r="D3366" s="1">
        <v>43799</v>
      </c>
      <c r="E3366" t="str">
        <f>"201912053808"</f>
        <v>201912053808</v>
      </c>
      <c r="F3366" t="str">
        <f>"MISCELLANEOUS"</f>
        <v>MISCELLANEOUS</v>
      </c>
      <c r="G3366" s="2">
        <v>165</v>
      </c>
      <c r="H3366" t="str">
        <f>"DEBORAH TATUM"</f>
        <v>DEBORAH TATUM</v>
      </c>
    </row>
    <row r="3367" spans="1:8" x14ac:dyDescent="0.25">
      <c r="A3367" t="s">
        <v>484</v>
      </c>
      <c r="B3367">
        <v>47751</v>
      </c>
      <c r="C3367" s="2">
        <v>87</v>
      </c>
      <c r="D3367" s="1">
        <v>43799</v>
      </c>
      <c r="E3367" t="str">
        <f>"201912053809"</f>
        <v>201912053809</v>
      </c>
      <c r="F3367" t="str">
        <f>"MISCELLANEOUS -"</f>
        <v>MISCELLANEOUS -</v>
      </c>
      <c r="G3367" s="2">
        <v>87</v>
      </c>
      <c r="H3367" t="str">
        <f>"DIME BOX PTO"</f>
        <v>DIME BOX PTO</v>
      </c>
    </row>
    <row r="3368" spans="1:8" x14ac:dyDescent="0.25">
      <c r="A3368" t="s">
        <v>485</v>
      </c>
      <c r="B3368">
        <v>47752</v>
      </c>
      <c r="C3368" s="2">
        <v>55</v>
      </c>
      <c r="D3368" s="1">
        <v>43799</v>
      </c>
      <c r="E3368" t="str">
        <f>"201912053810"</f>
        <v>201912053810</v>
      </c>
      <c r="F3368" t="str">
        <f>"MISCELLANEOUS"</f>
        <v>MISCELLANEOUS</v>
      </c>
      <c r="G3368" s="2">
        <v>55</v>
      </c>
      <c r="H3368" t="str">
        <f>"DOLLAR GENERAL"</f>
        <v>DOLLAR GENERAL</v>
      </c>
    </row>
    <row r="3369" spans="1:8" x14ac:dyDescent="0.25">
      <c r="A3369" t="s">
        <v>486</v>
      </c>
      <c r="B3369">
        <v>47753</v>
      </c>
      <c r="C3369" s="2">
        <v>410</v>
      </c>
      <c r="D3369" s="1">
        <v>43799</v>
      </c>
      <c r="E3369" t="str">
        <f>"201912053811"</f>
        <v>201912053811</v>
      </c>
      <c r="F3369" t="str">
        <f>"MISCELLANE"</f>
        <v>MISCELLANE</v>
      </c>
      <c r="G3369" s="2">
        <v>410</v>
      </c>
      <c r="H3369" t="str">
        <f>"ELIZABETH BRAZEAL"</f>
        <v>ELIZABETH BRAZEAL</v>
      </c>
    </row>
    <row r="3370" spans="1:8" x14ac:dyDescent="0.25">
      <c r="A3370" t="s">
        <v>487</v>
      </c>
      <c r="B3370">
        <v>47754</v>
      </c>
      <c r="C3370" s="2">
        <v>60</v>
      </c>
      <c r="D3370" s="1">
        <v>43799</v>
      </c>
      <c r="E3370" t="str">
        <f>"201912053812"</f>
        <v>201912053812</v>
      </c>
      <c r="F3370" t="str">
        <f>"MISCELL"</f>
        <v>MISCELL</v>
      </c>
      <c r="G3370" s="2">
        <v>60</v>
      </c>
      <c r="H3370" t="str">
        <f>"ELLEN YARBROUG WIESE"</f>
        <v>ELLEN YARBROUG WIESE</v>
      </c>
    </row>
    <row r="3371" spans="1:8" x14ac:dyDescent="0.25">
      <c r="A3371" t="s">
        <v>488</v>
      </c>
      <c r="B3371">
        <v>47755</v>
      </c>
      <c r="C3371" s="2">
        <v>222</v>
      </c>
      <c r="D3371" s="1">
        <v>43799</v>
      </c>
      <c r="E3371" t="str">
        <f>"201912053813"</f>
        <v>201912053813</v>
      </c>
      <c r="F3371" t="str">
        <f>"MISCELLAN"</f>
        <v>MISCELLAN</v>
      </c>
      <c r="G3371" s="2">
        <v>222</v>
      </c>
      <c r="H3371" t="str">
        <f>"ENERGY TRANSFER CO"</f>
        <v>ENERGY TRANSFER CO</v>
      </c>
    </row>
    <row r="3372" spans="1:8" x14ac:dyDescent="0.25">
      <c r="A3372" t="s">
        <v>489</v>
      </c>
      <c r="B3372">
        <v>47756</v>
      </c>
      <c r="C3372" s="2">
        <v>50</v>
      </c>
      <c r="D3372" s="1">
        <v>43799</v>
      </c>
      <c r="E3372" t="str">
        <f>"201912053814"</f>
        <v>201912053814</v>
      </c>
      <c r="F3372" t="str">
        <f>"MISCELLANEOUS -"</f>
        <v>MISCELLANEOUS -</v>
      </c>
      <c r="G3372" s="2">
        <v>50</v>
      </c>
      <c r="H3372" t="str">
        <f>"FARMERS INS"</f>
        <v>FARMERS INS</v>
      </c>
    </row>
    <row r="3373" spans="1:8" x14ac:dyDescent="0.25">
      <c r="A3373" t="s">
        <v>443</v>
      </c>
      <c r="B3373">
        <v>47757</v>
      </c>
      <c r="C3373" s="2">
        <v>140</v>
      </c>
      <c r="D3373" s="1">
        <v>43799</v>
      </c>
      <c r="E3373" t="str">
        <f>"201912053815"</f>
        <v>201912053815</v>
      </c>
      <c r="F3373" t="str">
        <f>"MISCELLA"</f>
        <v>MISCELLA</v>
      </c>
      <c r="G3373" s="2">
        <v>140</v>
      </c>
      <c r="H3373" t="str">
        <f>"FIRST NATIONAL BANK"</f>
        <v>FIRST NATIONAL BANK</v>
      </c>
    </row>
    <row r="3374" spans="1:8" x14ac:dyDescent="0.25">
      <c r="A3374" t="s">
        <v>490</v>
      </c>
      <c r="B3374">
        <v>47758</v>
      </c>
      <c r="C3374" s="2">
        <v>50</v>
      </c>
      <c r="D3374" s="1">
        <v>43799</v>
      </c>
      <c r="E3374" t="str">
        <f>"201912053816"</f>
        <v>201912053816</v>
      </c>
      <c r="F3374" t="str">
        <f>"MISCELL"</f>
        <v>MISCELL</v>
      </c>
      <c r="G3374" s="2">
        <v>50</v>
      </c>
      <c r="H3374" t="str">
        <f>"GOOD LIFE RANCH  LLC"</f>
        <v>GOOD LIFE RANCH  LLC</v>
      </c>
    </row>
    <row r="3375" spans="1:8" x14ac:dyDescent="0.25">
      <c r="A3375" t="s">
        <v>491</v>
      </c>
      <c r="B3375">
        <v>47759</v>
      </c>
      <c r="C3375" s="2">
        <v>30</v>
      </c>
      <c r="D3375" s="1">
        <v>43799</v>
      </c>
      <c r="E3375" t="str">
        <f>"201912053817"</f>
        <v>201912053817</v>
      </c>
      <c r="F3375" t="str">
        <f>"CH"</f>
        <v>CH</v>
      </c>
      <c r="G3375" s="2">
        <v>30</v>
      </c>
      <c r="H3375" t="str">
        <f>"GREAT MIDWEST INS CO. ATTN: CH"</f>
        <v>GREAT MIDWEST INS CO. ATTN: CH</v>
      </c>
    </row>
    <row r="3376" spans="1:8" x14ac:dyDescent="0.25">
      <c r="A3376" t="s">
        <v>492</v>
      </c>
      <c r="B3376">
        <v>47760</v>
      </c>
      <c r="C3376" s="2">
        <v>475</v>
      </c>
      <c r="D3376" s="1">
        <v>43799</v>
      </c>
      <c r="E3376" t="str">
        <f>"201912053818"</f>
        <v>201912053818</v>
      </c>
      <c r="F3376" t="str">
        <f>"MISCELLANEOU"</f>
        <v>MISCELLANEOU</v>
      </c>
      <c r="G3376" s="2">
        <v>475</v>
      </c>
      <c r="H3376" t="str">
        <f>"HERBERT CARLSON"</f>
        <v>HERBERT CARLSON</v>
      </c>
    </row>
    <row r="3377" spans="1:8" x14ac:dyDescent="0.25">
      <c r="A3377" t="s">
        <v>493</v>
      </c>
      <c r="B3377">
        <v>47761</v>
      </c>
      <c r="C3377" s="2">
        <v>1080</v>
      </c>
      <c r="D3377" s="1">
        <v>43799</v>
      </c>
      <c r="E3377" t="str">
        <f>"201912053819"</f>
        <v>201912053819</v>
      </c>
      <c r="F3377" t="str">
        <f>"M"</f>
        <v>M</v>
      </c>
      <c r="G3377" s="2">
        <v>1080</v>
      </c>
      <c r="H3377" t="str">
        <f>"HHSC ARTS (MAIL CODE 1470)"</f>
        <v>HHSC ARTS (MAIL CODE 1470)</v>
      </c>
    </row>
    <row r="3378" spans="1:8" x14ac:dyDescent="0.25">
      <c r="A3378" t="s">
        <v>494</v>
      </c>
      <c r="B3378">
        <v>47762</v>
      </c>
      <c r="C3378" s="2">
        <v>770</v>
      </c>
      <c r="D3378" s="1">
        <v>43799</v>
      </c>
      <c r="E3378" t="str">
        <f>"201912053820"</f>
        <v>201912053820</v>
      </c>
      <c r="F3378" t="str">
        <f>""</f>
        <v/>
      </c>
      <c r="G3378" s="2">
        <v>770</v>
      </c>
      <c r="H3378" t="str">
        <f>"HHSC-ARTS BILLING (MC E-411)"</f>
        <v>HHSC-ARTS BILLING (MC E-411)</v>
      </c>
    </row>
    <row r="3379" spans="1:8" x14ac:dyDescent="0.25">
      <c r="A3379" t="s">
        <v>495</v>
      </c>
      <c r="B3379">
        <v>47763</v>
      </c>
      <c r="C3379" s="2">
        <v>1000</v>
      </c>
      <c r="D3379" s="1">
        <v>43799</v>
      </c>
      <c r="E3379" t="str">
        <f>"201912053821"</f>
        <v>201912053821</v>
      </c>
      <c r="F3379" t="str">
        <f>"MISCE"</f>
        <v>MISCE</v>
      </c>
      <c r="G3379" s="2">
        <v>1000</v>
      </c>
      <c r="H3379" t="str">
        <f>"JEANETTE SHELBY REALTY"</f>
        <v>JEANETTE SHELBY REALTY</v>
      </c>
    </row>
    <row r="3380" spans="1:8" x14ac:dyDescent="0.25">
      <c r="A3380" t="s">
        <v>496</v>
      </c>
      <c r="B3380">
        <v>47764</v>
      </c>
      <c r="C3380" s="2">
        <v>107.61</v>
      </c>
      <c r="D3380" s="1">
        <v>43799</v>
      </c>
      <c r="E3380" t="str">
        <f>"201912053822"</f>
        <v>201912053822</v>
      </c>
      <c r="F3380" t="str">
        <f>"MISCELLANEOU"</f>
        <v>MISCELLANEOU</v>
      </c>
      <c r="G3380" s="2">
        <v>107.61</v>
      </c>
      <c r="H3380" t="str">
        <f>"JESSICA MCGRATH"</f>
        <v>JESSICA MCGRATH</v>
      </c>
    </row>
    <row r="3381" spans="1:8" x14ac:dyDescent="0.25">
      <c r="A3381" t="s">
        <v>497</v>
      </c>
      <c r="B3381">
        <v>47765</v>
      </c>
      <c r="C3381" s="2">
        <v>615.5</v>
      </c>
      <c r="D3381" s="1">
        <v>43799</v>
      </c>
      <c r="E3381" t="str">
        <f>"201912053823"</f>
        <v>201912053823</v>
      </c>
      <c r="F3381" t="str">
        <f>"MISCELLANEOUS"</f>
        <v>MISCELLANEOUS</v>
      </c>
      <c r="G3381" s="2">
        <v>615.5</v>
      </c>
      <c r="H3381" t="str">
        <f>"JOE GRADY TUCK"</f>
        <v>JOE GRADY TUCK</v>
      </c>
    </row>
    <row r="3382" spans="1:8" x14ac:dyDescent="0.25">
      <c r="A3382" t="s">
        <v>27</v>
      </c>
      <c r="B3382">
        <v>47766</v>
      </c>
      <c r="C3382" s="2">
        <v>100</v>
      </c>
      <c r="D3382" s="1">
        <v>43799</v>
      </c>
      <c r="E3382" t="str">
        <f>"201912053824"</f>
        <v>201912053824</v>
      </c>
      <c r="F3382" t="str">
        <f>"MISCELLA"</f>
        <v>MISCELLA</v>
      </c>
      <c r="G3382" s="2">
        <v>100</v>
      </c>
      <c r="H3382" t="str">
        <f>"BASTROP COUNTY CSCD"</f>
        <v>BASTROP COUNTY CSCD</v>
      </c>
    </row>
    <row r="3383" spans="1:8" x14ac:dyDescent="0.25">
      <c r="A3383" t="s">
        <v>27</v>
      </c>
      <c r="B3383">
        <v>47767</v>
      </c>
      <c r="C3383" s="2">
        <v>100</v>
      </c>
      <c r="D3383" s="1">
        <v>43799</v>
      </c>
      <c r="E3383" t="str">
        <f>"201912053825"</f>
        <v>201912053825</v>
      </c>
      <c r="F3383" t="str">
        <f>"MISCELLA"</f>
        <v>MISCELLA</v>
      </c>
      <c r="G3383" s="2">
        <v>100</v>
      </c>
      <c r="H3383" t="str">
        <f>"BASTROP COUNTY CSCD"</f>
        <v>BASTROP COUNTY CSCD</v>
      </c>
    </row>
    <row r="3384" spans="1:8" x14ac:dyDescent="0.25">
      <c r="A3384" t="s">
        <v>498</v>
      </c>
      <c r="B3384">
        <v>47768</v>
      </c>
      <c r="C3384" s="2">
        <v>10</v>
      </c>
      <c r="D3384" s="1">
        <v>43799</v>
      </c>
      <c r="E3384" t="str">
        <f>"201912053826"</f>
        <v>201912053826</v>
      </c>
      <c r="F3384" t="str">
        <f>"MISCELLANEO"</f>
        <v>MISCELLANEO</v>
      </c>
      <c r="G3384" s="2">
        <v>10</v>
      </c>
      <c r="H3384" t="str">
        <f>"KENNETH BRADSHAW"</f>
        <v>KENNETH BRADSHAW</v>
      </c>
    </row>
    <row r="3385" spans="1:8" x14ac:dyDescent="0.25">
      <c r="A3385" t="s">
        <v>499</v>
      </c>
      <c r="B3385">
        <v>47769</v>
      </c>
      <c r="C3385" s="2">
        <v>110</v>
      </c>
      <c r="D3385" s="1">
        <v>43799</v>
      </c>
      <c r="E3385" t="str">
        <f>"201912053827"</f>
        <v>201912053827</v>
      </c>
      <c r="F3385" t="str">
        <f>""</f>
        <v/>
      </c>
      <c r="G3385" s="2">
        <v>110</v>
      </c>
      <c r="H3385" t="str">
        <f>"LEE COUNTY INDIGENT HEALTH CAR"</f>
        <v>LEE COUNTY INDIGENT HEALTH CAR</v>
      </c>
    </row>
    <row r="3386" spans="1:8" x14ac:dyDescent="0.25">
      <c r="A3386" t="s">
        <v>500</v>
      </c>
      <c r="B3386">
        <v>47770</v>
      </c>
      <c r="C3386" s="2">
        <v>210</v>
      </c>
      <c r="D3386" s="1">
        <v>43799</v>
      </c>
      <c r="E3386" t="str">
        <f>"201912053828"</f>
        <v>201912053828</v>
      </c>
      <c r="F3386" t="str">
        <f>"MISCELL"</f>
        <v>MISCELL</v>
      </c>
      <c r="G3386" s="2">
        <v>210</v>
      </c>
      <c r="H3386" t="str">
        <f>"LEE COUNTY PETROLEUM"</f>
        <v>LEE COUNTY PETROLEUM</v>
      </c>
    </row>
    <row r="3387" spans="1:8" x14ac:dyDescent="0.25">
      <c r="A3387" t="s">
        <v>501</v>
      </c>
      <c r="B3387">
        <v>47771</v>
      </c>
      <c r="C3387" s="2">
        <v>40</v>
      </c>
      <c r="D3387" s="1">
        <v>43799</v>
      </c>
      <c r="E3387" t="str">
        <f>"201912053829"</f>
        <v>201912053829</v>
      </c>
      <c r="F3387" t="str">
        <f>"MISCELLANEOUS - AD"</f>
        <v>MISCELLANEOUS - AD</v>
      </c>
      <c r="G3387" s="2">
        <v>40</v>
      </c>
      <c r="H3387" t="str">
        <f>"METRO PCS"</f>
        <v>METRO PCS</v>
      </c>
    </row>
    <row r="3388" spans="1:8" x14ac:dyDescent="0.25">
      <c r="A3388" t="s">
        <v>502</v>
      </c>
      <c r="B3388">
        <v>47772</v>
      </c>
      <c r="C3388" s="2">
        <v>200</v>
      </c>
      <c r="D3388" s="1">
        <v>43799</v>
      </c>
      <c r="E3388" t="str">
        <f>"201912053830"</f>
        <v>201912053830</v>
      </c>
      <c r="F3388" t="str">
        <f>"MISCELLANEOUS - A"</f>
        <v>MISCELLANEOUS - A</v>
      </c>
      <c r="G3388" s="2">
        <v>200</v>
      </c>
      <c r="H3388" t="str">
        <f>"MIKE HORNE"</f>
        <v>MIKE HORNE</v>
      </c>
    </row>
    <row r="3389" spans="1:8" x14ac:dyDescent="0.25">
      <c r="A3389" t="s">
        <v>503</v>
      </c>
      <c r="B3389">
        <v>47773</v>
      </c>
      <c r="C3389" s="2">
        <v>50</v>
      </c>
      <c r="D3389" s="1">
        <v>43799</v>
      </c>
      <c r="E3389" t="str">
        <f>"201912053831"</f>
        <v>201912053831</v>
      </c>
      <c r="F3389" t="str">
        <f>""</f>
        <v/>
      </c>
      <c r="G3389" s="2">
        <v>50</v>
      </c>
      <c r="H3389" t="str">
        <f>"NABORS CORPORATE SERVICES  INC"</f>
        <v>NABORS CORPORATE SERVICES  INC</v>
      </c>
    </row>
    <row r="3390" spans="1:8" x14ac:dyDescent="0.25">
      <c r="A3390" t="s">
        <v>504</v>
      </c>
      <c r="B3390">
        <v>47774</v>
      </c>
      <c r="C3390" s="2">
        <v>34</v>
      </c>
      <c r="D3390" s="1">
        <v>43799</v>
      </c>
      <c r="E3390" t="str">
        <f>"201912053832"</f>
        <v>201912053832</v>
      </c>
      <c r="F3390" t="str">
        <f>"MISCELLANEOUS"</f>
        <v>MISCELLANEOUS</v>
      </c>
      <c r="G3390" s="2">
        <v>34</v>
      </c>
      <c r="H3390" t="str">
        <f>"PATSY STRATTON"</f>
        <v>PATSY STRATTON</v>
      </c>
    </row>
    <row r="3391" spans="1:8" x14ac:dyDescent="0.25">
      <c r="A3391" t="s">
        <v>505</v>
      </c>
      <c r="B3391">
        <v>47775</v>
      </c>
      <c r="C3391" s="2">
        <v>50</v>
      </c>
      <c r="D3391" s="1">
        <v>43799</v>
      </c>
      <c r="E3391" t="str">
        <f>"201912053833"</f>
        <v>201912053833</v>
      </c>
      <c r="F3391" t="str">
        <f>"MISCELLANE"</f>
        <v>MISCELLANE</v>
      </c>
      <c r="G3391" s="2">
        <v>50</v>
      </c>
      <c r="H3391" t="str">
        <f>"RODERICK HOLCOMBE"</f>
        <v>RODERICK HOLCOMBE</v>
      </c>
    </row>
    <row r="3392" spans="1:8" x14ac:dyDescent="0.25">
      <c r="A3392" t="s">
        <v>506</v>
      </c>
      <c r="B3392">
        <v>47776</v>
      </c>
      <c r="C3392" s="2">
        <v>100</v>
      </c>
      <c r="D3392" s="1">
        <v>43799</v>
      </c>
      <c r="E3392" t="str">
        <f>"201912053834"</f>
        <v>201912053834</v>
      </c>
      <c r="F3392" t="str">
        <f>"MISCELLANEOUS -"</f>
        <v>MISCELLANEOUS -</v>
      </c>
      <c r="G3392" s="2">
        <v>100</v>
      </c>
      <c r="H3392" t="str">
        <f>"RUTH COLEMAN"</f>
        <v>RUTH COLEMAN</v>
      </c>
    </row>
    <row r="3393" spans="1:8" x14ac:dyDescent="0.25">
      <c r="A3393" t="s">
        <v>507</v>
      </c>
      <c r="B3393">
        <v>47777</v>
      </c>
      <c r="C3393" s="2">
        <v>425</v>
      </c>
      <c r="D3393" s="1">
        <v>43799</v>
      </c>
      <c r="E3393" t="str">
        <f>"201912053835"</f>
        <v>201912053835</v>
      </c>
      <c r="F3393" t="str">
        <f>"MISCELLANEOUS -"</f>
        <v>MISCELLANEOUS -</v>
      </c>
      <c r="G3393" s="2">
        <v>425</v>
      </c>
      <c r="H3393" t="str">
        <f>"SHARON KIEKE"</f>
        <v>SHARON KIEKE</v>
      </c>
    </row>
    <row r="3394" spans="1:8" x14ac:dyDescent="0.25">
      <c r="A3394" t="s">
        <v>508</v>
      </c>
      <c r="B3394">
        <v>47778</v>
      </c>
      <c r="C3394" s="2">
        <v>1170</v>
      </c>
      <c r="D3394" s="1">
        <v>43799</v>
      </c>
      <c r="E3394" t="str">
        <f>"201912053836"</f>
        <v>201912053836</v>
      </c>
      <c r="F3394" t="str">
        <f>""</f>
        <v/>
      </c>
      <c r="G3394" s="2">
        <v>1170</v>
      </c>
      <c r="H3394" t="str">
        <f>"SMITHVILLE HOUSING AUTHORITY"</f>
        <v>SMITHVILLE HOUSING AUTHORITY</v>
      </c>
    </row>
    <row r="3395" spans="1:8" x14ac:dyDescent="0.25">
      <c r="A3395" t="s">
        <v>509</v>
      </c>
      <c r="B3395">
        <v>47779</v>
      </c>
      <c r="C3395" s="2">
        <v>130</v>
      </c>
      <c r="D3395" s="1">
        <v>43799</v>
      </c>
      <c r="E3395" t="str">
        <f>"201912053837"</f>
        <v>201912053837</v>
      </c>
      <c r="F3395" t="str">
        <f>"MISCELLANEOUS -"</f>
        <v>MISCELLANEOUS -</v>
      </c>
      <c r="G3395" s="2">
        <v>130</v>
      </c>
      <c r="H3395" t="str">
        <f>"STACEY CROFT"</f>
        <v>STACEY CROFT</v>
      </c>
    </row>
    <row r="3396" spans="1:8" x14ac:dyDescent="0.25">
      <c r="A3396" t="s">
        <v>510</v>
      </c>
      <c r="B3396">
        <v>47780</v>
      </c>
      <c r="C3396" s="2">
        <v>200</v>
      </c>
      <c r="D3396" s="1">
        <v>43799</v>
      </c>
      <c r="E3396" t="str">
        <f>"201912053838"</f>
        <v>201912053838</v>
      </c>
      <c r="F3396" t="str">
        <f>"M"</f>
        <v>M</v>
      </c>
      <c r="G3396" s="2">
        <v>200</v>
      </c>
      <c r="H3396" t="str">
        <f>"STANDARD INSURANCE COMPANY"</f>
        <v>STANDARD INSURANCE COMPANY</v>
      </c>
    </row>
    <row r="3397" spans="1:8" x14ac:dyDescent="0.25">
      <c r="A3397" t="s">
        <v>511</v>
      </c>
      <c r="B3397">
        <v>47781</v>
      </c>
      <c r="C3397" s="2">
        <v>640</v>
      </c>
      <c r="D3397" s="1">
        <v>43799</v>
      </c>
      <c r="E3397" t="str">
        <f>"201912053839"</f>
        <v>201912053839</v>
      </c>
      <c r="F3397" t="str">
        <f>"MISCELLANEOUS - ADUL"</f>
        <v>MISCELLANEOUS - ADUL</v>
      </c>
      <c r="G3397" s="2">
        <v>640</v>
      </c>
      <c r="H3397" t="str">
        <f>"STRIPES"</f>
        <v>STRIPES</v>
      </c>
    </row>
    <row r="3398" spans="1:8" x14ac:dyDescent="0.25">
      <c r="A3398" t="s">
        <v>512</v>
      </c>
      <c r="B3398">
        <v>47782</v>
      </c>
      <c r="C3398" s="2">
        <v>52</v>
      </c>
      <c r="D3398" s="1">
        <v>43799</v>
      </c>
      <c r="E3398" t="str">
        <f>"201912053840"</f>
        <v>201912053840</v>
      </c>
      <c r="F3398" t="str">
        <f>"MISCELLANEOUS"</f>
        <v>MISCELLANEOUS</v>
      </c>
      <c r="G3398" s="2">
        <v>52</v>
      </c>
      <c r="H3398" t="str">
        <f>"STRIPES #5150"</f>
        <v>STRIPES #5150</v>
      </c>
    </row>
    <row r="3399" spans="1:8" x14ac:dyDescent="0.25">
      <c r="A3399" t="s">
        <v>513</v>
      </c>
      <c r="B3399">
        <v>47783</v>
      </c>
      <c r="C3399" s="2">
        <v>290</v>
      </c>
      <c r="D3399" s="1">
        <v>43799</v>
      </c>
      <c r="E3399" t="str">
        <f>"201912053841"</f>
        <v>201912053841</v>
      </c>
      <c r="F3399" t="str">
        <f>""</f>
        <v/>
      </c>
      <c r="G3399" s="2">
        <v>290</v>
      </c>
      <c r="H3399" t="str">
        <f>"TEXAS DPS  RESTITUTION ACCOUNT"</f>
        <v>TEXAS DPS  RESTITUTION ACCOUNT</v>
      </c>
    </row>
    <row r="3400" spans="1:8" x14ac:dyDescent="0.25">
      <c r="A3400" t="s">
        <v>514</v>
      </c>
      <c r="B3400">
        <v>47784</v>
      </c>
      <c r="C3400" s="2">
        <v>170</v>
      </c>
      <c r="D3400" s="1">
        <v>43799</v>
      </c>
      <c r="E3400" t="str">
        <f>"201912053842"</f>
        <v>201912053842</v>
      </c>
      <c r="F3400" t="str">
        <f>"MISCELLAN"</f>
        <v>MISCELLAN</v>
      </c>
      <c r="G3400" s="2">
        <v>170</v>
      </c>
      <c r="H3400" t="str">
        <f>"UNITED FIRE LLOYDS"</f>
        <v>UNITED FIRE LLOYDS</v>
      </c>
    </row>
    <row r="3401" spans="1:8" x14ac:dyDescent="0.25">
      <c r="A3401" t="s">
        <v>515</v>
      </c>
      <c r="B3401">
        <v>47785</v>
      </c>
      <c r="C3401" s="2">
        <v>807.88</v>
      </c>
      <c r="D3401" s="1">
        <v>43799</v>
      </c>
      <c r="E3401" t="str">
        <f>"201912053843"</f>
        <v>201912053843</v>
      </c>
      <c r="F3401" t="str">
        <f>""</f>
        <v/>
      </c>
      <c r="G3401" s="2">
        <v>807.88</v>
      </c>
      <c r="H3401" t="str">
        <f>"WAL-MART RESTITUTION RECOVERY"</f>
        <v>WAL-MART RESTITUTION RECOVERY</v>
      </c>
    </row>
    <row r="3402" spans="1:8" x14ac:dyDescent="0.25">
      <c r="A3402" t="s">
        <v>516</v>
      </c>
      <c r="B3402">
        <v>47786</v>
      </c>
      <c r="C3402" s="2">
        <v>50</v>
      </c>
      <c r="D3402" s="1">
        <v>43799</v>
      </c>
      <c r="E3402" t="str">
        <f>"201912053844"</f>
        <v>201912053844</v>
      </c>
      <c r="F3402" t="str">
        <f>"MISCEL"</f>
        <v>MISCEL</v>
      </c>
      <c r="G3402" s="2">
        <v>50</v>
      </c>
      <c r="H3402" t="str">
        <f>"WASHINGTON COUNTY EMS"</f>
        <v>WASHINGTON COUNTY EMS</v>
      </c>
    </row>
    <row r="3403" spans="1:8" x14ac:dyDescent="0.25">
      <c r="A3403" t="s">
        <v>517</v>
      </c>
      <c r="B3403">
        <v>47787</v>
      </c>
      <c r="C3403" s="2">
        <v>44</v>
      </c>
      <c r="D3403" s="1">
        <v>43799</v>
      </c>
      <c r="E3403" t="str">
        <f>"201912053845"</f>
        <v>201912053845</v>
      </c>
      <c r="F3403" t="str">
        <f>""</f>
        <v/>
      </c>
      <c r="G3403" s="2">
        <v>44</v>
      </c>
      <c r="H3403" t="str">
        <f>"WASHINGTON COUNTY SHERIFF'S OF"</f>
        <v>WASHINGTON COUNTY SHERIFF'S OF</v>
      </c>
    </row>
    <row r="3404" spans="1:8" x14ac:dyDescent="0.25">
      <c r="A3404" t="s">
        <v>518</v>
      </c>
      <c r="B3404">
        <v>47788</v>
      </c>
      <c r="C3404" s="2">
        <v>150</v>
      </c>
      <c r="D3404" s="1">
        <v>43799</v>
      </c>
      <c r="E3404" t="str">
        <f>"201912053846"</f>
        <v>201912053846</v>
      </c>
      <c r="F3404" t="str">
        <f>"MISCELLANEOUS"</f>
        <v>MISCELLANEOUS</v>
      </c>
      <c r="G3404" s="2">
        <v>150</v>
      </c>
      <c r="H3404" t="str">
        <f>"WILLIAM HOLLE"</f>
        <v>WILLIAM HOLLE</v>
      </c>
    </row>
    <row r="3405" spans="1:8" x14ac:dyDescent="0.25">
      <c r="A3405" t="s">
        <v>519</v>
      </c>
      <c r="B3405">
        <v>47789</v>
      </c>
      <c r="C3405" s="2">
        <v>75</v>
      </c>
      <c r="D3405" s="1">
        <v>43799</v>
      </c>
      <c r="E3405" t="str">
        <f>"201912053847"</f>
        <v>201912053847</v>
      </c>
      <c r="F3405" t="str">
        <f>"MIS"</f>
        <v>MIS</v>
      </c>
      <c r="G3405" s="2">
        <v>75</v>
      </c>
      <c r="H3405" t="str">
        <f>"BASTROP COUNTY TREASURER"</f>
        <v>BASTROP COUNTY TREASURER</v>
      </c>
    </row>
    <row r="3406" spans="1:8" x14ac:dyDescent="0.25">
      <c r="A3406" t="s">
        <v>520</v>
      </c>
      <c r="B3406">
        <v>47790</v>
      </c>
      <c r="C3406" s="2">
        <v>4688</v>
      </c>
      <c r="D3406" s="1">
        <v>43799</v>
      </c>
      <c r="E3406" t="str">
        <f>"201912053848"</f>
        <v>201912053848</v>
      </c>
      <c r="F3406" t="str">
        <f>""</f>
        <v/>
      </c>
      <c r="G3406" s="2">
        <v>4688</v>
      </c>
      <c r="H3406" t="str">
        <f>"WASHINGTON COUNTY DISTRICT CLE"</f>
        <v>WASHINGTON COUNTY DISTRICT CLE</v>
      </c>
    </row>
    <row r="3407" spans="1:8" x14ac:dyDescent="0.25">
      <c r="A3407" t="s">
        <v>513</v>
      </c>
      <c r="B3407">
        <v>47791</v>
      </c>
      <c r="C3407" s="2">
        <v>1442</v>
      </c>
      <c r="D3407" s="1">
        <v>43799</v>
      </c>
      <c r="E3407" t="str">
        <f>"201912053849"</f>
        <v>201912053849</v>
      </c>
      <c r="F3407" t="str">
        <f>""</f>
        <v/>
      </c>
      <c r="G3407" s="2">
        <v>1442</v>
      </c>
      <c r="H3407" t="str">
        <f>"TEXAS DPS  RESTITUTION ACCOUNT"</f>
        <v>TEXAS DPS  RESTITUTION ACCOUNT</v>
      </c>
    </row>
    <row r="3408" spans="1:8" x14ac:dyDescent="0.25">
      <c r="A3408" t="s">
        <v>521</v>
      </c>
      <c r="B3408">
        <v>47792</v>
      </c>
      <c r="C3408" s="2">
        <v>7401.2</v>
      </c>
      <c r="D3408" s="1">
        <v>43799</v>
      </c>
      <c r="E3408" t="str">
        <f>"201912053850"</f>
        <v>201912053850</v>
      </c>
      <c r="F3408" t="str">
        <f>""</f>
        <v/>
      </c>
      <c r="G3408" s="2">
        <v>7401.2</v>
      </c>
      <c r="H3408" t="str">
        <f>"BURLESON COUNTY DISTRICT CLERK"</f>
        <v>BURLESON COUNTY DISTRICT CLERK</v>
      </c>
    </row>
    <row r="3409" spans="1:8" x14ac:dyDescent="0.25">
      <c r="A3409" t="s">
        <v>522</v>
      </c>
      <c r="B3409">
        <v>47793</v>
      </c>
      <c r="C3409" s="2">
        <v>100</v>
      </c>
      <c r="D3409" s="1">
        <v>43799</v>
      </c>
      <c r="E3409" t="str">
        <f>"201912053851"</f>
        <v>201912053851</v>
      </c>
      <c r="F3409" t="str">
        <f>"MISCELLANE"</f>
        <v>MISCELLANE</v>
      </c>
      <c r="G3409" s="2">
        <v>100</v>
      </c>
      <c r="H3409" t="str">
        <f>"FOCUSING FAMILIES"</f>
        <v>FOCUSING FAMILIES</v>
      </c>
    </row>
    <row r="3410" spans="1:8" x14ac:dyDescent="0.25">
      <c r="A3410" t="s">
        <v>523</v>
      </c>
      <c r="B3410">
        <v>47794</v>
      </c>
      <c r="C3410" s="2">
        <v>600</v>
      </c>
      <c r="D3410" s="1">
        <v>43799</v>
      </c>
      <c r="E3410" t="str">
        <f>"201912053852"</f>
        <v>201912053852</v>
      </c>
      <c r="F3410" t="str">
        <f>""</f>
        <v/>
      </c>
      <c r="G3410" s="2">
        <v>600</v>
      </c>
      <c r="H3410" t="str">
        <f>"BLUEBONNET AREA CRIMESTOPPERS"</f>
        <v>BLUEBONNET AREA CRIMESTOPPERS</v>
      </c>
    </row>
    <row r="3411" spans="1:8" x14ac:dyDescent="0.25">
      <c r="A3411" t="s">
        <v>524</v>
      </c>
      <c r="B3411">
        <v>47795</v>
      </c>
      <c r="C3411" s="2">
        <v>250</v>
      </c>
      <c r="D3411" s="1">
        <v>43799</v>
      </c>
      <c r="E3411" t="str">
        <f>"201912053853"</f>
        <v>201912053853</v>
      </c>
      <c r="F3411" t="str">
        <f>""</f>
        <v/>
      </c>
      <c r="G3411" s="2">
        <v>250</v>
      </c>
      <c r="H3411" t="str">
        <f>"WASHINGTON CO CRIMESTOPPERS"</f>
        <v>WASHINGTON CO CRIMESTOPPERS</v>
      </c>
    </row>
    <row r="3412" spans="1:8" x14ac:dyDescent="0.25">
      <c r="A3412" t="s">
        <v>521</v>
      </c>
      <c r="B3412">
        <v>47796</v>
      </c>
      <c r="C3412" s="2">
        <v>35</v>
      </c>
      <c r="D3412" s="1">
        <v>43799</v>
      </c>
      <c r="E3412" t="str">
        <f>"201912053854"</f>
        <v>201912053854</v>
      </c>
      <c r="F3412" t="str">
        <f>""</f>
        <v/>
      </c>
      <c r="G3412" s="2">
        <v>35</v>
      </c>
      <c r="H3412" t="str">
        <f>"BURLESON COUNTY DISTRICT CLERK"</f>
        <v>BURLESON COUNTY DISTRICT CLERK</v>
      </c>
    </row>
    <row r="3413" spans="1:8" x14ac:dyDescent="0.25">
      <c r="A3413" t="s">
        <v>471</v>
      </c>
      <c r="B3413">
        <v>47797</v>
      </c>
      <c r="C3413" s="2">
        <v>15</v>
      </c>
      <c r="D3413" s="1">
        <v>43799</v>
      </c>
      <c r="E3413" t="str">
        <f>"201912053855"</f>
        <v>201912053855</v>
      </c>
      <c r="F3413" t="str">
        <f>"MI"</f>
        <v>MI</v>
      </c>
      <c r="G3413" s="2">
        <v>15</v>
      </c>
      <c r="H3413" t="str">
        <f>"BURLESON COUNTY TREASURER"</f>
        <v>BURLESON COUNTY TREASURER</v>
      </c>
    </row>
    <row r="3414" spans="1:8" x14ac:dyDescent="0.25">
      <c r="A3414" t="s">
        <v>516</v>
      </c>
      <c r="B3414">
        <v>47798</v>
      </c>
      <c r="C3414" s="2">
        <v>500</v>
      </c>
      <c r="D3414" s="1">
        <v>43799</v>
      </c>
      <c r="E3414" t="str">
        <f>"201912053856"</f>
        <v>201912053856</v>
      </c>
      <c r="F3414" t="str">
        <f>"MISCEL"</f>
        <v>MISCEL</v>
      </c>
      <c r="G3414" s="2">
        <v>500</v>
      </c>
      <c r="H3414" t="str">
        <f>"WASHINGTON COUNTY EMS"</f>
        <v>WASHINGTON COUNTY EMS</v>
      </c>
    </row>
    <row r="3415" spans="1:8" x14ac:dyDescent="0.25">
      <c r="A3415" t="s">
        <v>525</v>
      </c>
      <c r="B3415">
        <v>47799</v>
      </c>
      <c r="C3415" s="2">
        <v>0.5</v>
      </c>
      <c r="D3415" s="1">
        <v>43799</v>
      </c>
      <c r="E3415" t="str">
        <f>"201912053857"</f>
        <v>201912053857</v>
      </c>
      <c r="F3415" t="str">
        <f>"MISCELLANEOUS - A"</f>
        <v>MISCELLANEOUS - A</v>
      </c>
      <c r="G3415" s="2">
        <v>0.5</v>
      </c>
    </row>
    <row r="3416" spans="1:8" x14ac:dyDescent="0.25">
      <c r="A3416" t="s">
        <v>526</v>
      </c>
      <c r="B3416">
        <v>47799</v>
      </c>
      <c r="C3416" s="2">
        <v>0.5</v>
      </c>
      <c r="D3416" s="1">
        <v>43799</v>
      </c>
      <c r="E3416" t="str">
        <f>"CHECK"</f>
        <v>CHECK</v>
      </c>
      <c r="F3416" t="str">
        <f>""</f>
        <v/>
      </c>
      <c r="G3416" s="2">
        <v>0.5</v>
      </c>
    </row>
    <row r="3417" spans="1:8" x14ac:dyDescent="0.25">
      <c r="A3417" t="s">
        <v>527</v>
      </c>
      <c r="B3417">
        <v>47800</v>
      </c>
      <c r="C3417" s="2">
        <v>10</v>
      </c>
      <c r="D3417" s="1">
        <v>43799</v>
      </c>
      <c r="E3417" t="str">
        <f>"201912053858"</f>
        <v>201912053858</v>
      </c>
      <c r="F3417" t="str">
        <f>""</f>
        <v/>
      </c>
      <c r="G3417" s="2">
        <v>10</v>
      </c>
      <c r="H3417" t="str">
        <f>"WASHINGTON COUNTY TREASURER"</f>
        <v>WASHINGTON COUNTY TREASURER</v>
      </c>
    </row>
    <row r="3418" spans="1:8" x14ac:dyDescent="0.25">
      <c r="A3418" t="s">
        <v>520</v>
      </c>
      <c r="B3418">
        <v>47801</v>
      </c>
      <c r="C3418" s="2">
        <v>7</v>
      </c>
      <c r="D3418" s="1">
        <v>43799</v>
      </c>
      <c r="E3418" t="str">
        <f>"201912053859"</f>
        <v>201912053859</v>
      </c>
      <c r="F3418" t="str">
        <f>""</f>
        <v/>
      </c>
      <c r="G3418" s="2">
        <v>7</v>
      </c>
      <c r="H3418" t="str">
        <f>"WASHINGTON COUNTY DISTRICT CLE"</f>
        <v>WASHINGTON COUNTY DISTRICT CLE</v>
      </c>
    </row>
    <row r="3419" spans="1:8" x14ac:dyDescent="0.25">
      <c r="A3419" t="s">
        <v>528</v>
      </c>
      <c r="B3419">
        <v>47802</v>
      </c>
      <c r="C3419" s="2">
        <v>55</v>
      </c>
      <c r="D3419" s="1">
        <v>43799</v>
      </c>
      <c r="E3419" t="str">
        <f>"201912053860"</f>
        <v>201912053860</v>
      </c>
      <c r="F3419" t="str">
        <f>""</f>
        <v/>
      </c>
      <c r="G3419" s="2">
        <v>55</v>
      </c>
      <c r="H3419" t="str">
        <f>"BASTROP COUNTY DISTRICT CLERK"</f>
        <v>BASTROP COUNTY DISTRICT CLERK</v>
      </c>
    </row>
    <row r="3420" spans="1:8" x14ac:dyDescent="0.25">
      <c r="A3420" t="s">
        <v>529</v>
      </c>
      <c r="B3420">
        <v>47803</v>
      </c>
      <c r="C3420" s="2">
        <v>5</v>
      </c>
      <c r="D3420" s="1">
        <v>43799</v>
      </c>
      <c r="E3420" t="str">
        <f>"201912053861"</f>
        <v>201912053861</v>
      </c>
      <c r="F3420" t="str">
        <f>"MISCELL"</f>
        <v>MISCELL</v>
      </c>
      <c r="G3420" s="2">
        <v>5</v>
      </c>
      <c r="H3420" t="str">
        <f>"LEE COUNTY TREASURER"</f>
        <v>LEE COUNTY TREASURER</v>
      </c>
    </row>
    <row r="3421" spans="1:8" x14ac:dyDescent="0.25">
      <c r="A3421" t="s">
        <v>530</v>
      </c>
      <c r="B3421">
        <v>47804</v>
      </c>
      <c r="C3421" s="2">
        <v>25</v>
      </c>
      <c r="D3421" s="1">
        <v>43799</v>
      </c>
      <c r="E3421" t="str">
        <f>"201912053862"</f>
        <v>201912053862</v>
      </c>
      <c r="F3421" t="str">
        <f>"MISCELLANEOUS"</f>
        <v>MISCELLANEOUS</v>
      </c>
      <c r="G3421" s="2">
        <v>25</v>
      </c>
      <c r="H3421" t="str">
        <f>"KARA SAAVEDRA"</f>
        <v>KARA SAAVEDRA</v>
      </c>
    </row>
    <row r="3422" spans="1:8" x14ac:dyDescent="0.25">
      <c r="B3422" s="3" t="s">
        <v>531</v>
      </c>
      <c r="C3422" s="2">
        <f>SUM(C2:C3421)</f>
        <v>5306050.2400000012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AP-CHK-RPT-20191217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2019-12-17T20:39:01Z</dcterms:created>
  <dcterms:modified xsi:type="dcterms:W3CDTF">2019-12-17T20:39:01Z</dcterms:modified>
</cp:coreProperties>
</file>