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191210" sheetId="1" r:id="rId1"/>
  </sheets>
  <calcPr calcId="0"/>
</workbook>
</file>

<file path=xl/calcChain.xml><?xml version="1.0" encoding="utf-8"?>
<calcChain xmlns="http://schemas.openxmlformats.org/spreadsheetml/2006/main">
  <c r="C3003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G95" i="1"/>
  <c r="H95" i="1"/>
  <c r="I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E1186" i="1"/>
  <c r="F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  <c r="E2828" i="1"/>
  <c r="F2828" i="1"/>
  <c r="H2828" i="1"/>
  <c r="E2829" i="1"/>
  <c r="F2829" i="1"/>
  <c r="H2829" i="1"/>
  <c r="E2830" i="1"/>
  <c r="F2830" i="1"/>
  <c r="H2830" i="1"/>
  <c r="E2831" i="1"/>
  <c r="F2831" i="1"/>
  <c r="H2831" i="1"/>
  <c r="E2832" i="1"/>
  <c r="F2832" i="1"/>
  <c r="H2832" i="1"/>
  <c r="E2833" i="1"/>
  <c r="F2833" i="1"/>
  <c r="H2833" i="1"/>
  <c r="E2834" i="1"/>
  <c r="F2834" i="1"/>
  <c r="H2834" i="1"/>
  <c r="E2835" i="1"/>
  <c r="F2835" i="1"/>
  <c r="H2835" i="1"/>
  <c r="E2836" i="1"/>
  <c r="F2836" i="1"/>
  <c r="H2836" i="1"/>
  <c r="E2837" i="1"/>
  <c r="F2837" i="1"/>
  <c r="H2837" i="1"/>
  <c r="E2838" i="1"/>
  <c r="F2838" i="1"/>
  <c r="H2838" i="1"/>
  <c r="E2839" i="1"/>
  <c r="F2839" i="1"/>
  <c r="H2839" i="1"/>
  <c r="E2840" i="1"/>
  <c r="F2840" i="1"/>
  <c r="H2840" i="1"/>
  <c r="E2841" i="1"/>
  <c r="F2841" i="1"/>
  <c r="H2841" i="1"/>
  <c r="E2842" i="1"/>
  <c r="F2842" i="1"/>
  <c r="H2842" i="1"/>
  <c r="E2843" i="1"/>
  <c r="F2843" i="1"/>
  <c r="H2843" i="1"/>
  <c r="E2844" i="1"/>
  <c r="F2844" i="1"/>
  <c r="H2844" i="1"/>
  <c r="E2845" i="1"/>
  <c r="F2845" i="1"/>
  <c r="H2845" i="1"/>
  <c r="E2846" i="1"/>
  <c r="F2846" i="1"/>
  <c r="H2846" i="1"/>
  <c r="E2847" i="1"/>
  <c r="F2847" i="1"/>
  <c r="H2847" i="1"/>
  <c r="E2848" i="1"/>
  <c r="F2848" i="1"/>
  <c r="H2848" i="1"/>
  <c r="E2849" i="1"/>
  <c r="F2849" i="1"/>
  <c r="H2849" i="1"/>
  <c r="E2850" i="1"/>
  <c r="F2850" i="1"/>
  <c r="H2850" i="1"/>
  <c r="E2851" i="1"/>
  <c r="F2851" i="1"/>
  <c r="H2851" i="1"/>
  <c r="E2852" i="1"/>
  <c r="F2852" i="1"/>
  <c r="H2852" i="1"/>
  <c r="E2853" i="1"/>
  <c r="F2853" i="1"/>
  <c r="H2853" i="1"/>
  <c r="E2854" i="1"/>
  <c r="F2854" i="1"/>
  <c r="H2854" i="1"/>
  <c r="E2855" i="1"/>
  <c r="F2855" i="1"/>
  <c r="H2855" i="1"/>
  <c r="E2856" i="1"/>
  <c r="F2856" i="1"/>
  <c r="H2856" i="1"/>
  <c r="E2857" i="1"/>
  <c r="F2857" i="1"/>
  <c r="H2857" i="1"/>
  <c r="E2858" i="1"/>
  <c r="F2858" i="1"/>
  <c r="H2858" i="1"/>
  <c r="E2859" i="1"/>
  <c r="F2859" i="1"/>
  <c r="H2859" i="1"/>
  <c r="E2860" i="1"/>
  <c r="F2860" i="1"/>
  <c r="H2860" i="1"/>
  <c r="E2861" i="1"/>
  <c r="F2861" i="1"/>
  <c r="H2861" i="1"/>
  <c r="E2862" i="1"/>
  <c r="F2862" i="1"/>
  <c r="H2862" i="1"/>
  <c r="E2863" i="1"/>
  <c r="F2863" i="1"/>
  <c r="H2863" i="1"/>
  <c r="E2864" i="1"/>
  <c r="F2864" i="1"/>
  <c r="H2864" i="1"/>
  <c r="E2865" i="1"/>
  <c r="F2865" i="1"/>
  <c r="H2865" i="1"/>
  <c r="E2866" i="1"/>
  <c r="F2866" i="1"/>
  <c r="H2866" i="1"/>
  <c r="E2867" i="1"/>
  <c r="F2867" i="1"/>
  <c r="H2867" i="1"/>
  <c r="E2868" i="1"/>
  <c r="F2868" i="1"/>
  <c r="H2868" i="1"/>
  <c r="E2869" i="1"/>
  <c r="F2869" i="1"/>
  <c r="H2869" i="1"/>
  <c r="E2870" i="1"/>
  <c r="F2870" i="1"/>
  <c r="H2870" i="1"/>
  <c r="E2871" i="1"/>
  <c r="F2871" i="1"/>
  <c r="H2871" i="1"/>
  <c r="E2872" i="1"/>
  <c r="F2872" i="1"/>
  <c r="H2872" i="1"/>
  <c r="E2873" i="1"/>
  <c r="F2873" i="1"/>
  <c r="H2873" i="1"/>
  <c r="E2874" i="1"/>
  <c r="F2874" i="1"/>
  <c r="H2874" i="1"/>
  <c r="E2875" i="1"/>
  <c r="F2875" i="1"/>
  <c r="H2875" i="1"/>
  <c r="E2876" i="1"/>
  <c r="F2876" i="1"/>
  <c r="H2876" i="1"/>
  <c r="E2877" i="1"/>
  <c r="F2877" i="1"/>
  <c r="H2877" i="1"/>
  <c r="E2878" i="1"/>
  <c r="F2878" i="1"/>
  <c r="H2878" i="1"/>
  <c r="E2879" i="1"/>
  <c r="F2879" i="1"/>
  <c r="H2879" i="1"/>
  <c r="E2880" i="1"/>
  <c r="F2880" i="1"/>
  <c r="H2880" i="1"/>
  <c r="E2881" i="1"/>
  <c r="F2881" i="1"/>
  <c r="H2881" i="1"/>
  <c r="E2882" i="1"/>
  <c r="F2882" i="1"/>
  <c r="H2882" i="1"/>
  <c r="E2883" i="1"/>
  <c r="F2883" i="1"/>
  <c r="H2883" i="1"/>
  <c r="E2884" i="1"/>
  <c r="F2884" i="1"/>
  <c r="H2884" i="1"/>
  <c r="E2885" i="1"/>
  <c r="F2885" i="1"/>
  <c r="H2885" i="1"/>
  <c r="E2886" i="1"/>
  <c r="F2886" i="1"/>
  <c r="H2886" i="1"/>
  <c r="E2887" i="1"/>
  <c r="F2887" i="1"/>
  <c r="H2887" i="1"/>
  <c r="E2888" i="1"/>
  <c r="F2888" i="1"/>
  <c r="H2888" i="1"/>
  <c r="E2889" i="1"/>
  <c r="F2889" i="1"/>
  <c r="H2889" i="1"/>
  <c r="E2890" i="1"/>
  <c r="F2890" i="1"/>
  <c r="H2890" i="1"/>
  <c r="E2891" i="1"/>
  <c r="F2891" i="1"/>
  <c r="H2891" i="1"/>
  <c r="E2892" i="1"/>
  <c r="F2892" i="1"/>
  <c r="H2892" i="1"/>
  <c r="E2893" i="1"/>
  <c r="F2893" i="1"/>
  <c r="H2893" i="1"/>
  <c r="E2894" i="1"/>
  <c r="F2894" i="1"/>
  <c r="H2894" i="1"/>
  <c r="E2895" i="1"/>
  <c r="F2895" i="1"/>
  <c r="H2895" i="1"/>
  <c r="E2896" i="1"/>
  <c r="F2896" i="1"/>
  <c r="H2896" i="1"/>
  <c r="E2897" i="1"/>
  <c r="F2897" i="1"/>
  <c r="H2897" i="1"/>
  <c r="E2898" i="1"/>
  <c r="F2898" i="1"/>
  <c r="H2898" i="1"/>
  <c r="E2899" i="1"/>
  <c r="F2899" i="1"/>
  <c r="H2899" i="1"/>
  <c r="E2900" i="1"/>
  <c r="F2900" i="1"/>
  <c r="H2900" i="1"/>
  <c r="E2901" i="1"/>
  <c r="F2901" i="1"/>
  <c r="H2901" i="1"/>
  <c r="E2902" i="1"/>
  <c r="F2902" i="1"/>
  <c r="H2902" i="1"/>
  <c r="E2903" i="1"/>
  <c r="F2903" i="1"/>
  <c r="H2903" i="1"/>
  <c r="E2904" i="1"/>
  <c r="F2904" i="1"/>
  <c r="H2904" i="1"/>
  <c r="E2905" i="1"/>
  <c r="F2905" i="1"/>
  <c r="H2905" i="1"/>
  <c r="E2906" i="1"/>
  <c r="F2906" i="1"/>
  <c r="H2906" i="1"/>
  <c r="E2907" i="1"/>
  <c r="F2907" i="1"/>
  <c r="H2907" i="1"/>
  <c r="E2908" i="1"/>
  <c r="F2908" i="1"/>
  <c r="H2908" i="1"/>
  <c r="E2909" i="1"/>
  <c r="F2909" i="1"/>
  <c r="H2909" i="1"/>
  <c r="E2910" i="1"/>
  <c r="F2910" i="1"/>
  <c r="H2910" i="1"/>
  <c r="E2911" i="1"/>
  <c r="F2911" i="1"/>
  <c r="H2911" i="1"/>
  <c r="E2912" i="1"/>
  <c r="F2912" i="1"/>
  <c r="H2912" i="1"/>
  <c r="E2913" i="1"/>
  <c r="F2913" i="1"/>
  <c r="H2913" i="1"/>
  <c r="E2914" i="1"/>
  <c r="F2914" i="1"/>
  <c r="H2914" i="1"/>
  <c r="E2915" i="1"/>
  <c r="F2915" i="1"/>
  <c r="H2915" i="1"/>
  <c r="E2916" i="1"/>
  <c r="F2916" i="1"/>
  <c r="H2916" i="1"/>
  <c r="E2917" i="1"/>
  <c r="F2917" i="1"/>
  <c r="H2917" i="1"/>
  <c r="E2918" i="1"/>
  <c r="F2918" i="1"/>
  <c r="H2918" i="1"/>
  <c r="E2919" i="1"/>
  <c r="F2919" i="1"/>
  <c r="H2919" i="1"/>
  <c r="E2920" i="1"/>
  <c r="F2920" i="1"/>
  <c r="H2920" i="1"/>
  <c r="E2921" i="1"/>
  <c r="F2921" i="1"/>
  <c r="H2921" i="1"/>
  <c r="E2922" i="1"/>
  <c r="F2922" i="1"/>
  <c r="H2922" i="1"/>
  <c r="E2923" i="1"/>
  <c r="F2923" i="1"/>
  <c r="H2923" i="1"/>
  <c r="E2924" i="1"/>
  <c r="F2924" i="1"/>
  <c r="H2924" i="1"/>
  <c r="E2925" i="1"/>
  <c r="F2925" i="1"/>
  <c r="H2925" i="1"/>
  <c r="E2926" i="1"/>
  <c r="F2926" i="1"/>
  <c r="H2926" i="1"/>
  <c r="E2927" i="1"/>
  <c r="F2927" i="1"/>
  <c r="H2927" i="1"/>
  <c r="E2928" i="1"/>
  <c r="F2928" i="1"/>
  <c r="H2928" i="1"/>
  <c r="E2929" i="1"/>
  <c r="F2929" i="1"/>
  <c r="H2929" i="1"/>
  <c r="E2930" i="1"/>
  <c r="F2930" i="1"/>
  <c r="H2930" i="1"/>
  <c r="E2931" i="1"/>
  <c r="F2931" i="1"/>
  <c r="H2931" i="1"/>
  <c r="E2932" i="1"/>
  <c r="F2932" i="1"/>
  <c r="H2932" i="1"/>
  <c r="E2933" i="1"/>
  <c r="F2933" i="1"/>
  <c r="H2933" i="1"/>
  <c r="E2934" i="1"/>
  <c r="F2934" i="1"/>
  <c r="H2934" i="1"/>
  <c r="E2935" i="1"/>
  <c r="F2935" i="1"/>
  <c r="H2935" i="1"/>
  <c r="E2936" i="1"/>
  <c r="F2936" i="1"/>
  <c r="H2936" i="1"/>
  <c r="E2937" i="1"/>
  <c r="F2937" i="1"/>
  <c r="H2937" i="1"/>
  <c r="E2938" i="1"/>
  <c r="F2938" i="1"/>
  <c r="H2938" i="1"/>
  <c r="E2939" i="1"/>
  <c r="F2939" i="1"/>
  <c r="H2939" i="1"/>
  <c r="E2940" i="1"/>
  <c r="F2940" i="1"/>
  <c r="H2940" i="1"/>
  <c r="E2941" i="1"/>
  <c r="F2941" i="1"/>
  <c r="H2941" i="1"/>
  <c r="E2942" i="1"/>
  <c r="F2942" i="1"/>
  <c r="H2942" i="1"/>
  <c r="E2943" i="1"/>
  <c r="F2943" i="1"/>
  <c r="H2943" i="1"/>
  <c r="E2944" i="1"/>
  <c r="F2944" i="1"/>
  <c r="H2944" i="1"/>
  <c r="E2945" i="1"/>
  <c r="F2945" i="1"/>
  <c r="H2945" i="1"/>
  <c r="E2946" i="1"/>
  <c r="F2946" i="1"/>
  <c r="H2946" i="1"/>
  <c r="E2947" i="1"/>
  <c r="F2947" i="1"/>
  <c r="H2947" i="1"/>
  <c r="E2948" i="1"/>
  <c r="F2948" i="1"/>
  <c r="H2948" i="1"/>
  <c r="E2949" i="1"/>
  <c r="F2949" i="1"/>
  <c r="H2949" i="1"/>
  <c r="E2950" i="1"/>
  <c r="F2950" i="1"/>
  <c r="H2950" i="1"/>
  <c r="E2951" i="1"/>
  <c r="F2951" i="1"/>
  <c r="H2951" i="1"/>
  <c r="E2952" i="1"/>
  <c r="F2952" i="1"/>
  <c r="H2952" i="1"/>
  <c r="E2953" i="1"/>
  <c r="F2953" i="1"/>
  <c r="H2953" i="1"/>
  <c r="E2954" i="1"/>
  <c r="F2954" i="1"/>
  <c r="H2954" i="1"/>
  <c r="E2955" i="1"/>
  <c r="F2955" i="1"/>
  <c r="H2955" i="1"/>
  <c r="E2956" i="1"/>
  <c r="F2956" i="1"/>
  <c r="H2956" i="1"/>
  <c r="E2957" i="1"/>
  <c r="F2957" i="1"/>
  <c r="H2957" i="1"/>
  <c r="E2958" i="1"/>
  <c r="F2958" i="1"/>
  <c r="H2958" i="1"/>
  <c r="E2959" i="1"/>
  <c r="F2959" i="1"/>
  <c r="H2959" i="1"/>
  <c r="E2960" i="1"/>
  <c r="F2960" i="1"/>
  <c r="H2960" i="1"/>
  <c r="E2961" i="1"/>
  <c r="F2961" i="1"/>
  <c r="H2961" i="1"/>
  <c r="E2962" i="1"/>
  <c r="F2962" i="1"/>
  <c r="H2962" i="1"/>
  <c r="E2963" i="1"/>
  <c r="F2963" i="1"/>
  <c r="H2963" i="1"/>
  <c r="E2964" i="1"/>
  <c r="F2964" i="1"/>
  <c r="H2964" i="1"/>
  <c r="E2965" i="1"/>
  <c r="F2965" i="1"/>
  <c r="H2965" i="1"/>
  <c r="E2966" i="1"/>
  <c r="F2966" i="1"/>
  <c r="H2966" i="1"/>
  <c r="E2967" i="1"/>
  <c r="F2967" i="1"/>
  <c r="H2967" i="1"/>
  <c r="E2968" i="1"/>
  <c r="F2968" i="1"/>
  <c r="H2968" i="1"/>
  <c r="E2969" i="1"/>
  <c r="F2969" i="1"/>
  <c r="H2969" i="1"/>
  <c r="E2970" i="1"/>
  <c r="F2970" i="1"/>
  <c r="H2970" i="1"/>
  <c r="E2971" i="1"/>
  <c r="F2971" i="1"/>
  <c r="H2971" i="1"/>
  <c r="E2972" i="1"/>
  <c r="F2972" i="1"/>
  <c r="H2972" i="1"/>
  <c r="E2973" i="1"/>
  <c r="F2973" i="1"/>
  <c r="H2973" i="1"/>
  <c r="E2974" i="1"/>
  <c r="F2974" i="1"/>
  <c r="H2974" i="1"/>
  <c r="E2975" i="1"/>
  <c r="F2975" i="1"/>
  <c r="H2975" i="1"/>
  <c r="E2976" i="1"/>
  <c r="F2976" i="1"/>
  <c r="H2976" i="1"/>
  <c r="E2977" i="1"/>
  <c r="F2977" i="1"/>
  <c r="H2977" i="1"/>
  <c r="E2978" i="1"/>
  <c r="F2978" i="1"/>
  <c r="H2978" i="1"/>
  <c r="E2979" i="1"/>
  <c r="F2979" i="1"/>
  <c r="H2979" i="1"/>
  <c r="E2980" i="1"/>
  <c r="F2980" i="1"/>
  <c r="H2980" i="1"/>
  <c r="E2981" i="1"/>
  <c r="F2981" i="1"/>
  <c r="H2981" i="1"/>
  <c r="E2982" i="1"/>
  <c r="F2982" i="1"/>
  <c r="H2982" i="1"/>
  <c r="E2983" i="1"/>
  <c r="F2983" i="1"/>
  <c r="H2983" i="1"/>
  <c r="E2984" i="1"/>
  <c r="F2984" i="1"/>
  <c r="H2984" i="1"/>
  <c r="E2985" i="1"/>
  <c r="F2985" i="1"/>
  <c r="H2985" i="1"/>
  <c r="E2986" i="1"/>
  <c r="F2986" i="1"/>
  <c r="H2986" i="1"/>
  <c r="E2987" i="1"/>
  <c r="F2987" i="1"/>
  <c r="H2987" i="1"/>
  <c r="E2988" i="1"/>
  <c r="F2988" i="1"/>
  <c r="H2988" i="1"/>
  <c r="E2989" i="1"/>
  <c r="F2989" i="1"/>
  <c r="H2989" i="1"/>
  <c r="E2990" i="1"/>
  <c r="F2990" i="1"/>
  <c r="H2990" i="1"/>
  <c r="E2991" i="1"/>
  <c r="F2991" i="1"/>
  <c r="H2991" i="1"/>
  <c r="E2992" i="1"/>
  <c r="F2992" i="1"/>
  <c r="H2992" i="1"/>
  <c r="E2993" i="1"/>
  <c r="F2993" i="1"/>
  <c r="H2993" i="1"/>
  <c r="E2994" i="1"/>
  <c r="F2994" i="1"/>
  <c r="H2994" i="1"/>
  <c r="E2995" i="1"/>
  <c r="F2995" i="1"/>
  <c r="H2995" i="1"/>
  <c r="E2996" i="1"/>
  <c r="F2996" i="1"/>
  <c r="H2996" i="1"/>
  <c r="E2997" i="1"/>
  <c r="F2997" i="1"/>
  <c r="H2997" i="1"/>
  <c r="E2998" i="1"/>
  <c r="F2998" i="1"/>
  <c r="H2998" i="1"/>
  <c r="E2999" i="1"/>
  <c r="F2999" i="1"/>
  <c r="H2999" i="1"/>
  <c r="E3000" i="1"/>
  <c r="F3000" i="1"/>
  <c r="H3000" i="1"/>
  <c r="E3001" i="1"/>
  <c r="F3001" i="1"/>
  <c r="H3001" i="1"/>
  <c r="E3002" i="1"/>
  <c r="F3002" i="1"/>
  <c r="H3002" i="1"/>
</calcChain>
</file>

<file path=xl/sharedStrings.xml><?xml version="1.0" encoding="utf-8"?>
<sst xmlns="http://schemas.openxmlformats.org/spreadsheetml/2006/main" count="651" uniqueCount="520">
  <si>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</si>
  <si>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</si>
  <si>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</si>
  <si>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</si>
  <si>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</si>
  <si>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</si>
  <si>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</si>
  <si>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</si>
  <si>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</si>
  <si>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304 CONSTRUCTION LLC</t>
  </si>
  <si>
    <t>973 MATERIALS  LLC</t>
  </si>
  <si>
    <t>A PLUS BAIL BONDS</t>
  </si>
  <si>
    <t>ARNOLD OIL COMPANY OF AUSTIN LP</t>
  </si>
  <si>
    <t>TIMOTHY HALL</t>
  </si>
  <si>
    <t>ACE MART RESTAURANT SUPPLY</t>
  </si>
  <si>
    <t>ADAM DAKOTA ROWINS</t>
  </si>
  <si>
    <t>ADAM MUERY</t>
  </si>
  <si>
    <t>ADENA LEWIS</t>
  </si>
  <si>
    <t>ADVANCED GRAPHIX INC</t>
  </si>
  <si>
    <t>ALAMO  GROUP (TX)  INC</t>
  </si>
  <si>
    <t>ALBERT NEAL PFEIFFER</t>
  </si>
  <si>
    <t>ALBERTO MARTINEZ</t>
  </si>
  <si>
    <t>ALEJANDRO RODRIGUEZ</t>
  </si>
  <si>
    <t>ALETA PEACOCK</t>
  </si>
  <si>
    <t>S &amp; D PLUMBING-GIDDINGS LLC</t>
  </si>
  <si>
    <t>AMAZON CAPITAL SERVICES INC</t>
  </si>
  <si>
    <t>AMERICAN ASSN OF NOTARIES</t>
  </si>
  <si>
    <t>AMERISOURCEBERGEN</t>
  </si>
  <si>
    <t>ANDERSON &amp; ANDERSON LAW FIRM PC</t>
  </si>
  <si>
    <t>="16</t>
  </si>
  <si>
    <t>804"</t>
  </si>
  <si>
    <t>ANDREW BERGER</t>
  </si>
  <si>
    <t>ANIMAL CARE EQUIPMENT</t>
  </si>
  <si>
    <t>ANIXTER INC</t>
  </si>
  <si>
    <t>ANNE HOOSE</t>
  </si>
  <si>
    <t>ANTONIO VILLARREAL</t>
  </si>
  <si>
    <t>ASSOCIATION OF PUBLIC SAFETY COMM OFFICIALS</t>
  </si>
  <si>
    <t>C APPLEMAN ENT INC</t>
  </si>
  <si>
    <t>AQUA BEVERAGE COMPANY/OZARKA</t>
  </si>
  <si>
    <t>AQUA WATER SUPPLY CORPORATION</t>
  </si>
  <si>
    <t>ARCHITEXAS - ARCHITECTURE  PLANNING &amp; HISTORIC PRE</t>
  </si>
  <si>
    <t>ARSENAL ADVERTISING LLC</t>
  </si>
  <si>
    <t>AT&amp;T</t>
  </si>
  <si>
    <t>AT&amp;T MOBILITY</t>
  </si>
  <si>
    <t>AT&amp;T MOBILITY-W&amp;M</t>
  </si>
  <si>
    <t>THE AUBAINE SUPPLY COMPANY  INC</t>
  </si>
  <si>
    <t>BUTLER &amp; BURNS EAR NOSE &amp; THROAT ASSO</t>
  </si>
  <si>
    <t>RALPH E BONNELL CIH</t>
  </si>
  <si>
    <t>AUSTIN GASTROENTERLOGY</t>
  </si>
  <si>
    <t>AUSTIN KIDNEY ASSOCIATES  PA</t>
  </si>
  <si>
    <t>PTL LAWN &amp; CLEANING SERVICE  INC</t>
  </si>
  <si>
    <t>AUSTIN RADIOLOGICAL ASSOC</t>
  </si>
  <si>
    <t>AUSTIN SOUTHWEST ORTHOPAEDIC GROUP</t>
  </si>
  <si>
    <t>AUTUMN J SMITH</t>
  </si>
  <si>
    <t>JIM ATTRA INC</t>
  </si>
  <si>
    <t>MICHAEL OLDHAM TIRE INC</t>
  </si>
  <si>
    <t>EDUARDO BARRIENTOS</t>
  </si>
  <si>
    <t>BASIC IDIQ  INC.</t>
  </si>
  <si>
    <t>DEBORAH D. SPARKMAN</t>
  </si>
  <si>
    <t>BASTROP CENTRAL APPRAISAL DIST.</t>
  </si>
  <si>
    <t>BASTROP CHAMBER OF COMMERCE</t>
  </si>
  <si>
    <t>BASTROP COUNTY SHERIFF'S DEPT</t>
  </si>
  <si>
    <t>DANIEL L HEPKER</t>
  </si>
  <si>
    <t>BASTROP COUNTY CARES</t>
  </si>
  <si>
    <t>BASTROP COUNTY HISTORICAL SOCIETY</t>
  </si>
  <si>
    <t>BASTROP COUNTY PROBATION DEPT</t>
  </si>
  <si>
    <t>BASTROP MEDICAL CLINIC</t>
  </si>
  <si>
    <t>BASTROP POLICE DEPT</t>
  </si>
  <si>
    <t>BASTROP PROVIDENCE  LLC</t>
  </si>
  <si>
    <t>BASTROP VETERINARY HOSPITAL  INC.</t>
  </si>
  <si>
    <t>BAYER CORPORATION</t>
  </si>
  <si>
    <t>DAVID H OUTON</t>
  </si>
  <si>
    <t>BEN E KEITH CO.</t>
  </si>
  <si>
    <t>BENNY BOYD LOCKHART LLC</t>
  </si>
  <si>
    <t>MULTI SERVICE TECHNOLOGY SOLUTIONS  INC.</t>
  </si>
  <si>
    <t>B C FOOD GROUP  LLC</t>
  </si>
  <si>
    <t>BICKERSTAFF HEATH DELGADO ACOSTA LLP</t>
  </si>
  <si>
    <t>MAURINE MC LEAN</t>
  </si>
  <si>
    <t>BIMBO FOODS INC</t>
  </si>
  <si>
    <t>BIRD-B-GONE  INC.</t>
  </si>
  <si>
    <t>BLAS J. COY  JR.</t>
  </si>
  <si>
    <t>BLUEBONNET AREA CRIME STOPPERS PROGRAM</t>
  </si>
  <si>
    <t>BLUEBONNET ELECTRIC COOPERATIVE  INC.</t>
  </si>
  <si>
    <t>BLUEBONNET TRAILS MHMR</t>
  </si>
  <si>
    <t>BOB BARKER COMPANY  INC.</t>
  </si>
  <si>
    <t>BRAUNTEX MATERIALS INC</t>
  </si>
  <si>
    <t>BRAZORIA COUNTY SHERIFF</t>
  </si>
  <si>
    <t>BRENDA RETZLAFF</t>
  </si>
  <si>
    <t>BRYAN GOERTZ</t>
  </si>
  <si>
    <t>LAW OFFICE OF BRYAN W. MCDANIEL  P.C.</t>
  </si>
  <si>
    <t>BUREAU OF VITAL STATISTICS</t>
  </si>
  <si>
    <t>CALDWELL COUNTY SHERIFF</t>
  </si>
  <si>
    <t>CALIBER BODYWORKS OF TEXAS  INC.</t>
  </si>
  <si>
    <t>CAPITAL AREA COUNCIL OF GOVERNMENTS</t>
  </si>
  <si>
    <t>CAPITOL BEARING SERVICE OF AUSTIN  INC.</t>
  </si>
  <si>
    <t>DAVID &amp; SUSAN MC ADAMS</t>
  </si>
  <si>
    <t>CARAHSOFT TECHNOLOGY CORPORATION</t>
  </si>
  <si>
    <t>TIB-THE INDEPENDENT BANKERS BANK</t>
  </si>
  <si>
    <t>CARDIOTHORACIC &amp; VASCULAR SURGEONS</t>
  </si>
  <si>
    <t>CASEY LEE BLAIR</t>
  </si>
  <si>
    <t>CDW GOVERNMENT INC</t>
  </si>
  <si>
    <t>CEN-TEX MARINE FABRICATORS INC</t>
  </si>
  <si>
    <t>CENTERPOINT ENERGY</t>
  </si>
  <si>
    <t>CENTEX MATERIALS LLC</t>
  </si>
  <si>
    <t>CHARLES W CARVER</t>
  </si>
  <si>
    <t>CHARM-TEX</t>
  </si>
  <si>
    <t>CHRIS MATT DILLON</t>
  </si>
  <si>
    <t>CHRISTOPHER D  DUGGAN</t>
  </si>
  <si>
    <t>CHRISTOPHER WASHINGTON</t>
  </si>
  <si>
    <t>CINTAS</t>
  </si>
  <si>
    <t>CINTAS CORPORATION</t>
  </si>
  <si>
    <t>CINTAS CORPORATION #86</t>
  </si>
  <si>
    <t>CITY OF BASTROP</t>
  </si>
  <si>
    <t>CITY OF SMITHVILLE</t>
  </si>
  <si>
    <t>CLINICAL PATHOLOGY LABORATORIES INC</t>
  </si>
  <si>
    <t>CML SECURITY  LLC</t>
  </si>
  <si>
    <t>CNA SURETY</t>
  </si>
  <si>
    <t>GREENWICH INC</t>
  </si>
  <si>
    <t>COMMUNITY COFFEE COMPANY LLC</t>
  </si>
  <si>
    <t>COMMUNITY HEALTH CENTERS</t>
  </si>
  <si>
    <t>CONTECH ENGINEERED SOLUTIONS INC</t>
  </si>
  <si>
    <t>COOPER EQUIPMENT CO.</t>
  </si>
  <si>
    <t>CORRECTEK  INC.</t>
  </si>
  <si>
    <t>COUNTY OF BEXAR - SHERIFF</t>
  </si>
  <si>
    <t>COVERT CHEVROLET-OLDS</t>
  </si>
  <si>
    <t>BUTLER ANIMAL HEALTH HOLDING COMPANY  LLC</t>
  </si>
  <si>
    <t>CRESSIDA EVELYN KWOLEK  Ph.D.</t>
  </si>
  <si>
    <t>CPI QUALIFIED PLAN CONSULTANTS  INC.</t>
  </si>
  <si>
    <t>CURTIS OLTMANN</t>
  </si>
  <si>
    <t>DALLAS COUNTY CONSTABLE PCT 1</t>
  </si>
  <si>
    <t>DAVID B BROOKS</t>
  </si>
  <si>
    <t>DAVID M COLLINS</t>
  </si>
  <si>
    <t>DELL</t>
  </si>
  <si>
    <t>SETON FAMILY OF HOSPITALS</t>
  </si>
  <si>
    <t>DENTRUST DENTAL TX PC</t>
  </si>
  <si>
    <t>DESMAR WALKES  MD  PA</t>
  </si>
  <si>
    <t>DICKENS LOCKSMITH INC</t>
  </si>
  <si>
    <t>DEPARTMENT OF INFORMATION RESOURCES</t>
  </si>
  <si>
    <t>DISCOUNT DOOR &amp; METAL  LLC</t>
  </si>
  <si>
    <t>THE REINALT - THOMAS CORPORATION</t>
  </si>
  <si>
    <t>DONNIE STARK</t>
  </si>
  <si>
    <t>DOUBLE D INTERNATIONAL FOOD CO.  INC.</t>
  </si>
  <si>
    <t>DOUBLE TUFF TRUCK TARPS INC</t>
  </si>
  <si>
    <t>DOUG SHAVER</t>
  </si>
  <si>
    <t>DUNNE &amp; JUAREZ L.L.C.</t>
  </si>
  <si>
    <t>DURAN GRAVEL CO. INC</t>
  </si>
  <si>
    <t>ECOLAB INC</t>
  </si>
  <si>
    <t>BLACKLANDS PUBLICATIONS INC</t>
  </si>
  <si>
    <t>ELGIN POLICE DEPARTMENT</t>
  </si>
  <si>
    <t>ELGIN REINVESTMENT ZONE # 1</t>
  </si>
  <si>
    <t>CITY OF ELGIN UTILITIES</t>
  </si>
  <si>
    <t>ELGIN VETERINARY HOSPITAL  INC.</t>
  </si>
  <si>
    <t>ELLIOTT ELECTRIC SUPPLY INC</t>
  </si>
  <si>
    <t>ERGON ASPHALT &amp; EMULSIONS INC</t>
  </si>
  <si>
    <t>EWEAC</t>
  </si>
  <si>
    <t>BASTROP COUNTY WOMEN'S SHELTER</t>
  </si>
  <si>
    <t>FAYETTE COUNTY SHERIFF</t>
  </si>
  <si>
    <t>FEDERAL EXPRESS</t>
  </si>
  <si>
    <t>FLEETPRIDE</t>
  </si>
  <si>
    <t>FLORENCE BEHAVIN</t>
  </si>
  <si>
    <t>FORENSIC ANALYTICAL SCIENCES INC.</t>
  </si>
  <si>
    <t>FORREST L. SANDERSON</t>
  </si>
  <si>
    <t>FORT BEND COUNTY CONSTABLE PCT 4</t>
  </si>
  <si>
    <t>FRANCES HUNTER</t>
  </si>
  <si>
    <t>FRANK DELGADO</t>
  </si>
  <si>
    <t>CREA PARSON</t>
  </si>
  <si>
    <t>AUSTIN TRUCK AND EQUIPMENT  LTD</t>
  </si>
  <si>
    <t>EUGENE W BRIGGS JR</t>
  </si>
  <si>
    <t>GALLS PARENT HOLDINGS LLC</t>
  </si>
  <si>
    <t>GARLAND/DBS  INC.</t>
  </si>
  <si>
    <t>GARMENTS TO GO  INC</t>
  </si>
  <si>
    <t>GERALD L. BYINGTON</t>
  </si>
  <si>
    <t>GOVCONNECTION INC</t>
  </si>
  <si>
    <t>GRAINGER INC</t>
  </si>
  <si>
    <t>GREG GILLELAND</t>
  </si>
  <si>
    <t>GRETCHEN SIMS SWEEN</t>
  </si>
  <si>
    <t>GT DISTRIBUTORS  INC.</t>
  </si>
  <si>
    <t>GULF COAST PAPER CO. INC.</t>
  </si>
  <si>
    <t>H &amp; E EQUIPMENT SERVIES  INC</t>
  </si>
  <si>
    <t>HALFF ASSOCIATES</t>
  </si>
  <si>
    <t>HARRIS COUNTY CONSTABLE PCT 1</t>
  </si>
  <si>
    <t>HCI</t>
  </si>
  <si>
    <t>HEART OF TEXAS METALWORKS  LLC</t>
  </si>
  <si>
    <t>ITR AMERICA LLC</t>
  </si>
  <si>
    <t>HENGST PRINTING &amp; SUPPLIES</t>
  </si>
  <si>
    <t>HI-LINE</t>
  </si>
  <si>
    <t>HILL COUNTRY ELECTRIC SUPPLY</t>
  </si>
  <si>
    <t>HILL COUNTY CONSTABLE PCT 3</t>
  </si>
  <si>
    <t>FERTITTA HOSPITALITY LLC</t>
  </si>
  <si>
    <t>BASCOM L HODGES JR</t>
  </si>
  <si>
    <t>HODGSON G ECKEL</t>
  </si>
  <si>
    <t>HOLLY TUCKER</t>
  </si>
  <si>
    <t>BD HOLT CO</t>
  </si>
  <si>
    <t>CITIBANK (SOUTH DAKOTA)N.A./THE HOME DEPOT</t>
  </si>
  <si>
    <t>GREGORY LUCAS</t>
  </si>
  <si>
    <t>HVAC</t>
  </si>
  <si>
    <t>HYATT CORPORATION</t>
  </si>
  <si>
    <t>HYDRAULIC HOUSE INC</t>
  </si>
  <si>
    <t>INDIGENT HEALTHCARE SOLUTIONS</t>
  </si>
  <si>
    <t>IRON MOUNTAIN RECORDS MGMT INC</t>
  </si>
  <si>
    <t>SPI MANAGEMENT CO.</t>
  </si>
  <si>
    <t>JAMES DAVENPORT</t>
  </si>
  <si>
    <t>JANET L. LYNN</t>
  </si>
  <si>
    <t>JENKINS &amp; JENKINS LLP</t>
  </si>
  <si>
    <t>JAMES MORGAN</t>
  </si>
  <si>
    <t>JOHN DEERE FINANCIAL f.s.b.</t>
  </si>
  <si>
    <t>JOHN MATTHEW FABIAN  PSY.D. J.D. LLC.</t>
  </si>
  <si>
    <t>JORDAN BATTERSBY  MCDONALD</t>
  </si>
  <si>
    <t>JUSTIN MATTHEW FOHN</t>
  </si>
  <si>
    <t>KAUFFMAN COMPANY</t>
  </si>
  <si>
    <t>KAYCI SCHULTZ WATSON</t>
  </si>
  <si>
    <t>KELLI BRIZENDINE</t>
  </si>
  <si>
    <t>KELLIE BAILEY</t>
  </si>
  <si>
    <t>KENNETH HANCOCK</t>
  </si>
  <si>
    <t>KENNETH LIMUEL</t>
  </si>
  <si>
    <t>KENT BROUSSARD TOWER RENTAL INC</t>
  </si>
  <si>
    <t>DIONNE HIEBERT</t>
  </si>
  <si>
    <t>KING'S PORTABLE THRONES</t>
  </si>
  <si>
    <t>KLEIBER FORD TRACTOR  INC.</t>
  </si>
  <si>
    <t>KOETTER FIRE PROTECTION OF AUSTIN  LLC</t>
  </si>
  <si>
    <t>KOFILE TECHNOLOGIES  INC.</t>
  </si>
  <si>
    <t>KRISTA BARTSCH</t>
  </si>
  <si>
    <t>KRISTIN BURNS</t>
  </si>
  <si>
    <t>LONGHORN INTERNATIONAL TRUCKS LTD</t>
  </si>
  <si>
    <t>THE LA GRANGE PARTS HOUSE INC</t>
  </si>
  <si>
    <t>LABATT INSTITUTIONAL SUPPLY CO</t>
  </si>
  <si>
    <t>LAURA ROBERTSON</t>
  </si>
  <si>
    <t>LUCIO LEAL</t>
  </si>
  <si>
    <t>LEDWELL &amp; SON ENTERPRISES  INC</t>
  </si>
  <si>
    <t>LEE COUNTY WATER SUPPLY CORP</t>
  </si>
  <si>
    <t>LENNOX INDUSTRIES INC</t>
  </si>
  <si>
    <t>AUSTIN LT  INC.</t>
  </si>
  <si>
    <t>AUSTIN L.T.  INC</t>
  </si>
  <si>
    <t>LEXISNEXIS RISK DATA MGMT INC</t>
  </si>
  <si>
    <t>LIBERTY TIRE RECYCLING</t>
  </si>
  <si>
    <t>LINDA HARMON-TAX ASSESSOR</t>
  </si>
  <si>
    <t>LLANO COUNTY SHERIFF</t>
  </si>
  <si>
    <t>LONE STAR CIRCLE OF CARE</t>
  </si>
  <si>
    <t>UNITED KWB COLLABORATIONS LLC</t>
  </si>
  <si>
    <t>LONGHORN EMERGENCY MEDICAL ASSOC PA</t>
  </si>
  <si>
    <t>LONGHORN MOBILE GLASS SERVICE INC</t>
  </si>
  <si>
    <t>LONNIE LAWRENCE DAVIS JR</t>
  </si>
  <si>
    <t>SCOTT BRYANT</t>
  </si>
  <si>
    <t>LOWE'S</t>
  </si>
  <si>
    <t>LUCINDA MOSLEY</t>
  </si>
  <si>
    <t>MAGIC TOUCH CLEANING SYSTEMS LLC</t>
  </si>
  <si>
    <t>MARGARET A RAIFORD</t>
  </si>
  <si>
    <t>MARK A RUMPLE</t>
  </si>
  <si>
    <t>MARK DAUBE</t>
  </si>
  <si>
    <t>MARK HANNA</t>
  </si>
  <si>
    <t>MARK T. MALONE  M.D. P.A</t>
  </si>
  <si>
    <t>SCI TEXAS FUNERAL SERVICES INC</t>
  </si>
  <si>
    <t>MARY ANGELA FREEMAN</t>
  </si>
  <si>
    <t>MARY BETH SCOTT</t>
  </si>
  <si>
    <t>MATHESON TRI-GAS INC</t>
  </si>
  <si>
    <t>MAURICE C. COOK</t>
  </si>
  <si>
    <t>MC LENNAN COUNTY CONSTABLE PCT 5</t>
  </si>
  <si>
    <t>McCOY'S BUILDING SUPPLY CENTER</t>
  </si>
  <si>
    <t>McCREARY  VESELKA  BRAGG &amp; ALLEN P</t>
  </si>
  <si>
    <t>McKESSON MEDICAL-SURGIVAL GOVERNMENT SOLUTIONS LLC</t>
  </si>
  <si>
    <t>MEDIMPACT HEALTHCARE SYSTEMS INC</t>
  </si>
  <si>
    <t>MEGAN FAITH ANDERSON</t>
  </si>
  <si>
    <t>MENTALIX INC</t>
  </si>
  <si>
    <t>MICHAEL PANZINO</t>
  </si>
  <si>
    <t>MICHELE MORGAN</t>
  </si>
  <si>
    <t>MIDTEX MATERIALS</t>
  </si>
  <si>
    <t>MARIE A FISHER</t>
  </si>
  <si>
    <t>LUDIVINA MALINA</t>
  </si>
  <si>
    <t>ROBERT M GIBSON</t>
  </si>
  <si>
    <t>TONDALIER OWENS</t>
  </si>
  <si>
    <t>JEREMIAH ROBERT WOHLD</t>
  </si>
  <si>
    <t>JULIANNE SHIRLEY</t>
  </si>
  <si>
    <t>Child Protective Services</t>
  </si>
  <si>
    <t>COURT APPOINTED SPECIAL ADVOCA</t>
  </si>
  <si>
    <t>Children's Advocacy Center</t>
  </si>
  <si>
    <t>Family Crisis Center</t>
  </si>
  <si>
    <t>JANA RAE MOUSSETTE</t>
  </si>
  <si>
    <t>DOUGLAS LYNN BARKER</t>
  </si>
  <si>
    <t>JAY LYNN MOOSE</t>
  </si>
  <si>
    <t>MICHAEL JOSEPH DODGE</t>
  </si>
  <si>
    <t>PAULA BENNETT</t>
  </si>
  <si>
    <t>RONALD DEAN MOORE</t>
  </si>
  <si>
    <t>LESLIE JEAN FRITSCHE</t>
  </si>
  <si>
    <t>CARMEN VALENCIA HERNANDEZ</t>
  </si>
  <si>
    <t>GUY DAVID BITTICK</t>
  </si>
  <si>
    <t>ORALIA GALVAN YBARBO</t>
  </si>
  <si>
    <t>CHRISTOPHER LEE ANDERSON</t>
  </si>
  <si>
    <t>HALEY MARIE ALBRECHT</t>
  </si>
  <si>
    <t>CRYSTAL JANNETTE RODRIGUEZ ROD</t>
  </si>
  <si>
    <t>SCOTT MATTHEW WRATTEN</t>
  </si>
  <si>
    <t>DANIEL JAMES WILLIS</t>
  </si>
  <si>
    <t>DANIEL ARTHUR COX</t>
  </si>
  <si>
    <t>MARY FOLK MAST</t>
  </si>
  <si>
    <t>KATHERINE MARIE THOMAS</t>
  </si>
  <si>
    <t>SANDRA KAY GEORGE</t>
  </si>
  <si>
    <t>CHARLES LOUIS LEONARD</t>
  </si>
  <si>
    <t>REBECCA LEE BROOKS</t>
  </si>
  <si>
    <t>CRYSTAL RAE HALL</t>
  </si>
  <si>
    <t>JUSTIN MATTHEW LAGEMAN</t>
  </si>
  <si>
    <t>ANABELL GUERRERO</t>
  </si>
  <si>
    <t>CHRISTOPHER JACOB CROUCH</t>
  </si>
  <si>
    <t>TREVOR RYAN FARWELL</t>
  </si>
  <si>
    <t>ROBERT JAMES JOHNSON</t>
  </si>
  <si>
    <t>PAULENE ANN SCOGGINS</t>
  </si>
  <si>
    <t>SAM ROPER PHILLIPPI</t>
  </si>
  <si>
    <t>PAMELA GAIL MACK</t>
  </si>
  <si>
    <t>MICHELE H NELSON</t>
  </si>
  <si>
    <t>KYLE EDWARD HARRISON</t>
  </si>
  <si>
    <t>TAIT MICHAEL CARTER</t>
  </si>
  <si>
    <t>MARY MICHELLE POTTER</t>
  </si>
  <si>
    <t>DAWN ROBERSON</t>
  </si>
  <si>
    <t>JAMES RANDALL RYAN</t>
  </si>
  <si>
    <t>CAROL ANN HANSEN</t>
  </si>
  <si>
    <t>KARRIE LYNN TAUSCHER</t>
  </si>
  <si>
    <t>EDWARD WILLIAM WHITELY JR</t>
  </si>
  <si>
    <t>HARVEY JOE VINKLAREK</t>
  </si>
  <si>
    <t>ROBBIN DUNGAN SIEVERT</t>
  </si>
  <si>
    <t>MARK WAYNE NYGARD</t>
  </si>
  <si>
    <t>LOGAN CODY LOPEZ</t>
  </si>
  <si>
    <t>ANDREW ALBERT LEWIS</t>
  </si>
  <si>
    <t>KRISTANNA HAYNER</t>
  </si>
  <si>
    <t>KEEGAN RENEE WINDHAM</t>
  </si>
  <si>
    <t>MONTERREY JAY GRANT</t>
  </si>
  <si>
    <t>GONZALO GONZALES</t>
  </si>
  <si>
    <t>ROSALIE A CARD</t>
  </si>
  <si>
    <t>BRADY BROWN</t>
  </si>
  <si>
    <t>KENDALL JADE ALVARADO</t>
  </si>
  <si>
    <t>JADWIN LEE HUBBARD</t>
  </si>
  <si>
    <t>BROOKE MICHELLE WYLES</t>
  </si>
  <si>
    <t>LONNY RAY BOSTIC</t>
  </si>
  <si>
    <t>JAMIE DEE FORD</t>
  </si>
  <si>
    <t>GERALDINE ANN MCCOY</t>
  </si>
  <si>
    <t>PAMELA PIPER CRABB</t>
  </si>
  <si>
    <t>SHERILYN KAATZ KISAMORE</t>
  </si>
  <si>
    <t>RUSSELL JAY ASH</t>
  </si>
  <si>
    <t>STACY ROY CARPENTER JR</t>
  </si>
  <si>
    <t>SCOTT JAY QUINTANILLA</t>
  </si>
  <si>
    <t>JON HAROLD KEENER</t>
  </si>
  <si>
    <t>DONNA JAYE MEZERA</t>
  </si>
  <si>
    <t>JEFFERY LEE TUFFENTSAMER</t>
  </si>
  <si>
    <t>SCOTT TYLER TUCKER</t>
  </si>
  <si>
    <t>SOUTHWEST TEXAS EQUIPMENT DIST INC</t>
  </si>
  <si>
    <t>MONARCH DISPOSAL  LLC</t>
  </si>
  <si>
    <t>MOTOROLA SOLUTIONS  IN.C</t>
  </si>
  <si>
    <t>NALCO COMPANY LLC</t>
  </si>
  <si>
    <t>NALLEY HVAC MECHANICAL LLC</t>
  </si>
  <si>
    <t>NANCY A LOZANO  CSR</t>
  </si>
  <si>
    <t>NATIONAL COMMISSION ON</t>
  </si>
  <si>
    <t>NATIONAL FOOD GROUP INC</t>
  </si>
  <si>
    <t>NATIONWIDE CAPITAL  LLC</t>
  </si>
  <si>
    <t>JOHN NIXON</t>
  </si>
  <si>
    <t>NORMAN SHARP</t>
  </si>
  <si>
    <t>NUECES FARM CENTER</t>
  </si>
  <si>
    <t>O'REILLY AUTOMOTIVE  INC.</t>
  </si>
  <si>
    <t>SOUTHERN FOODS GROUP LP</t>
  </si>
  <si>
    <t>OFFICE DEPOT</t>
  </si>
  <si>
    <t>ON SITE SERVICES</t>
  </si>
  <si>
    <t>OSKAR NISIMBLAT</t>
  </si>
  <si>
    <t>OPERATIONAL SUPPORT SERVICES INC</t>
  </si>
  <si>
    <t>PAIGE TRACTORS INC</t>
  </si>
  <si>
    <t>SL PARKER PARTNERSHIP LLC</t>
  </si>
  <si>
    <t>PATTERSON  VETERINARY SUPPLY INC</t>
  </si>
  <si>
    <t>CLEVELAND MACK SALES INC</t>
  </si>
  <si>
    <t>PFM ASSET MANAGEMENT LLC</t>
  </si>
  <si>
    <t>PHILIP L HALL</t>
  </si>
  <si>
    <t>PHILIP R DUCLOUX</t>
  </si>
  <si>
    <t>PM WILSON &amp; ASSOCIATES PLLC</t>
  </si>
  <si>
    <t>POST OAK HARDWARE  INC.</t>
  </si>
  <si>
    <t>ELGIN PROVIDENCE LLC</t>
  </si>
  <si>
    <t>QUEST DIAGNOSTICS CLINICAL LABORATORIES</t>
  </si>
  <si>
    <t>R.R. BRINK LOCKING SYSTEMS INC</t>
  </si>
  <si>
    <t>RANDY MC MILLAN</t>
  </si>
  <si>
    <t>NESTLE WATERS N AMERICA INC</t>
  </si>
  <si>
    <t>NRG ENERGY INC</t>
  </si>
  <si>
    <t>REPUBLIC TRUCK SALES   PARTS  &amp; REPAIRS LLC</t>
  </si>
  <si>
    <t>RESERVE ACCOUNT</t>
  </si>
  <si>
    <t>REYNOLDS &amp; KEINARTH</t>
  </si>
  <si>
    <t>RIC COLE</t>
  </si>
  <si>
    <t>RICHARD ALLAN DICKMAN JR</t>
  </si>
  <si>
    <t>RICOH USA INC</t>
  </si>
  <si>
    <t>RUNKLE ENTERPRISES</t>
  </si>
  <si>
    <t>ROADRUNNER RADIOLOGY EQUIP LLC</t>
  </si>
  <si>
    <t>ROBERT E CANTU M.D. P.A.</t>
  </si>
  <si>
    <t>ROBERT MADDEN INDUSTRIES LTD</t>
  </si>
  <si>
    <t>ROCIC</t>
  </si>
  <si>
    <t>ROCKY ROAD PRINTING</t>
  </si>
  <si>
    <t>ROSE PIETSCH COUNTY CLERK</t>
  </si>
  <si>
    <t>ROUND ROCK SURGERY CENTER LLC</t>
  </si>
  <si>
    <t>RUSH CHEVROLET LLC</t>
  </si>
  <si>
    <t>RUSSELL ABEL</t>
  </si>
  <si>
    <t>SAFELITE FULFILLMENT INC</t>
  </si>
  <si>
    <t>SALSBURY INDUSTRIES</t>
  </si>
  <si>
    <t>SAM HOUSTON STATE UNIVERSITY</t>
  </si>
  <si>
    <t>SAMMY LERMA III MD</t>
  </si>
  <si>
    <t>SANCHEZ EFRAIN</t>
  </si>
  <si>
    <t>SECURUS TECHNOLOGIES INC</t>
  </si>
  <si>
    <t>SETON HEALTHCARE SPONSORED PROJECTS</t>
  </si>
  <si>
    <t>FERRELLGAS  LP</t>
  </si>
  <si>
    <t>SHEILA CANTWELL</t>
  </si>
  <si>
    <t>SHI GOVERNMENT SOLUTIONS INC.</t>
  </si>
  <si>
    <t>SHOPPA'S FARM SUPPLY</t>
  </si>
  <si>
    <t>SHRED-IT US HOLDCO  INC</t>
  </si>
  <si>
    <t>RONALD JOHN CALDWELL JR</t>
  </si>
  <si>
    <t>SILSBEE FORD</t>
  </si>
  <si>
    <t>SILVIA ZUBIETA</t>
  </si>
  <si>
    <t>SMITH STORES  INC.</t>
  </si>
  <si>
    <t>SMITHVILLE AUTO PARTS  INC</t>
  </si>
  <si>
    <t>SMITHVILLE POLICE DEPT.</t>
  </si>
  <si>
    <t>SMITHVILLE VOLUNTEER FIRE DEPARTMENT</t>
  </si>
  <si>
    <t>SNEED  VINE &amp; PERRY  P.C.</t>
  </si>
  <si>
    <t>SOUTHERN TIRE MART LLC</t>
  </si>
  <si>
    <t>DS WATERS OF AMERICA INC</t>
  </si>
  <si>
    <t>SPARKLETTS &amp; SIERRA SPRINGS</t>
  </si>
  <si>
    <t>SRIDHAR P REDDY MD PA</t>
  </si>
  <si>
    <t>ST DAVID'S HEALTHCARE PARTNERSHIP</t>
  </si>
  <si>
    <t>ST. DAVIDS HEART &amp; VASCULAR  PLLC</t>
  </si>
  <si>
    <t>ST.DAVID'S HEALTHCARE PARTNERSHIP</t>
  </si>
  <si>
    <t>STAPLES ADVANTAGE</t>
  </si>
  <si>
    <t>STATE OF INDIANA</t>
  </si>
  <si>
    <t>STATE OF TEXAS</t>
  </si>
  <si>
    <t>STEPHEN A. THORNE  PHD  PLLC</t>
  </si>
  <si>
    <t>STERICYCLE  INC.</t>
  </si>
  <si>
    <t>STEVE GRANADO</t>
  </si>
  <si>
    <t>STEVEN A LONG</t>
  </si>
  <si>
    <t>MATTHEW LEE SULLINS</t>
  </si>
  <si>
    <t>SUN COAST RESOURCES</t>
  </si>
  <si>
    <t>SUNSHIELD WINDOW TINTING</t>
  </si>
  <si>
    <t>TEXAS ASSOCIATION OF ASSESSING OFFICERS</t>
  </si>
  <si>
    <t>TEXAS ASSN OF CONVENTION &amp; VISITORS BUREAU</t>
  </si>
  <si>
    <t>TAMMI JUNE HOLLAND</t>
  </si>
  <si>
    <t>TARRANT COUNTY CONSTABLE PCT 6</t>
  </si>
  <si>
    <t>TOTAL ADMINISTRATIVE SERVICES CORPORATION</t>
  </si>
  <si>
    <t>TAVCO SERVICES INC</t>
  </si>
  <si>
    <t>TAYLOR AUTO ELECTRIC INC.</t>
  </si>
  <si>
    <t>TEXAS DISTRICT &amp; COUNTY ATTORNEYS ASSOCIATION</t>
  </si>
  <si>
    <t>TEXAS DEPARTMENT OF CRIMINAL JUSTICE</t>
  </si>
  <si>
    <t>TEXAS A&amp;M ENGINEERING EXTENSION SERVICE</t>
  </si>
  <si>
    <t>TEJAS ELEVATOR COMPANY</t>
  </si>
  <si>
    <t>TERRILL L FLENNIKEN</t>
  </si>
  <si>
    <t>AIR RELIEF TECHNOLOGIES  INC</t>
  </si>
  <si>
    <t>JOHN J FIETSAM INC</t>
  </si>
  <si>
    <t>TEX-CON OIL CO</t>
  </si>
  <si>
    <t>TEXAS AGGREGATES  LLC</t>
  </si>
  <si>
    <t>TEXAS ASSOC OF CCL JUDGES</t>
  </si>
  <si>
    <t>TEXAS ASSOCIATES INSURORS AGENCY</t>
  </si>
  <si>
    <t>TEXAS ASSOCIATION OF COUNTIES</t>
  </si>
  <si>
    <t>TEXAS DEPARTMENT OF AGRICULTURE</t>
  </si>
  <si>
    <t>TEXAS DEPARTMENT OF MOTOR VEHICLES</t>
  </si>
  <si>
    <t>TEXAS DEPT OF PUBLIC SAFETY</t>
  </si>
  <si>
    <t>TEXAS FIRST CAT RENTAL</t>
  </si>
  <si>
    <t>TEXAS FLOODPLAIN MANAGEMENT ASSOCIATION</t>
  </si>
  <si>
    <t>TXFACT  LLC</t>
  </si>
  <si>
    <t>TEXAS JUSTICE COURT TRAINING CENTER</t>
  </si>
  <si>
    <t>TEXAS MATERIALS GROUP  INC.</t>
  </si>
  <si>
    <t>TEXAS PARKS &amp; WILDLIFE DEPARTMENT</t>
  </si>
  <si>
    <t>TEXAS VISION CLINIC  PLLC</t>
  </si>
  <si>
    <t>BUG MASTER EXTERMINATING SERVICES  LTD</t>
  </si>
  <si>
    <t>JAMES ANDREW CASEY</t>
  </si>
  <si>
    <t>THE CENTER FOR AMERICAN &amp; INTERNATIONAL LAW</t>
  </si>
  <si>
    <t>THE JONES ZYLON COMPANY  LLC</t>
  </si>
  <si>
    <t>THE JWLEHMAN GROUP  LLC</t>
  </si>
  <si>
    <t>RICHARD NELSON MOORE</t>
  </si>
  <si>
    <t>WEST PUBLISHING CORPORATION</t>
  </si>
  <si>
    <t>TWE-ADVANCE/NEWHOUSE PARTNERSHIP</t>
  </si>
  <si>
    <t>TRACTOR SUPPLY CREDIT PLAN</t>
  </si>
  <si>
    <t>TRANE</t>
  </si>
  <si>
    <t>TRAVIS COUNTY CONSTABLE PCT 5</t>
  </si>
  <si>
    <t>TRAVIS COUNTY EMERGENCY PHYSICIANS PA</t>
  </si>
  <si>
    <t>TRAVIS COUNTY MEDICAL EXAMINER</t>
  </si>
  <si>
    <t>KAUFFMAN TIRE</t>
  </si>
  <si>
    <t>TRP CONSTRUTION GROUP  LLC</t>
  </si>
  <si>
    <t>TULL FARLEY</t>
  </si>
  <si>
    <t>TYLER TECHNOLOGIES INC</t>
  </si>
  <si>
    <t>COUFAL-PRATER EQUIPMENT  LLC</t>
  </si>
  <si>
    <t>UNITED REFRIGERATION INC</t>
  </si>
  <si>
    <t>UNITED PARCEL SERVICE</t>
  </si>
  <si>
    <t>UROLOGY AUSTIN PLLC</t>
  </si>
  <si>
    <t>USA WRECKER SERVICES  LLC</t>
  </si>
  <si>
    <t>VERMEER EQUIPMENT OF TEXAS  INC.</t>
  </si>
  <si>
    <t>VIKING FENCE CO INC</t>
  </si>
  <si>
    <t>TEXAS DEPARTMENT OF STATE HEALTH SERVICES</t>
  </si>
  <si>
    <t>VORTECH PHARMACEUTICALS LTD</t>
  </si>
  <si>
    <t>VOTEC CORPORATION</t>
  </si>
  <si>
    <t>US BANK NA</t>
  </si>
  <si>
    <t>VULCAN CONSTRUCTION MATERIALS  LP</t>
  </si>
  <si>
    <t>VULCAN  INC.</t>
  </si>
  <si>
    <t>WAGEWORKS INC  FSA/HSA</t>
  </si>
  <si>
    <t>WALLER COUNTY ASPHALT INC</t>
  </si>
  <si>
    <t>WASTE CONNECTIONS LONE STAR. INC.</t>
  </si>
  <si>
    <t>WASTE MANAGEMENT OF TEXAS INC</t>
  </si>
  <si>
    <t>WATCH GUARD VIDEO</t>
  </si>
  <si>
    <t>MAO PHARMACY INC</t>
  </si>
  <si>
    <t>WICHITA COUNTY SHERIFF</t>
  </si>
  <si>
    <t>WILBERT'S TIRE CENTER</t>
  </si>
  <si>
    <t>WILLIAMSON COUNTY CONSTABLE PCT 2</t>
  </si>
  <si>
    <t>WILLIAMSON COUNTY CONSTABLE PCT 3</t>
  </si>
  <si>
    <t>WILLIAMSON COUNTY CONSTABLE PCT 4</t>
  </si>
  <si>
    <t>WILSON CULVERTS  INC.</t>
  </si>
  <si>
    <t>WJC CONSTRUCTORS SERVICES  LLC</t>
  </si>
  <si>
    <t>XEROX CORPORATION</t>
  </si>
  <si>
    <t>YOUNGS PROFESSIONAL SERVICES  LLC</t>
  </si>
  <si>
    <t>ZOETIS US LLC</t>
  </si>
  <si>
    <t>GEOGRAPHIC INFORMATION SERVICES  INC</t>
  </si>
  <si>
    <t>RDO EQUIPMENT CO.</t>
  </si>
  <si>
    <t>SARAH D. JACKSON</t>
  </si>
  <si>
    <t>ALLSTATE-AMERICAN HERITAGE LIFE INS CO</t>
  </si>
  <si>
    <t>AmWINS Group Benefits  Inc.</t>
  </si>
  <si>
    <t>BASTROP COUNTY ADULT PROBATION</t>
  </si>
  <si>
    <t>COLONIAL LIFE &amp; ACCIDENT INS. CO.</t>
  </si>
  <si>
    <t>DEBORAH B LANGEHENNIG</t>
  </si>
  <si>
    <t>GUARDIAN</t>
  </si>
  <si>
    <t>IRS-PAYROLL TAXES</t>
  </si>
  <si>
    <t>MICHIGAN STATE DISBURSEMENT UNIT(MiSDU)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</si>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</sst>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3"/>
  <sheetViews>
    <sheetView tabSelected="1" workbookViewId="0">
      <selection activeCell="A2" sqref="A2"/>
    </sheetView>
  </sheetViews>
  <sheetFormatPr defaultRowHeight="15" x14ac:dyDescent="0.25"/>
  <cols>
    <col min="1" max="1" width="56.710937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19.42578125" bestFit="1" customWidth="1"/>
    <col min="6" max="6" width="34.85546875" bestFit="1" customWidth="1"/>
    <col min="7" max="7" width="15.85546875" style="2" bestFit="1" customWidth="1"/>
    <col min="8" max="8" width="34.85546875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83516</v>
      </c>
      <c r="C2" s="2">
        <v>90</v>
      </c>
      <c r="D2" s="1">
        <v>43703</v>
      </c>
      <c r="E2" t="str">
        <f>"201908151110"</f>
        <v>201908151110</v>
      </c>
      <c r="F2" t="str">
        <f>"REFUND BAIL BOND STICKERS"</f>
        <v>REFUND BAIL BOND STICKERS</v>
      </c>
      <c r="G2" s="2">
        <v>90</v>
      </c>
      <c r="H2" t="str">
        <f>"REFUND BAIL BOND STICKERS"</f>
        <v>REFUND BAIL BOND STICKERS</v>
      </c>
    </row>
    <row r="3" spans="1:8" x14ac:dyDescent="0.25">
      <c r="A3" t="s">
        <v>9</v>
      </c>
      <c r="B3">
        <v>83288</v>
      </c>
      <c r="C3" s="2">
        <v>87000</v>
      </c>
      <c r="D3" s="1">
        <v>43689</v>
      </c>
      <c r="E3" t="str">
        <f>"19-1056-02"</f>
        <v>19-1056-02</v>
      </c>
      <c r="F3" t="str">
        <f>"RFB19BCP02C / PCT#4"</f>
        <v>RFB19BCP02C / PCT#4</v>
      </c>
      <c r="G3" s="2">
        <v>87000</v>
      </c>
      <c r="H3" t="str">
        <f>"RFB19BCP02C / PCT#4"</f>
        <v>RFB19BCP02C / PCT#4</v>
      </c>
    </row>
    <row r="4" spans="1:8" x14ac:dyDescent="0.25">
      <c r="A4" t="s">
        <v>10</v>
      </c>
      <c r="B4">
        <v>83289</v>
      </c>
      <c r="C4" s="2">
        <v>10728.97</v>
      </c>
      <c r="D4" s="1">
        <v>43689</v>
      </c>
      <c r="E4" t="str">
        <f>"9725-001-109858"</f>
        <v>9725-001-109858</v>
      </c>
      <c r="F4" t="str">
        <f t="shared" ref="F4:F13" si="0">"ACCT#9725-001/REC BASE/PCT#2"</f>
        <v>ACCT#9725-001/REC BASE/PCT#2</v>
      </c>
      <c r="G4" s="2">
        <v>227.76</v>
      </c>
      <c r="H4" t="str">
        <f>"ACCT#9725-001/REC BASE/PCT#2"</f>
        <v>ACCT#9725-001/REC BASE/PCT#2</v>
      </c>
    </row>
    <row r="5" spans="1:8" x14ac:dyDescent="0.25">
      <c r="E5" t="str">
        <f>"9725-001-109897"</f>
        <v>9725-001-109897</v>
      </c>
      <c r="F5" t="str">
        <f t="shared" si="0"/>
        <v>ACCT#9725-001/REC BASE/PCT#2</v>
      </c>
      <c r="G5" s="2">
        <v>638.4</v>
      </c>
      <c r="H5" t="str">
        <f>"ACCT#9725-001/REC BASE/PCT#2"</f>
        <v>ACCT#9725-001/REC BASE/PCT#2</v>
      </c>
    </row>
    <row r="6" spans="1:8" x14ac:dyDescent="0.25">
      <c r="E6" t="str">
        <f>"9725-001-109920"</f>
        <v>9725-001-109920</v>
      </c>
      <c r="F6" t="str">
        <f t="shared" si="0"/>
        <v>ACCT#9725-001/REC BASE/PCT#2</v>
      </c>
      <c r="G6" s="2">
        <v>430.41</v>
      </c>
      <c r="H6" t="str">
        <f>"ACCT#9725-001/REC BASE/PCT#2"</f>
        <v>ACCT#9725-001/REC BASE/PCT#2</v>
      </c>
    </row>
    <row r="7" spans="1:8" x14ac:dyDescent="0.25">
      <c r="E7" t="str">
        <f>"9725-001-109974"</f>
        <v>9725-001-109974</v>
      </c>
      <c r="F7" t="str">
        <f t="shared" si="0"/>
        <v>ACCT#9725-001/REC BASE/PCT#2</v>
      </c>
      <c r="G7" s="2">
        <v>425.25</v>
      </c>
      <c r="H7" t="str">
        <f>"ACCT#9725-001/REC BASE/PCT#3"</f>
        <v>ACCT#9725-001/REC BASE/PCT#3</v>
      </c>
    </row>
    <row r="8" spans="1:8" x14ac:dyDescent="0.25">
      <c r="E8" t="str">
        <f>"9725-001-110001"</f>
        <v>9725-001-110001</v>
      </c>
      <c r="F8" t="str">
        <f t="shared" si="0"/>
        <v>ACCT#9725-001/REC BASE/PCT#2</v>
      </c>
      <c r="G8" s="2">
        <v>1064.69</v>
      </c>
      <c r="H8" t="str">
        <f>"ACCT#9725-001/REC BASE/PCT#3"</f>
        <v>ACCT#9725-001/REC BASE/PCT#3</v>
      </c>
    </row>
    <row r="9" spans="1:8" x14ac:dyDescent="0.25">
      <c r="E9" t="str">
        <f>"9725-001-110038"</f>
        <v>9725-001-110038</v>
      </c>
      <c r="F9" t="str">
        <f t="shared" si="0"/>
        <v>ACCT#9725-001/REC BASE/PCT#2</v>
      </c>
      <c r="G9" s="2">
        <v>629.29999999999995</v>
      </c>
      <c r="H9" t="str">
        <f>"ACCT#9725-001/REC BASE/PCT#2"</f>
        <v>ACCT#9725-001/REC BASE/PCT#2</v>
      </c>
    </row>
    <row r="10" spans="1:8" x14ac:dyDescent="0.25">
      <c r="E10" t="str">
        <f>"9725-001-110066"</f>
        <v>9725-001-110066</v>
      </c>
      <c r="F10" t="str">
        <f t="shared" si="0"/>
        <v>ACCT#9725-001/REC BASE/PCT#2</v>
      </c>
      <c r="G10" s="2">
        <v>844.46</v>
      </c>
      <c r="H10" t="str">
        <f>"ACCT#9725-001/REC BASE/PCT#2"</f>
        <v>ACCT#9725-001/REC BASE/PCT#2</v>
      </c>
    </row>
    <row r="11" spans="1:8" x14ac:dyDescent="0.25">
      <c r="E11" t="str">
        <f>"9725-001-110097"</f>
        <v>9725-001-110097</v>
      </c>
      <c r="F11" t="str">
        <f t="shared" si="0"/>
        <v>ACCT#9725-001/REC BASE/PCT#2</v>
      </c>
      <c r="G11" s="2">
        <v>216.56</v>
      </c>
      <c r="H11" t="str">
        <f>"ACCT#9725-001/REC BASE/PCT#2"</f>
        <v>ACCT#9725-001/REC BASE/PCT#2</v>
      </c>
    </row>
    <row r="12" spans="1:8" x14ac:dyDescent="0.25">
      <c r="E12" t="str">
        <f>"9725-001-110129"</f>
        <v>9725-001-110129</v>
      </c>
      <c r="F12" t="str">
        <f t="shared" si="0"/>
        <v>ACCT#9725-001/REC BASE/PCT#2</v>
      </c>
      <c r="G12" s="2">
        <v>868.18</v>
      </c>
      <c r="H12" t="str">
        <f>"ACCT#9725-001/REC BASE/PCT#2"</f>
        <v>ACCT#9725-001/REC BASE/PCT#2</v>
      </c>
    </row>
    <row r="13" spans="1:8" x14ac:dyDescent="0.25">
      <c r="E13" t="str">
        <f>"9725-001-110167"</f>
        <v>9725-001-110167</v>
      </c>
      <c r="F13" t="str">
        <f t="shared" si="0"/>
        <v>ACCT#9725-001/REC BASE/PCT#2</v>
      </c>
      <c r="G13" s="2">
        <v>1075.72</v>
      </c>
      <c r="H13" t="str">
        <f>"ACCT#9725-001/REC BASE/PCT#2"</f>
        <v>ACCT#9725-001/REC BASE/PCT#2</v>
      </c>
    </row>
    <row r="14" spans="1:8" x14ac:dyDescent="0.25">
      <c r="E14" t="str">
        <f>"9725-007-109985"</f>
        <v>9725-007-109985</v>
      </c>
      <c r="F14" t="str">
        <f>"ACCT#9725-007/REC BASE/PCT#4"</f>
        <v>ACCT#9725-007/REC BASE/PCT#4</v>
      </c>
      <c r="G14" s="2">
        <v>1583.31</v>
      </c>
      <c r="H14" t="str">
        <f>"ACCT#9725-007/REC BASE/PCT#4"</f>
        <v>ACCT#9725-007/REC BASE/PCT#4</v>
      </c>
    </row>
    <row r="15" spans="1:8" x14ac:dyDescent="0.25">
      <c r="E15" t="str">
        <f>"9725-007-110016"</f>
        <v>9725-007-110016</v>
      </c>
      <c r="F15" t="str">
        <f>"ACCT#9725-007/REC BASE/PCT#4"</f>
        <v>ACCT#9725-007/REC BASE/PCT#4</v>
      </c>
      <c r="G15" s="2">
        <v>120.23</v>
      </c>
      <c r="H15" t="str">
        <f>"ACCT#9725-007/REC BASE/PCT#4"</f>
        <v>ACCT#9725-007/REC BASE/PCT#4</v>
      </c>
    </row>
    <row r="16" spans="1:8" x14ac:dyDescent="0.25">
      <c r="E16" t="str">
        <f>"9725-007-110050"</f>
        <v>9725-007-110050</v>
      </c>
      <c r="F16" t="str">
        <f>"ACCT#9725-007/REC BASE/PCT#4"</f>
        <v>ACCT#9725-007/REC BASE/PCT#4</v>
      </c>
      <c r="G16" s="2">
        <v>1162.17</v>
      </c>
      <c r="H16" t="str">
        <f>"ACCT#9725-007/REC BASE/PCT#4"</f>
        <v>ACCT#9725-007/REC BASE/PCT#4</v>
      </c>
    </row>
    <row r="17" spans="1:8" x14ac:dyDescent="0.25">
      <c r="E17" t="str">
        <f>"9725-007-110177"</f>
        <v>9725-007-110177</v>
      </c>
      <c r="F17" t="str">
        <f>"ACCT#9725-007/REC BASE/PCT#4"</f>
        <v>ACCT#9725-007/REC BASE/PCT#4</v>
      </c>
      <c r="G17" s="2">
        <v>1442.53</v>
      </c>
      <c r="H17" t="str">
        <f>"ACCT#9725-007/REC BASE/PCT#4"</f>
        <v>ACCT#9725-007/REC BASE/PCT#4</v>
      </c>
    </row>
    <row r="18" spans="1:8" x14ac:dyDescent="0.25">
      <c r="A18" t="s">
        <v>10</v>
      </c>
      <c r="B18">
        <v>83517</v>
      </c>
      <c r="C18" s="2">
        <v>12577.87</v>
      </c>
      <c r="D18" s="1">
        <v>43703</v>
      </c>
      <c r="E18" t="str">
        <f>"9725-004-110497"</f>
        <v>9725-004-110497</v>
      </c>
      <c r="F18" t="str">
        <f>"ACCT#9725-004/REC BASE/PCT#1"</f>
        <v>ACCT#9725-004/REC BASE/PCT#1</v>
      </c>
      <c r="G18" s="2">
        <v>692.57</v>
      </c>
      <c r="H18" t="str">
        <f>"ACCT#9725-004/REC BASE/PCT#1"</f>
        <v>ACCT#9725-004/REC BASE/PCT#1</v>
      </c>
    </row>
    <row r="19" spans="1:8" x14ac:dyDescent="0.25">
      <c r="E19" t="str">
        <f>"9725-004-110527"</f>
        <v>9725-004-110527</v>
      </c>
      <c r="F19" t="str">
        <f>"ACCT#9725-004/REC BASE/PCT#1"</f>
        <v>ACCT#9725-004/REC BASE/PCT#1</v>
      </c>
      <c r="G19" s="2">
        <v>289.81</v>
      </c>
      <c r="H19" t="str">
        <f>"ACCT#9725-004/REC BASE/PCT#1"</f>
        <v>ACCT#9725-004/REC BASE/PCT#1</v>
      </c>
    </row>
    <row r="20" spans="1:8" x14ac:dyDescent="0.25">
      <c r="E20" t="str">
        <f>"9725-007-110361"</f>
        <v>9725-007-110361</v>
      </c>
      <c r="F20" t="str">
        <f t="shared" ref="F20:F26" si="1">"ACCT#9725-007/REC BASE/PCT#4"</f>
        <v>ACCT#9725-007/REC BASE/PCT#4</v>
      </c>
      <c r="G20" s="2">
        <v>783.04</v>
      </c>
      <c r="H20" t="str">
        <f t="shared" ref="H20:H26" si="2">"ACCT#9725-007/REC BASE/PCT#4"</f>
        <v>ACCT#9725-007/REC BASE/PCT#4</v>
      </c>
    </row>
    <row r="21" spans="1:8" x14ac:dyDescent="0.25">
      <c r="E21" t="str">
        <f>"9725-007-110387"</f>
        <v>9725-007-110387</v>
      </c>
      <c r="F21" t="str">
        <f t="shared" si="1"/>
        <v>ACCT#9725-007/REC BASE/PCT#4</v>
      </c>
      <c r="G21" s="2">
        <v>738.77</v>
      </c>
      <c r="H21" t="str">
        <f t="shared" si="2"/>
        <v>ACCT#9725-007/REC BASE/PCT#4</v>
      </c>
    </row>
    <row r="22" spans="1:8" x14ac:dyDescent="0.25">
      <c r="E22" t="str">
        <f>"9725-007-110429"</f>
        <v>9725-007-110429</v>
      </c>
      <c r="F22" t="str">
        <f t="shared" si="1"/>
        <v>ACCT#9725-007/REC BASE/PCT#4</v>
      </c>
      <c r="G22" s="2">
        <v>187.08</v>
      </c>
      <c r="H22" t="str">
        <f t="shared" si="2"/>
        <v>ACCT#9725-007/REC BASE/PCT#4</v>
      </c>
    </row>
    <row r="23" spans="1:8" x14ac:dyDescent="0.25">
      <c r="E23" t="str">
        <f>"9725-007-110466"</f>
        <v>9725-007-110466</v>
      </c>
      <c r="F23" t="str">
        <f t="shared" si="1"/>
        <v>ACCT#9725-007/REC BASE/PCT#4</v>
      </c>
      <c r="G23" s="2">
        <v>2961.1</v>
      </c>
      <c r="H23" t="str">
        <f t="shared" si="2"/>
        <v>ACCT#9725-007/REC BASE/PCT#4</v>
      </c>
    </row>
    <row r="24" spans="1:8" x14ac:dyDescent="0.25">
      <c r="E24" t="str">
        <f>"9725-007-110498"</f>
        <v>9725-007-110498</v>
      </c>
      <c r="F24" t="str">
        <f t="shared" si="1"/>
        <v>ACCT#9725-007/REC BASE/PCT#4</v>
      </c>
      <c r="G24" s="2">
        <v>2055.0500000000002</v>
      </c>
      <c r="H24" t="str">
        <f t="shared" si="2"/>
        <v>ACCT#9725-007/REC BASE/PCT#4</v>
      </c>
    </row>
    <row r="25" spans="1:8" x14ac:dyDescent="0.25">
      <c r="E25" t="str">
        <f>"9725-007-110528"</f>
        <v>9725-007-110528</v>
      </c>
      <c r="F25" t="str">
        <f t="shared" si="1"/>
        <v>ACCT#9725-007/REC BASE/PCT#4</v>
      </c>
      <c r="G25" s="2">
        <v>3147.82</v>
      </c>
      <c r="H25" t="str">
        <f t="shared" si="2"/>
        <v>ACCT#9725-007/REC BASE/PCT#4</v>
      </c>
    </row>
    <row r="26" spans="1:8" x14ac:dyDescent="0.25">
      <c r="E26" t="str">
        <f>"9725-007-110557"</f>
        <v>9725-007-110557</v>
      </c>
      <c r="F26" t="str">
        <f t="shared" si="1"/>
        <v>ACCT#9725-007/REC BASE/PCT#4</v>
      </c>
      <c r="G26" s="2">
        <v>1722.63</v>
      </c>
      <c r="H26" t="str">
        <f t="shared" si="2"/>
        <v>ACCT#9725-007/REC BASE/PCT#4</v>
      </c>
    </row>
    <row r="27" spans="1:8" x14ac:dyDescent="0.25">
      <c r="A27" t="s">
        <v>11</v>
      </c>
      <c r="B27">
        <v>83518</v>
      </c>
      <c r="C27" s="2">
        <v>120</v>
      </c>
      <c r="D27" s="1">
        <v>43703</v>
      </c>
      <c r="E27" t="str">
        <f>"201908151111"</f>
        <v>201908151111</v>
      </c>
      <c r="F27" t="str">
        <f>"REFUND BAIL BOND STICKERS"</f>
        <v>REFUND BAIL BOND STICKERS</v>
      </c>
      <c r="G27" s="2">
        <v>120</v>
      </c>
      <c r="H27" t="str">
        <f>"REFUND BAIL BOND STICKERS"</f>
        <v>REFUND BAIL BOND STICKERS</v>
      </c>
    </row>
    <row r="28" spans="1:8" x14ac:dyDescent="0.25">
      <c r="A28" t="s">
        <v>12</v>
      </c>
      <c r="B28">
        <v>83290</v>
      </c>
      <c r="C28" s="2">
        <v>1015.27</v>
      </c>
      <c r="D28" s="1">
        <v>43689</v>
      </c>
      <c r="E28" t="str">
        <f>"201908060908"</f>
        <v>201908060908</v>
      </c>
      <c r="F28" t="str">
        <f>"CUST ID:16500/STATEMENT#356890"</f>
        <v>CUST ID:16500/STATEMENT#356890</v>
      </c>
      <c r="G28" s="2">
        <v>1015.27</v>
      </c>
      <c r="H28" t="str">
        <f>"CUST ID:16500/STATEMENT#356890"</f>
        <v>CUST ID:16500/STATEMENT#356890</v>
      </c>
    </row>
    <row r="29" spans="1:8" x14ac:dyDescent="0.25">
      <c r="A29" t="s">
        <v>13</v>
      </c>
      <c r="B29">
        <v>1153</v>
      </c>
      <c r="C29" s="2">
        <v>6444.43</v>
      </c>
      <c r="D29" s="1">
        <v>43690</v>
      </c>
      <c r="E29" t="str">
        <f>"201908060907"</f>
        <v>201908060907</v>
      </c>
      <c r="F29" t="str">
        <f>"HAULING EXPS/07/08-08/02/PCT#4"</f>
        <v>HAULING EXPS/07/08-08/02/PCT#4</v>
      </c>
      <c r="G29" s="2">
        <v>6444.43</v>
      </c>
      <c r="H29" t="str">
        <f>"HAULING EXPS/07/08-08/02/PCT#4"</f>
        <v>HAULING EXPS/07/08-08/02/PCT#4</v>
      </c>
    </row>
    <row r="30" spans="1:8" x14ac:dyDescent="0.25">
      <c r="A30" t="s">
        <v>13</v>
      </c>
      <c r="B30">
        <v>1228</v>
      </c>
      <c r="C30" s="2">
        <v>6384.79</v>
      </c>
      <c r="D30" s="1">
        <v>43704</v>
      </c>
      <c r="E30" t="str">
        <f>"201908201121"</f>
        <v>201908201121</v>
      </c>
      <c r="F30" t="str">
        <f>"HAULING EXPS 08/06-08/13/PCT#4"</f>
        <v>HAULING EXPS 08/06-08/13/PCT#4</v>
      </c>
      <c r="G30" s="2">
        <v>6384.79</v>
      </c>
      <c r="H30" t="str">
        <f>"HAULING EXPS 08/06-08/13/PCT#4"</f>
        <v>HAULING EXPS 08/06-08/13/PCT#4</v>
      </c>
    </row>
    <row r="31" spans="1:8" x14ac:dyDescent="0.25">
      <c r="A31" t="s">
        <v>14</v>
      </c>
      <c r="B31">
        <v>1146</v>
      </c>
      <c r="C31" s="2">
        <v>1147.7</v>
      </c>
      <c r="D31" s="1">
        <v>43690</v>
      </c>
      <c r="E31" t="str">
        <f>"215-500017-01"</f>
        <v>215-500017-01</v>
      </c>
      <c r="F31" t="str">
        <f>"INV 215-500017-01"</f>
        <v>INV 215-500017-01</v>
      </c>
      <c r="G31" s="2">
        <v>1147.7</v>
      </c>
      <c r="H31" t="str">
        <f>"INV 215-500017-01"</f>
        <v>INV 215-500017-01</v>
      </c>
    </row>
    <row r="32" spans="1:8" x14ac:dyDescent="0.25">
      <c r="A32" t="s">
        <v>15</v>
      </c>
      <c r="B32">
        <v>83291</v>
      </c>
      <c r="C32" s="2">
        <v>515</v>
      </c>
      <c r="D32" s="1">
        <v>43689</v>
      </c>
      <c r="E32" t="str">
        <f>"201908060984"</f>
        <v>201908060984</v>
      </c>
      <c r="F32" t="str">
        <f>"19-19768"</f>
        <v>19-19768</v>
      </c>
      <c r="G32" s="2">
        <v>75</v>
      </c>
      <c r="H32" t="str">
        <f>"19-19768"</f>
        <v>19-19768</v>
      </c>
    </row>
    <row r="33" spans="1:8" x14ac:dyDescent="0.25">
      <c r="E33" t="str">
        <f>"201908070985"</f>
        <v>201908070985</v>
      </c>
      <c r="F33" t="str">
        <f>"19-19423"</f>
        <v>19-19423</v>
      </c>
      <c r="G33" s="2">
        <v>115</v>
      </c>
      <c r="H33" t="str">
        <f>"19-19423"</f>
        <v>19-19423</v>
      </c>
    </row>
    <row r="34" spans="1:8" x14ac:dyDescent="0.25">
      <c r="E34" t="str">
        <f>"201908070986"</f>
        <v>201908070986</v>
      </c>
      <c r="F34" t="str">
        <f>"14-16404"</f>
        <v>14-16404</v>
      </c>
      <c r="G34" s="2">
        <v>142.5</v>
      </c>
      <c r="H34" t="str">
        <f>"14-16404"</f>
        <v>14-16404</v>
      </c>
    </row>
    <row r="35" spans="1:8" x14ac:dyDescent="0.25">
      <c r="E35" t="str">
        <f>"201908070987"</f>
        <v>201908070987</v>
      </c>
      <c r="F35" t="str">
        <f>"19-19713"</f>
        <v>19-19713</v>
      </c>
      <c r="G35" s="2">
        <v>182.5</v>
      </c>
      <c r="H35" t="str">
        <f>"19-19713"</f>
        <v>19-19713</v>
      </c>
    </row>
    <row r="36" spans="1:8" x14ac:dyDescent="0.25">
      <c r="A36" t="s">
        <v>16</v>
      </c>
      <c r="B36">
        <v>83292</v>
      </c>
      <c r="C36" s="2">
        <v>2900</v>
      </c>
      <c r="D36" s="1">
        <v>43689</v>
      </c>
      <c r="E36" t="str">
        <f>"201907230634"</f>
        <v>201907230634</v>
      </c>
      <c r="F36" t="str">
        <f>"16464"</f>
        <v>16464</v>
      </c>
      <c r="G36" s="2">
        <v>400</v>
      </c>
      <c r="H36" t="str">
        <f>"16464"</f>
        <v>16464</v>
      </c>
    </row>
    <row r="37" spans="1:8" x14ac:dyDescent="0.25">
      <c r="E37" t="str">
        <f>"201907250674"</f>
        <v>201907250674</v>
      </c>
      <c r="F37" t="str">
        <f>"16801"</f>
        <v>16801</v>
      </c>
      <c r="G37" s="2">
        <v>400</v>
      </c>
      <c r="H37" t="str">
        <f>"16801"</f>
        <v>16801</v>
      </c>
    </row>
    <row r="38" spans="1:8" x14ac:dyDescent="0.25">
      <c r="E38" t="str">
        <f>"201907290698"</f>
        <v>201907290698</v>
      </c>
      <c r="F38" t="str">
        <f>"16 910"</f>
        <v>16 910</v>
      </c>
      <c r="G38" s="2">
        <v>100</v>
      </c>
      <c r="H38" t="str">
        <f>"16 910"</f>
        <v>16 910</v>
      </c>
    </row>
    <row r="39" spans="1:8" x14ac:dyDescent="0.25">
      <c r="E39" t="str">
        <f>"201908010777"</f>
        <v>201908010777</v>
      </c>
      <c r="F39" t="str">
        <f>"16 665"</f>
        <v>16 665</v>
      </c>
      <c r="G39" s="2">
        <v>350</v>
      </c>
      <c r="H39" t="str">
        <f>"16 665"</f>
        <v>16 665</v>
      </c>
    </row>
    <row r="40" spans="1:8" x14ac:dyDescent="0.25">
      <c r="E40" t="str">
        <f>"201908010778"</f>
        <v>201908010778</v>
      </c>
      <c r="F40" t="str">
        <f>"16 683"</f>
        <v>16 683</v>
      </c>
      <c r="G40" s="2">
        <v>350</v>
      </c>
      <c r="H40" t="str">
        <f>"16 683"</f>
        <v>16 683</v>
      </c>
    </row>
    <row r="41" spans="1:8" x14ac:dyDescent="0.25">
      <c r="E41" t="str">
        <f>"201908010779"</f>
        <v>201908010779</v>
      </c>
      <c r="F41" t="str">
        <f>"16 838  16 919"</f>
        <v>16 838  16 919</v>
      </c>
      <c r="G41" s="2">
        <v>350</v>
      </c>
      <c r="H41" t="str">
        <f>"16 838  16 919"</f>
        <v>16 838  16 919</v>
      </c>
    </row>
    <row r="42" spans="1:8" x14ac:dyDescent="0.25">
      <c r="E42" t="str">
        <f>"201908010780"</f>
        <v>201908010780</v>
      </c>
      <c r="F42" t="str">
        <f>"16 852"</f>
        <v>16 852</v>
      </c>
      <c r="G42" s="2">
        <v>350</v>
      </c>
      <c r="H42" t="str">
        <f>"16 852"</f>
        <v>16 852</v>
      </c>
    </row>
    <row r="43" spans="1:8" x14ac:dyDescent="0.25">
      <c r="E43" t="str">
        <f>"201908010781"</f>
        <v>201908010781</v>
      </c>
      <c r="F43" t="str">
        <f>"16 913"</f>
        <v>16 913</v>
      </c>
      <c r="G43" s="2">
        <v>25</v>
      </c>
      <c r="H43" t="str">
        <f>"16 913"</f>
        <v>16 913</v>
      </c>
    </row>
    <row r="44" spans="1:8" x14ac:dyDescent="0.25">
      <c r="E44" t="str">
        <f>"201908010782"</f>
        <v>201908010782</v>
      </c>
      <c r="F44" t="str">
        <f>"19-S-01017-5"</f>
        <v>19-S-01017-5</v>
      </c>
      <c r="G44" s="2">
        <v>100</v>
      </c>
      <c r="H44" t="str">
        <f>"19-S-01017-5"</f>
        <v>19-S-01017-5</v>
      </c>
    </row>
    <row r="45" spans="1:8" x14ac:dyDescent="0.25">
      <c r="E45" t="str">
        <f>"201908010783"</f>
        <v>201908010783</v>
      </c>
      <c r="F45" t="str">
        <f>"W-JP104242019A"</f>
        <v>W-JP104242019A</v>
      </c>
      <c r="G45" s="2">
        <v>75</v>
      </c>
      <c r="H45" t="str">
        <f>"W-JP104242019A"</f>
        <v>W-JP104242019A</v>
      </c>
    </row>
    <row r="46" spans="1:8" x14ac:dyDescent="0.25">
      <c r="E46" t="str">
        <f>"201908010784"</f>
        <v>201908010784</v>
      </c>
      <c r="F46" t="str">
        <f>"18-S-05758"</f>
        <v>18-S-05758</v>
      </c>
      <c r="G46" s="2">
        <v>75</v>
      </c>
      <c r="H46" t="str">
        <f>"18-S-05758"</f>
        <v>18-S-05758</v>
      </c>
    </row>
    <row r="47" spans="1:8" x14ac:dyDescent="0.25">
      <c r="E47" t="str">
        <f>"201908010785"</f>
        <v>201908010785</v>
      </c>
      <c r="F47" t="str">
        <f>"304272019G"</f>
        <v>304272019G</v>
      </c>
      <c r="G47" s="2">
        <v>250</v>
      </c>
      <c r="H47" t="str">
        <f>"304272019G"</f>
        <v>304272019G</v>
      </c>
    </row>
    <row r="48" spans="1:8" x14ac:dyDescent="0.25">
      <c r="E48" t="str">
        <f>"201908010786"</f>
        <v>201908010786</v>
      </c>
      <c r="F48" t="str">
        <f>"405319-1"</f>
        <v>405319-1</v>
      </c>
      <c r="G48" s="2">
        <v>25</v>
      </c>
      <c r="H48" t="str">
        <f>"405319-1"</f>
        <v>405319-1</v>
      </c>
    </row>
    <row r="49" spans="1:8" x14ac:dyDescent="0.25">
      <c r="E49" t="str">
        <f>"201908010787"</f>
        <v>201908010787</v>
      </c>
      <c r="F49" t="str">
        <f>"JP103112019B"</f>
        <v>JP103112019B</v>
      </c>
      <c r="G49" s="2">
        <v>25</v>
      </c>
      <c r="H49" t="str">
        <f>"JP103112019B"</f>
        <v>JP103112019B</v>
      </c>
    </row>
    <row r="50" spans="1:8" x14ac:dyDescent="0.25">
      <c r="E50" t="str">
        <f>"201908010788"</f>
        <v>201908010788</v>
      </c>
      <c r="F50" t="str">
        <f>"02-0410-1"</f>
        <v>02-0410-1</v>
      </c>
      <c r="G50" s="2">
        <v>25</v>
      </c>
      <c r="H50" t="str">
        <f>"02-0410-1"</f>
        <v>02-0410-1</v>
      </c>
    </row>
    <row r="51" spans="1:8" x14ac:dyDescent="0.25">
      <c r="A51" t="s">
        <v>16</v>
      </c>
      <c r="B51">
        <v>83519</v>
      </c>
      <c r="C51" s="2">
        <v>75</v>
      </c>
      <c r="D51" s="1">
        <v>43703</v>
      </c>
      <c r="E51" t="str">
        <f>"201908141063"</f>
        <v>201908141063</v>
      </c>
      <c r="F51" t="str">
        <f>"302052019A"</f>
        <v>302052019A</v>
      </c>
      <c r="G51" s="2">
        <v>75</v>
      </c>
      <c r="H51" t="str">
        <f>"302052019A"</f>
        <v>302052019A</v>
      </c>
    </row>
    <row r="52" spans="1:8" x14ac:dyDescent="0.25">
      <c r="A52" t="s">
        <v>17</v>
      </c>
      <c r="B52">
        <v>1158</v>
      </c>
      <c r="C52" s="2">
        <v>313.89999999999998</v>
      </c>
      <c r="D52" s="1">
        <v>43690</v>
      </c>
      <c r="E52" t="str">
        <f>"201907300702"</f>
        <v>201907300702</v>
      </c>
      <c r="F52" t="str">
        <f>"REIMBURSE-MAIL/AMAZON"</f>
        <v>REIMBURSE-MAIL/AMAZON</v>
      </c>
      <c r="G52" s="2">
        <v>212.24</v>
      </c>
      <c r="H52" t="str">
        <f>"REIMBURSE-MAIL/AMAZON"</f>
        <v>REIMBURSE-MAIL/AMAZON</v>
      </c>
    </row>
    <row r="53" spans="1:8" x14ac:dyDescent="0.25">
      <c r="E53" t="str">
        <f>"201908010791"</f>
        <v>201908010791</v>
      </c>
      <c r="F53" t="str">
        <f>"REIMBURSE-PARKING/FRAME"</f>
        <v>REIMBURSE-PARKING/FRAME</v>
      </c>
      <c r="G53" s="2">
        <v>101.66</v>
      </c>
      <c r="H53" t="str">
        <f>"REIMBURSE-PARKING/FRAME"</f>
        <v>REIMBURSE-PARKING/FRAME</v>
      </c>
    </row>
    <row r="54" spans="1:8" x14ac:dyDescent="0.25">
      <c r="A54" t="s">
        <v>17</v>
      </c>
      <c r="B54">
        <v>1232</v>
      </c>
      <c r="C54" s="2">
        <v>265</v>
      </c>
      <c r="D54" s="1">
        <v>43704</v>
      </c>
      <c r="E54" t="str">
        <f>"201908141073"</f>
        <v>201908141073</v>
      </c>
      <c r="F54" t="str">
        <f>"REIMBURSE TML EC DEV CONF"</f>
        <v>REIMBURSE TML EC DEV CONF</v>
      </c>
      <c r="G54" s="2">
        <v>265</v>
      </c>
      <c r="H54" t="str">
        <f>"REIMBURSE TML EC DEV CONF"</f>
        <v>REIMBURSE TML EC DEV CONF</v>
      </c>
    </row>
    <row r="55" spans="1:8" x14ac:dyDescent="0.25">
      <c r="A55" t="s">
        <v>18</v>
      </c>
      <c r="B55">
        <v>83293</v>
      </c>
      <c r="C55" s="2">
        <v>321.75</v>
      </c>
      <c r="D55" s="1">
        <v>43689</v>
      </c>
      <c r="E55" t="str">
        <f>"202325"</f>
        <v>202325</v>
      </c>
      <c r="F55" t="str">
        <f>"INV 202325 / UNIT 7314"</f>
        <v>INV 202325 / UNIT 7314</v>
      </c>
      <c r="G55" s="2">
        <v>321.75</v>
      </c>
      <c r="H55" t="str">
        <f>"INV 202325 / UNIT 7314"</f>
        <v>INV 202325 / UNIT 7314</v>
      </c>
    </row>
    <row r="56" spans="1:8" x14ac:dyDescent="0.25">
      <c r="A56" t="s">
        <v>19</v>
      </c>
      <c r="B56">
        <v>83294</v>
      </c>
      <c r="C56" s="2">
        <v>403.54</v>
      </c>
      <c r="D56" s="1">
        <v>43689</v>
      </c>
      <c r="E56" t="str">
        <f>"6663789"</f>
        <v>6663789</v>
      </c>
      <c r="F56" t="str">
        <f>"CUST#17295/PCT#4"</f>
        <v>CUST#17295/PCT#4</v>
      </c>
      <c r="G56" s="2">
        <v>403.54</v>
      </c>
      <c r="H56" t="str">
        <f>"CUST#17295/PCT#4"</f>
        <v>CUST#17295/PCT#4</v>
      </c>
    </row>
    <row r="57" spans="1:8" x14ac:dyDescent="0.25">
      <c r="A57" t="s">
        <v>20</v>
      </c>
      <c r="B57">
        <v>1198</v>
      </c>
      <c r="C57" s="2">
        <v>9700</v>
      </c>
      <c r="D57" s="1">
        <v>43690</v>
      </c>
      <c r="E57" t="str">
        <f>"201907240659"</f>
        <v>201907240659</v>
      </c>
      <c r="F57" t="str">
        <f>"16 584"</f>
        <v>16 584</v>
      </c>
      <c r="G57" s="2">
        <v>8700</v>
      </c>
      <c r="H57" t="str">
        <f>"16 584"</f>
        <v>16 584</v>
      </c>
    </row>
    <row r="58" spans="1:8" x14ac:dyDescent="0.25">
      <c r="E58" t="str">
        <f>"201907250679"</f>
        <v>201907250679</v>
      </c>
      <c r="F58" t="str">
        <f>"2018 0370 C"</f>
        <v>2018 0370 C</v>
      </c>
      <c r="G58" s="2">
        <v>200</v>
      </c>
      <c r="H58" t="str">
        <f>"2018 0370 C"</f>
        <v>2018 0370 C</v>
      </c>
    </row>
    <row r="59" spans="1:8" x14ac:dyDescent="0.25">
      <c r="E59" t="str">
        <f>"201908060939"</f>
        <v>201908060939</v>
      </c>
      <c r="F59" t="str">
        <f>"16687"</f>
        <v>16687</v>
      </c>
      <c r="G59" s="2">
        <v>400</v>
      </c>
      <c r="H59" t="str">
        <f>"16687"</f>
        <v>16687</v>
      </c>
    </row>
    <row r="60" spans="1:8" x14ac:dyDescent="0.25">
      <c r="E60" t="str">
        <f>"201908060940"</f>
        <v>201908060940</v>
      </c>
      <c r="F60" t="str">
        <f>"16 912"</f>
        <v>16 912</v>
      </c>
      <c r="G60" s="2">
        <v>400</v>
      </c>
      <c r="H60" t="str">
        <f>"16 912"</f>
        <v>16 912</v>
      </c>
    </row>
    <row r="61" spans="1:8" x14ac:dyDescent="0.25">
      <c r="A61" t="s">
        <v>21</v>
      </c>
      <c r="B61">
        <v>83520</v>
      </c>
      <c r="C61" s="2">
        <v>25</v>
      </c>
      <c r="D61" s="1">
        <v>43703</v>
      </c>
      <c r="E61" t="str">
        <f>"201908141072"</f>
        <v>201908141072</v>
      </c>
      <c r="F61" t="str">
        <f>"DRIVEWAY PERMIT FEE REFUND"</f>
        <v>DRIVEWAY PERMIT FEE REFUND</v>
      </c>
      <c r="G61" s="2">
        <v>25</v>
      </c>
      <c r="H61" t="str">
        <f>"DRIVEWAY PERMIT FEE REFUND"</f>
        <v>DRIVEWAY PERMIT FEE REFUND</v>
      </c>
    </row>
    <row r="62" spans="1:8" x14ac:dyDescent="0.25">
      <c r="A62" t="s">
        <v>22</v>
      </c>
      <c r="B62">
        <v>1165</v>
      </c>
      <c r="C62" s="2">
        <v>676.56</v>
      </c>
      <c r="D62" s="1">
        <v>43690</v>
      </c>
      <c r="E62" t="str">
        <f>"201907310753"</f>
        <v>201907310753</v>
      </c>
      <c r="F62" t="str">
        <f>"CRIMINAL DOCKET 07/11/19"</f>
        <v>CRIMINAL DOCKET 07/11/19</v>
      </c>
      <c r="G62" s="2">
        <v>338.28</v>
      </c>
      <c r="H62" t="str">
        <f>"CRIMINAL DOCKET 07/11/19"</f>
        <v>CRIMINAL DOCKET 07/11/19</v>
      </c>
    </row>
    <row r="63" spans="1:8" x14ac:dyDescent="0.25">
      <c r="E63" t="str">
        <f>"201908010789"</f>
        <v>201908010789</v>
      </c>
      <c r="F63" t="str">
        <f>"423-5817"</f>
        <v>423-5817</v>
      </c>
      <c r="G63" s="2">
        <v>338.28</v>
      </c>
      <c r="H63" t="str">
        <f>"423-5817"</f>
        <v>423-5817</v>
      </c>
    </row>
    <row r="64" spans="1:8" x14ac:dyDescent="0.25">
      <c r="A64" t="s">
        <v>22</v>
      </c>
      <c r="B64">
        <v>1240</v>
      </c>
      <c r="C64" s="2">
        <v>338.28</v>
      </c>
      <c r="D64" s="1">
        <v>43704</v>
      </c>
      <c r="E64" t="str">
        <f>"201908201189"</f>
        <v>201908201189</v>
      </c>
      <c r="F64" t="str">
        <f>"8/8/19 CRIMINAL DOCKET"</f>
        <v>8/8/19 CRIMINAL DOCKET</v>
      </c>
      <c r="G64" s="2">
        <v>338.28</v>
      </c>
      <c r="H64" t="str">
        <f>"8/8/19 CRIMINAL DOCKET"</f>
        <v>8/8/19 CRIMINAL DOCKET</v>
      </c>
    </row>
    <row r="65" spans="1:8" x14ac:dyDescent="0.25">
      <c r="A65" t="s">
        <v>23</v>
      </c>
      <c r="B65">
        <v>83521</v>
      </c>
      <c r="C65" s="2">
        <v>2860.02</v>
      </c>
      <c r="D65" s="1">
        <v>43703</v>
      </c>
      <c r="E65" t="str">
        <f>"201908151107"</f>
        <v>201908151107</v>
      </c>
      <c r="F65" t="str">
        <f>"423-6189"</f>
        <v>423-6189</v>
      </c>
      <c r="G65" s="2">
        <v>2860.02</v>
      </c>
      <c r="H65" t="str">
        <f>"423-6189"</f>
        <v>423-6189</v>
      </c>
    </row>
    <row r="66" spans="1:8" x14ac:dyDescent="0.25">
      <c r="A66" t="s">
        <v>24</v>
      </c>
      <c r="B66">
        <v>83295</v>
      </c>
      <c r="C66" s="2">
        <v>474</v>
      </c>
      <c r="D66" s="1">
        <v>43689</v>
      </c>
      <c r="E66" t="str">
        <f>"38891"</f>
        <v>38891</v>
      </c>
      <c r="F66" t="str">
        <f>"RENTAL-601 COOL WATER"</f>
        <v>RENTAL-601 COOL WATER</v>
      </c>
      <c r="G66" s="2">
        <v>215</v>
      </c>
      <c r="H66" t="str">
        <f>"RENTAL-601 COOL WATER"</f>
        <v>RENTAL-601 COOL WATER</v>
      </c>
    </row>
    <row r="67" spans="1:8" x14ac:dyDescent="0.25">
      <c r="E67" t="str">
        <f>"38892"</f>
        <v>38892</v>
      </c>
      <c r="F67" t="str">
        <f>"RENTAL-375 RIVERSIDE DR"</f>
        <v>RENTAL-375 RIVERSIDE DR</v>
      </c>
      <c r="G67" s="2">
        <v>259</v>
      </c>
      <c r="H67" t="str">
        <f>"RENTAL-375 RIVERSIDE DR"</f>
        <v>RENTAL-375 RIVERSIDE DR</v>
      </c>
    </row>
    <row r="68" spans="1:8" x14ac:dyDescent="0.25">
      <c r="A68" t="s">
        <v>25</v>
      </c>
      <c r="B68">
        <v>1174</v>
      </c>
      <c r="C68" s="2">
        <v>1025.3699999999999</v>
      </c>
      <c r="D68" s="1">
        <v>43690</v>
      </c>
      <c r="E68" t="str">
        <f>"14P7-RPVJ-WKD6"</f>
        <v>14P7-RPVJ-WKD6</v>
      </c>
      <c r="F68" t="str">
        <f>"Desktop Power Gormmets"</f>
        <v>Desktop Power Gormmets</v>
      </c>
      <c r="G68" s="2">
        <v>255.53</v>
      </c>
      <c r="H68" t="str">
        <f>"Desktop Power Gormmets"</f>
        <v>Desktop Power Gormmets</v>
      </c>
    </row>
    <row r="69" spans="1:8" x14ac:dyDescent="0.25">
      <c r="E69" t="str">
        <f>"1FP6-DK79-H4MH"</f>
        <v>1FP6-DK79-H4MH</v>
      </c>
      <c r="F69" t="str">
        <f>"Amazon Order"</f>
        <v>Amazon Order</v>
      </c>
      <c r="G69" s="2">
        <v>141.15</v>
      </c>
      <c r="H69" t="str">
        <f>"22-bin rack storage"</f>
        <v>22-bin rack storage</v>
      </c>
    </row>
    <row r="70" spans="1:8" x14ac:dyDescent="0.25">
      <c r="E70" t="str">
        <f>"1HX7-4J6W-QTYM"</f>
        <v>1HX7-4J6W-QTYM</v>
      </c>
      <c r="F70" t="str">
        <f>"Amazon Order"</f>
        <v>Amazon Order</v>
      </c>
      <c r="G70" s="2">
        <v>395</v>
      </c>
      <c r="H70" t="str">
        <f>"Olympus Tough T5"</f>
        <v>Olympus Tough T5</v>
      </c>
    </row>
    <row r="71" spans="1:8" x14ac:dyDescent="0.25">
      <c r="E71" t="str">
        <f>"1NPX-LMDX-RP9C"</f>
        <v>1NPX-LMDX-RP9C</v>
      </c>
      <c r="F71" t="str">
        <f>"replacement order"</f>
        <v>replacement order</v>
      </c>
      <c r="G71" s="2">
        <v>92.71</v>
      </c>
      <c r="H71" t="str">
        <f>"Otterbox Defender"</f>
        <v>Otterbox Defender</v>
      </c>
    </row>
    <row r="72" spans="1:8" x14ac:dyDescent="0.25">
      <c r="E72" t="str">
        <f>""</f>
        <v/>
      </c>
      <c r="F72" t="str">
        <f>""</f>
        <v/>
      </c>
      <c r="H72" t="str">
        <f>"Original Ipad"</f>
        <v>Original Ipad</v>
      </c>
    </row>
    <row r="73" spans="1:8" x14ac:dyDescent="0.25">
      <c r="E73" t="str">
        <f>""</f>
        <v/>
      </c>
      <c r="F73" t="str">
        <f>""</f>
        <v/>
      </c>
      <c r="H73" t="str">
        <f>"Shipping"</f>
        <v>Shipping</v>
      </c>
    </row>
    <row r="74" spans="1:8" x14ac:dyDescent="0.25">
      <c r="E74" t="str">
        <f>""</f>
        <v/>
      </c>
      <c r="F74" t="str">
        <f>""</f>
        <v/>
      </c>
      <c r="H74" t="str">
        <f>"Discount"</f>
        <v>Discount</v>
      </c>
    </row>
    <row r="75" spans="1:8" x14ac:dyDescent="0.25">
      <c r="E75" t="str">
        <f>""</f>
        <v/>
      </c>
      <c r="F75" t="str">
        <f>""</f>
        <v/>
      </c>
      <c r="H75" t="str">
        <f>"Returned Ipad"</f>
        <v>Returned Ipad</v>
      </c>
    </row>
    <row r="76" spans="1:8" x14ac:dyDescent="0.25">
      <c r="E76" t="str">
        <f>""</f>
        <v/>
      </c>
      <c r="F76" t="str">
        <f>""</f>
        <v/>
      </c>
      <c r="H76" t="str">
        <f>"Replacement Ipad"</f>
        <v>Replacement Ipad</v>
      </c>
    </row>
    <row r="77" spans="1:8" x14ac:dyDescent="0.25">
      <c r="E77" t="str">
        <f>""</f>
        <v/>
      </c>
      <c r="F77" t="str">
        <f>""</f>
        <v/>
      </c>
      <c r="H77" t="str">
        <f>"shipping"</f>
        <v>shipping</v>
      </c>
    </row>
    <row r="78" spans="1:8" x14ac:dyDescent="0.25">
      <c r="E78" t="str">
        <f>""</f>
        <v/>
      </c>
      <c r="F78" t="str">
        <f>""</f>
        <v/>
      </c>
      <c r="H78" t="str">
        <f>"returned replacmenet"</f>
        <v>returned replacmenet</v>
      </c>
    </row>
    <row r="79" spans="1:8" x14ac:dyDescent="0.25">
      <c r="E79" t="str">
        <f>""</f>
        <v/>
      </c>
      <c r="F79" t="str">
        <f>""</f>
        <v/>
      </c>
      <c r="H79" t="str">
        <f>"shipping"</f>
        <v>shipping</v>
      </c>
    </row>
    <row r="80" spans="1:8" x14ac:dyDescent="0.25">
      <c r="E80" t="str">
        <f>"1R1C-J4LD-7PWT"</f>
        <v>1R1C-J4LD-7PWT</v>
      </c>
      <c r="F80" t="str">
        <f>"Amazon Order"</f>
        <v>Amazon Order</v>
      </c>
      <c r="G80" s="2">
        <v>83</v>
      </c>
      <c r="H80" t="str">
        <f>"Sheila Shine 12pk"</f>
        <v>Sheila Shine 12pk</v>
      </c>
    </row>
    <row r="81" spans="1:9" x14ac:dyDescent="0.25">
      <c r="E81" t="str">
        <f>"1WNL-LVCF-M4CQ"</f>
        <v>1WNL-LVCF-M4CQ</v>
      </c>
      <c r="F81" t="str">
        <f>"Amazon Order"</f>
        <v>Amazon Order</v>
      </c>
      <c r="G81" s="2">
        <v>49.99</v>
      </c>
      <c r="H81" t="str">
        <f>"FreeBiz Laptop Bag"</f>
        <v>FreeBiz Laptop Bag</v>
      </c>
    </row>
    <row r="82" spans="1:9" x14ac:dyDescent="0.25">
      <c r="E82" t="str">
        <f>"1X6J-JPNY-G1MM"</f>
        <v>1X6J-JPNY-G1MM</v>
      </c>
      <c r="F82" t="str">
        <f>"Sample Shirt Purchase"</f>
        <v>Sample Shirt Purchase</v>
      </c>
      <c r="G82" s="2">
        <v>7.99</v>
      </c>
      <c r="H82" t="str">
        <f>"Black- Large"</f>
        <v>Black- Large</v>
      </c>
    </row>
    <row r="83" spans="1:9" x14ac:dyDescent="0.25">
      <c r="A83" t="s">
        <v>25</v>
      </c>
      <c r="B83">
        <v>1248</v>
      </c>
      <c r="C83" s="2">
        <v>257.38</v>
      </c>
      <c r="D83" s="1">
        <v>43704</v>
      </c>
      <c r="E83" t="str">
        <f>"11WK-D6GN-DYDK"</f>
        <v>11WK-D6GN-DYDK</v>
      </c>
      <c r="F83" t="str">
        <f>"Shredder"</f>
        <v>Shredder</v>
      </c>
      <c r="G83" s="2">
        <v>36.99</v>
      </c>
      <c r="H83" t="str">
        <f>"Shredder"</f>
        <v>Shredder</v>
      </c>
    </row>
    <row r="84" spans="1:9" x14ac:dyDescent="0.25">
      <c r="E84" t="str">
        <f>"1P49-C4PQ-R1D7"</f>
        <v>1P49-C4PQ-R1D7</v>
      </c>
      <c r="F84" t="str">
        <f>"Amazon Order"</f>
        <v>Amazon Order</v>
      </c>
      <c r="G84" s="2">
        <v>115.5</v>
      </c>
      <c r="H84" t="str">
        <f>"Router"</f>
        <v>Router</v>
      </c>
    </row>
    <row r="85" spans="1:9" x14ac:dyDescent="0.25">
      <c r="E85" t="str">
        <f>""</f>
        <v/>
      </c>
      <c r="F85" t="str">
        <f>""</f>
        <v/>
      </c>
      <c r="H85" t="str">
        <f>"Adaptor"</f>
        <v>Adaptor</v>
      </c>
    </row>
    <row r="86" spans="1:9" x14ac:dyDescent="0.25">
      <c r="E86" t="str">
        <f>"1PCC-LVJM-33KY"</f>
        <v>1PCC-LVJM-33KY</v>
      </c>
      <c r="F86" t="str">
        <f>"Doorbell and HDMI Cable"</f>
        <v>Doorbell and HDMI Cable</v>
      </c>
      <c r="G86" s="2">
        <v>104.89</v>
      </c>
      <c r="H86" t="str">
        <f>"DoorBell"</f>
        <v>DoorBell</v>
      </c>
    </row>
    <row r="87" spans="1:9" x14ac:dyDescent="0.25">
      <c r="E87" t="str">
        <f>""</f>
        <v/>
      </c>
      <c r="F87" t="str">
        <f>""</f>
        <v/>
      </c>
      <c r="H87" t="str">
        <f>"HDMI Cable"</f>
        <v>HDMI Cable</v>
      </c>
    </row>
    <row r="88" spans="1:9" x14ac:dyDescent="0.25">
      <c r="A88" t="s">
        <v>26</v>
      </c>
      <c r="B88">
        <v>83296</v>
      </c>
      <c r="C88" s="2">
        <v>53.8</v>
      </c>
      <c r="D88" s="1">
        <v>43689</v>
      </c>
      <c r="E88" t="str">
        <f>"01-191206171"</f>
        <v>01-191206171</v>
      </c>
      <c r="F88" t="str">
        <f>"INV 01-191206171"</f>
        <v>INV 01-191206171</v>
      </c>
      <c r="G88" s="2">
        <v>26.9</v>
      </c>
      <c r="H88" t="str">
        <f>"INV 01-191206171"</f>
        <v>INV 01-191206171</v>
      </c>
    </row>
    <row r="89" spans="1:9" x14ac:dyDescent="0.25">
      <c r="E89" t="str">
        <f>"01-191213182"</f>
        <v>01-191213182</v>
      </c>
      <c r="F89" t="str">
        <f>"INV 01-191213182"</f>
        <v>INV 01-191213182</v>
      </c>
      <c r="G89" s="2">
        <v>26.9</v>
      </c>
      <c r="H89" t="str">
        <f>"INV 01-191213182"</f>
        <v>INV 01-191213182</v>
      </c>
    </row>
    <row r="90" spans="1:9" x14ac:dyDescent="0.25">
      <c r="A90" t="s">
        <v>27</v>
      </c>
      <c r="B90">
        <v>83297</v>
      </c>
      <c r="C90" s="2">
        <v>554.96</v>
      </c>
      <c r="D90" s="1">
        <v>43689</v>
      </c>
      <c r="E90" t="str">
        <f>"956685088"</f>
        <v>956685088</v>
      </c>
      <c r="F90" t="str">
        <f>"INV 956685088"</f>
        <v>INV 956685088</v>
      </c>
      <c r="G90" s="2">
        <v>334.49</v>
      </c>
      <c r="H90" t="str">
        <f>"INV 956685088"</f>
        <v>INV 956685088</v>
      </c>
    </row>
    <row r="91" spans="1:9" x14ac:dyDescent="0.25">
      <c r="E91" t="str">
        <f>"957166920"</f>
        <v>957166920</v>
      </c>
      <c r="F91" t="str">
        <f>"INV 957166920"</f>
        <v>INV 957166920</v>
      </c>
      <c r="G91" s="2">
        <v>156.66</v>
      </c>
      <c r="H91" t="str">
        <f>"INV 957166920"</f>
        <v>INV 957166920</v>
      </c>
    </row>
    <row r="92" spans="1:9" x14ac:dyDescent="0.25">
      <c r="E92" t="str">
        <f>"957360297 95736096"</f>
        <v>957360297 95736096</v>
      </c>
      <c r="F92" t="str">
        <f>"INV 957360297"</f>
        <v>INV 957360297</v>
      </c>
      <c r="G92" s="2">
        <v>63.81</v>
      </c>
      <c r="H92" t="str">
        <f>"INV 957360297"</f>
        <v>INV 957360297</v>
      </c>
    </row>
    <row r="93" spans="1:9" x14ac:dyDescent="0.25">
      <c r="E93" t="str">
        <f>""</f>
        <v/>
      </c>
      <c r="F93" t="str">
        <f>""</f>
        <v/>
      </c>
      <c r="H93" t="str">
        <f>"INV 957360963"</f>
        <v>INV 957360963</v>
      </c>
    </row>
    <row r="94" spans="1:9" x14ac:dyDescent="0.25">
      <c r="A94" t="s">
        <v>27</v>
      </c>
      <c r="B94">
        <v>83522</v>
      </c>
      <c r="C94" s="2">
        <v>426.88</v>
      </c>
      <c r="D94" s="1">
        <v>43703</v>
      </c>
      <c r="E94" t="str">
        <f>"958186765"</f>
        <v>958186765</v>
      </c>
      <c r="F94" t="str">
        <f>"INV 958186765"</f>
        <v>INV 958186765</v>
      </c>
      <c r="G94" s="2">
        <v>426.88</v>
      </c>
      <c r="H94" t="str">
        <f>"INV 958186765"</f>
        <v>INV 958186765</v>
      </c>
    </row>
    <row r="95" spans="1:9" x14ac:dyDescent="0.25">
      <c r="A95" t="s">
        <v>28</v>
      </c>
      <c r="B95">
        <v>1214</v>
      </c>
      <c r="C95" s="2">
        <v>5087.04</v>
      </c>
      <c r="D95" s="1">
        <v>43690</v>
      </c>
      <c r="E95" t="s">
        <v>29</v>
      </c>
      <c r="F95" t="s">
        <v>30</v>
      </c>
      <c r="G95" s="2" t="str">
        <f>"16 804"</f>
        <v>16 804</v>
      </c>
      <c r="H95" t="str">
        <f>"435-4103"</f>
        <v>435-4103</v>
      </c>
      <c r="I95" t="str">
        <f>""</f>
        <v/>
      </c>
    </row>
    <row r="96" spans="1:9" x14ac:dyDescent="0.25">
      <c r="E96" t="str">
        <f>"201907230621"</f>
        <v>201907230621</v>
      </c>
      <c r="F96" t="str">
        <f>"423-6622"</f>
        <v>423-6622</v>
      </c>
      <c r="G96" s="2">
        <v>100</v>
      </c>
      <c r="H96" t="str">
        <f>"423-6622"</f>
        <v>423-6622</v>
      </c>
    </row>
    <row r="97" spans="1:8" x14ac:dyDescent="0.25">
      <c r="E97" t="str">
        <f>"201907230622"</f>
        <v>201907230622</v>
      </c>
      <c r="F97" t="str">
        <f>"1196-21"</f>
        <v>1196-21</v>
      </c>
      <c r="G97" s="2">
        <v>100</v>
      </c>
      <c r="H97" t="str">
        <f>"1196-21"</f>
        <v>1196-21</v>
      </c>
    </row>
    <row r="98" spans="1:8" x14ac:dyDescent="0.25">
      <c r="E98" t="str">
        <f>"201907310707"</f>
        <v>201907310707</v>
      </c>
      <c r="F98" t="str">
        <f>"JUVENILE CHILD"</f>
        <v>JUVENILE CHILD</v>
      </c>
      <c r="G98" s="2">
        <v>100</v>
      </c>
      <c r="H98" t="str">
        <f>"JUVENILE CHILD"</f>
        <v>JUVENILE CHILD</v>
      </c>
    </row>
    <row r="99" spans="1:8" x14ac:dyDescent="0.25">
      <c r="E99" t="str">
        <f>"201907310715"</f>
        <v>201907310715</v>
      </c>
      <c r="F99" t="str">
        <f>"18-18941"</f>
        <v>18-18941</v>
      </c>
      <c r="G99" s="2">
        <v>160</v>
      </c>
      <c r="H99" t="str">
        <f>"18-18941"</f>
        <v>18-18941</v>
      </c>
    </row>
    <row r="100" spans="1:8" x14ac:dyDescent="0.25">
      <c r="E100" t="str">
        <f>"201907310716"</f>
        <v>201907310716</v>
      </c>
      <c r="F100" t="str">
        <f>"19-19597"</f>
        <v>19-19597</v>
      </c>
      <c r="G100" s="2">
        <v>332.5</v>
      </c>
      <c r="H100" t="str">
        <f>"19-19597"</f>
        <v>19-19597</v>
      </c>
    </row>
    <row r="101" spans="1:8" x14ac:dyDescent="0.25">
      <c r="E101" t="str">
        <f>"201907310717"</f>
        <v>201907310717</v>
      </c>
      <c r="F101" t="str">
        <f>"15-17399"</f>
        <v>15-17399</v>
      </c>
      <c r="G101" s="2">
        <v>790</v>
      </c>
      <c r="H101" t="str">
        <f>"15-17399"</f>
        <v>15-17399</v>
      </c>
    </row>
    <row r="102" spans="1:8" x14ac:dyDescent="0.25">
      <c r="E102" t="str">
        <f>"201907310718"</f>
        <v>201907310718</v>
      </c>
      <c r="F102" t="str">
        <f>"19-19679"</f>
        <v>19-19679</v>
      </c>
      <c r="G102" s="2">
        <v>414.54</v>
      </c>
      <c r="H102" t="str">
        <f>"19-19679"</f>
        <v>19-19679</v>
      </c>
    </row>
    <row r="103" spans="1:8" x14ac:dyDescent="0.25">
      <c r="E103" t="str">
        <f>"201908010793"</f>
        <v>201908010793</v>
      </c>
      <c r="F103" t="str">
        <f>"16 240"</f>
        <v>16 240</v>
      </c>
      <c r="G103" s="2">
        <v>400</v>
      </c>
      <c r="H103" t="str">
        <f>"16 240"</f>
        <v>16 240</v>
      </c>
    </row>
    <row r="104" spans="1:8" x14ac:dyDescent="0.25">
      <c r="E104" t="str">
        <f>"201908060944"</f>
        <v>201908060944</v>
      </c>
      <c r="F104" t="str">
        <f>"1200-335"</f>
        <v>1200-335</v>
      </c>
      <c r="G104" s="2">
        <v>100</v>
      </c>
      <c r="H104" t="str">
        <f>"1200-335"</f>
        <v>1200-335</v>
      </c>
    </row>
    <row r="105" spans="1:8" x14ac:dyDescent="0.25">
      <c r="E105" t="str">
        <f>"201908060945"</f>
        <v>201908060945</v>
      </c>
      <c r="F105" t="str">
        <f>"304272019F"</f>
        <v>304272019F</v>
      </c>
      <c r="G105" s="2">
        <v>400</v>
      </c>
      <c r="H105" t="str">
        <f>"304272019F"</f>
        <v>304272019F</v>
      </c>
    </row>
    <row r="106" spans="1:8" x14ac:dyDescent="0.25">
      <c r="E106" t="str">
        <f>"201908060978"</f>
        <v>201908060978</v>
      </c>
      <c r="F106" t="str">
        <f>"19-19782"</f>
        <v>19-19782</v>
      </c>
      <c r="G106" s="2">
        <v>100</v>
      </c>
      <c r="H106" t="str">
        <f>"19-19782"</f>
        <v>19-19782</v>
      </c>
    </row>
    <row r="107" spans="1:8" x14ac:dyDescent="0.25">
      <c r="E107" t="str">
        <f>"201908060979"</f>
        <v>201908060979</v>
      </c>
      <c r="F107" t="str">
        <f>"14-16896"</f>
        <v>14-16896</v>
      </c>
      <c r="G107" s="2">
        <v>315</v>
      </c>
      <c r="H107" t="str">
        <f>"14-16896"</f>
        <v>14-16896</v>
      </c>
    </row>
    <row r="108" spans="1:8" x14ac:dyDescent="0.25">
      <c r="E108" t="str">
        <f>"201908070996"</f>
        <v>201908070996</v>
      </c>
      <c r="F108" t="str">
        <f>"BC2018122918"</f>
        <v>BC2018122918</v>
      </c>
      <c r="G108" s="2">
        <v>250</v>
      </c>
      <c r="H108" t="str">
        <f>"BC2018122918"</f>
        <v>BC2018122918</v>
      </c>
    </row>
    <row r="109" spans="1:8" x14ac:dyDescent="0.25">
      <c r="E109" t="str">
        <f>"201908070997"</f>
        <v>201908070997</v>
      </c>
      <c r="F109" t="str">
        <f>"AC20190622"</f>
        <v>AC20190622</v>
      </c>
      <c r="G109" s="2">
        <v>250</v>
      </c>
      <c r="H109" t="str">
        <f>"AC20190622"</f>
        <v>AC20190622</v>
      </c>
    </row>
    <row r="110" spans="1:8" x14ac:dyDescent="0.25">
      <c r="E110" t="str">
        <f>"201908070998"</f>
        <v>201908070998</v>
      </c>
      <c r="F110" t="str">
        <f>"1JP4917A"</f>
        <v>1JP4917A</v>
      </c>
      <c r="G110" s="2">
        <v>250</v>
      </c>
      <c r="H110" t="str">
        <f>"1JP4917A"</f>
        <v>1JP4917A</v>
      </c>
    </row>
    <row r="111" spans="1:8" x14ac:dyDescent="0.25">
      <c r="E111" t="str">
        <f>"201908071016"</f>
        <v>201908071016</v>
      </c>
      <c r="F111" t="str">
        <f>"56 284"</f>
        <v>56 284</v>
      </c>
      <c r="G111" s="2">
        <v>625</v>
      </c>
      <c r="H111" t="str">
        <f>"56 284"</f>
        <v>56 284</v>
      </c>
    </row>
    <row r="112" spans="1:8" x14ac:dyDescent="0.25">
      <c r="A112" t="s">
        <v>28</v>
      </c>
      <c r="B112">
        <v>1286</v>
      </c>
      <c r="C112" s="2">
        <v>600</v>
      </c>
      <c r="D112" s="1">
        <v>43704</v>
      </c>
      <c r="E112" t="str">
        <f>"201908151106"</f>
        <v>201908151106</v>
      </c>
      <c r="F112" t="str">
        <f>"1230-335"</f>
        <v>1230-335</v>
      </c>
      <c r="G112" s="2">
        <v>100</v>
      </c>
      <c r="H112" t="str">
        <f>"1230-335"</f>
        <v>1230-335</v>
      </c>
    </row>
    <row r="113" spans="1:8" x14ac:dyDescent="0.25">
      <c r="E113" t="str">
        <f>"201908201170"</f>
        <v>201908201170</v>
      </c>
      <c r="F113" t="str">
        <f>"56 107"</f>
        <v>56 107</v>
      </c>
      <c r="G113" s="2">
        <v>250</v>
      </c>
      <c r="H113" t="str">
        <f>"56 107"</f>
        <v>56 107</v>
      </c>
    </row>
    <row r="114" spans="1:8" x14ac:dyDescent="0.25">
      <c r="E114" t="str">
        <f>"201908201173"</f>
        <v>201908201173</v>
      </c>
      <c r="F114" t="str">
        <f>"56 159"</f>
        <v>56 159</v>
      </c>
      <c r="G114" s="2">
        <v>250</v>
      </c>
      <c r="H114" t="str">
        <f>"56 159"</f>
        <v>56 159</v>
      </c>
    </row>
    <row r="115" spans="1:8" x14ac:dyDescent="0.25">
      <c r="A115" t="s">
        <v>31</v>
      </c>
      <c r="B115">
        <v>83298</v>
      </c>
      <c r="C115" s="2">
        <v>95</v>
      </c>
      <c r="D115" s="1">
        <v>43689</v>
      </c>
      <c r="E115" t="str">
        <f>"201907230651"</f>
        <v>201907230651</v>
      </c>
      <c r="F115" t="str">
        <f>"PER DIEM"</f>
        <v>PER DIEM</v>
      </c>
      <c r="G115" s="2">
        <v>95</v>
      </c>
    </row>
    <row r="116" spans="1:8" x14ac:dyDescent="0.25">
      <c r="A116" t="s">
        <v>32</v>
      </c>
      <c r="B116">
        <v>83299</v>
      </c>
      <c r="C116" s="2">
        <v>711.05</v>
      </c>
      <c r="D116" s="1">
        <v>43689</v>
      </c>
      <c r="E116" t="str">
        <f>"74082"</f>
        <v>74082</v>
      </c>
      <c r="F116" t="str">
        <f>"Animal Control"</f>
        <v>Animal Control</v>
      </c>
      <c r="G116" s="2">
        <v>711.05</v>
      </c>
      <c r="H116" t="str">
        <f>"TEMP-1"</f>
        <v>TEMP-1</v>
      </c>
    </row>
    <row r="117" spans="1:8" x14ac:dyDescent="0.25">
      <c r="E117" t="str">
        <f>""</f>
        <v/>
      </c>
      <c r="F117" t="str">
        <f>""</f>
        <v/>
      </c>
      <c r="H117" t="str">
        <f>"SS-49"</f>
        <v>SS-49</v>
      </c>
    </row>
    <row r="118" spans="1:8" x14ac:dyDescent="0.25">
      <c r="E118" t="str">
        <f>""</f>
        <v/>
      </c>
      <c r="F118" t="str">
        <f>""</f>
        <v/>
      </c>
      <c r="H118" t="str">
        <f>"CS-9"</f>
        <v>CS-9</v>
      </c>
    </row>
    <row r="119" spans="1:8" x14ac:dyDescent="0.25">
      <c r="E119" t="str">
        <f>""</f>
        <v/>
      </c>
      <c r="F119" t="str">
        <f>""</f>
        <v/>
      </c>
      <c r="H119" t="str">
        <f>"FP-CC"</f>
        <v>FP-CC</v>
      </c>
    </row>
    <row r="120" spans="1:8" x14ac:dyDescent="0.25">
      <c r="E120" t="str">
        <f>""</f>
        <v/>
      </c>
      <c r="F120" t="str">
        <f>""</f>
        <v/>
      </c>
      <c r="H120" t="str">
        <f>"AVN-26"</f>
        <v>AVN-26</v>
      </c>
    </row>
    <row r="121" spans="1:8" x14ac:dyDescent="0.25">
      <c r="E121" t="str">
        <f>""</f>
        <v/>
      </c>
      <c r="F121" t="str">
        <f>""</f>
        <v/>
      </c>
      <c r="H121" t="str">
        <f>"CM-8512"</f>
        <v>CM-8512</v>
      </c>
    </row>
    <row r="122" spans="1:8" x14ac:dyDescent="0.25">
      <c r="E122" t="str">
        <f>""</f>
        <v/>
      </c>
      <c r="F122" t="str">
        <f>""</f>
        <v/>
      </c>
      <c r="H122" t="str">
        <f>"JPS-03"</f>
        <v>JPS-03</v>
      </c>
    </row>
    <row r="123" spans="1:8" x14ac:dyDescent="0.25">
      <c r="E123" t="str">
        <f>""</f>
        <v/>
      </c>
      <c r="F123" t="str">
        <f>""</f>
        <v/>
      </c>
      <c r="H123" t="str">
        <f>"PCOR-200"</f>
        <v>PCOR-200</v>
      </c>
    </row>
    <row r="124" spans="1:8" x14ac:dyDescent="0.25">
      <c r="E124" t="str">
        <f>""</f>
        <v/>
      </c>
      <c r="F124" t="str">
        <f>""</f>
        <v/>
      </c>
      <c r="H124" t="str">
        <f>"Shipping"</f>
        <v>Shipping</v>
      </c>
    </row>
    <row r="125" spans="1:8" x14ac:dyDescent="0.25">
      <c r="A125" t="s">
        <v>33</v>
      </c>
      <c r="B125">
        <v>83300</v>
      </c>
      <c r="C125" s="2">
        <v>137.36000000000001</v>
      </c>
      <c r="D125" s="1">
        <v>43689</v>
      </c>
      <c r="E125" t="str">
        <f>"43T041192 43T04159"</f>
        <v>43T041192 43T04159</v>
      </c>
      <c r="F125" t="str">
        <f>"INV 43T041192"</f>
        <v>INV 43T041192</v>
      </c>
      <c r="G125" s="2">
        <v>137.36000000000001</v>
      </c>
      <c r="H125" t="str">
        <f>"INV 43T041192"</f>
        <v>INV 43T041192</v>
      </c>
    </row>
    <row r="126" spans="1:8" x14ac:dyDescent="0.25">
      <c r="E126" t="str">
        <f>""</f>
        <v/>
      </c>
      <c r="F126" t="str">
        <f>""</f>
        <v/>
      </c>
      <c r="H126" t="str">
        <f>"INV 43T041597"</f>
        <v>INV 43T041597</v>
      </c>
    </row>
    <row r="127" spans="1:8" x14ac:dyDescent="0.25">
      <c r="A127" t="s">
        <v>34</v>
      </c>
      <c r="B127">
        <v>83301</v>
      </c>
      <c r="C127" s="2">
        <v>88.99</v>
      </c>
      <c r="D127" s="1">
        <v>43689</v>
      </c>
      <c r="E127" t="str">
        <f>"201908020821"</f>
        <v>201908020821</v>
      </c>
      <c r="F127" t="str">
        <f>"MILEAGE REIMBURSEMENT"</f>
        <v>MILEAGE REIMBURSEMENT</v>
      </c>
      <c r="G127" s="2">
        <v>58.99</v>
      </c>
      <c r="H127" t="str">
        <f>"MILEAGE REIMBURSEMENT"</f>
        <v>MILEAGE REIMBURSEMENT</v>
      </c>
    </row>
    <row r="128" spans="1:8" x14ac:dyDescent="0.25">
      <c r="E128" t="str">
        <f>"201908020822"</f>
        <v>201908020822</v>
      </c>
      <c r="F128" t="str">
        <f>"REIMBURSE PARKING"</f>
        <v>REIMBURSE PARKING</v>
      </c>
      <c r="G128" s="2">
        <v>30</v>
      </c>
      <c r="H128" t="str">
        <f>"REIMBURSE PARKING"</f>
        <v>REIMBURSE PARKING</v>
      </c>
    </row>
    <row r="129" spans="1:8" x14ac:dyDescent="0.25">
      <c r="A129" t="s">
        <v>35</v>
      </c>
      <c r="B129">
        <v>83523</v>
      </c>
      <c r="C129" s="2">
        <v>600</v>
      </c>
      <c r="D129" s="1">
        <v>43703</v>
      </c>
      <c r="E129" t="str">
        <f>"201908141088"</f>
        <v>201908141088</v>
      </c>
      <c r="F129" t="str">
        <f>"REFUND CASH BOND"</f>
        <v>REFUND CASH BOND</v>
      </c>
      <c r="G129" s="2">
        <v>600</v>
      </c>
      <c r="H129" t="str">
        <f>"REFUND CASH BOND"</f>
        <v>REFUND CASH BOND</v>
      </c>
    </row>
    <row r="130" spans="1:8" x14ac:dyDescent="0.25">
      <c r="A130" t="s">
        <v>36</v>
      </c>
      <c r="B130">
        <v>1210</v>
      </c>
      <c r="C130" s="2">
        <v>423.72</v>
      </c>
      <c r="D130" s="1">
        <v>43690</v>
      </c>
      <c r="E130" t="str">
        <f>"612563"</f>
        <v>612563</v>
      </c>
      <c r="F130" t="str">
        <f>"Rachel Platts"</f>
        <v>Rachel Platts</v>
      </c>
      <c r="G130" s="2">
        <v>423.72</v>
      </c>
      <c r="H130" t="str">
        <f>"Materials"</f>
        <v>Materials</v>
      </c>
    </row>
    <row r="131" spans="1:8" x14ac:dyDescent="0.25">
      <c r="E131" t="str">
        <f>""</f>
        <v/>
      </c>
      <c r="F131" t="str">
        <f>""</f>
        <v/>
      </c>
      <c r="H131" t="str">
        <f>"Shipping"</f>
        <v>Shipping</v>
      </c>
    </row>
    <row r="132" spans="1:8" x14ac:dyDescent="0.25">
      <c r="A132" t="s">
        <v>37</v>
      </c>
      <c r="B132">
        <v>83302</v>
      </c>
      <c r="C132" s="2">
        <v>155.46</v>
      </c>
      <c r="D132" s="1">
        <v>43689</v>
      </c>
      <c r="E132" t="str">
        <f>"1907-451924"</f>
        <v>1907-451924</v>
      </c>
      <c r="F132" t="str">
        <f>"ACCT#3-3053/PCT#2"</f>
        <v>ACCT#3-3053/PCT#2</v>
      </c>
      <c r="G132" s="2">
        <v>155.46</v>
      </c>
      <c r="H132" t="str">
        <f>"ACCT#3-3053/PCT#2"</f>
        <v>ACCT#3-3053/PCT#2</v>
      </c>
    </row>
    <row r="133" spans="1:8" x14ac:dyDescent="0.25">
      <c r="A133" t="s">
        <v>38</v>
      </c>
      <c r="B133">
        <v>83303</v>
      </c>
      <c r="C133" s="2">
        <v>898.43</v>
      </c>
      <c r="D133" s="1">
        <v>43689</v>
      </c>
      <c r="E133" t="str">
        <f>"201908010795"</f>
        <v>201908010795</v>
      </c>
      <c r="F133" t="str">
        <f>"ACCT#012571/TREASURER"</f>
        <v>ACCT#012571/TREASURER</v>
      </c>
      <c r="G133" s="2">
        <v>16.5</v>
      </c>
      <c r="H133" t="str">
        <f>"ACCT#012571/TREASURER"</f>
        <v>ACCT#012571/TREASURER</v>
      </c>
    </row>
    <row r="134" spans="1:8" x14ac:dyDescent="0.25">
      <c r="E134" t="str">
        <f>"201908010796"</f>
        <v>201908010796</v>
      </c>
      <c r="F134" t="str">
        <f>"ACCT#012259/DIST CLERK'S OFFIC"</f>
        <v>ACCT#012259/DIST CLERK'S OFFIC</v>
      </c>
      <c r="G134" s="2">
        <v>69</v>
      </c>
      <c r="H134" t="str">
        <f>"ACCT#012259/DIST CLERK'S OFFIC"</f>
        <v>ACCT#012259/DIST CLERK'S OFFIC</v>
      </c>
    </row>
    <row r="135" spans="1:8" x14ac:dyDescent="0.25">
      <c r="E135" t="str">
        <f>"201908010797"</f>
        <v>201908010797</v>
      </c>
      <c r="F135" t="str">
        <f>"ACCT#010835/COMMISSIONER PCT1"</f>
        <v>ACCT#010835/COMMISSIONER PCT1</v>
      </c>
      <c r="G135" s="2">
        <v>38.99</v>
      </c>
      <c r="H135" t="str">
        <f>"ACCT#010835/COMMISSIONER PCT1"</f>
        <v>ACCT#010835/COMMISSIONER PCT1</v>
      </c>
    </row>
    <row r="136" spans="1:8" x14ac:dyDescent="0.25">
      <c r="E136" t="str">
        <f>"201908010802"</f>
        <v>201908010802</v>
      </c>
      <c r="F136" t="str">
        <f>"ACCT#010057/BASTROP CO AUDITOR"</f>
        <v>ACCT#010057/BASTROP CO AUDITOR</v>
      </c>
      <c r="G136" s="2">
        <v>39</v>
      </c>
      <c r="H136" t="str">
        <f>"ACCT#010057/BASTROP CO AUDITOR"</f>
        <v>ACCT#010057/BASTROP CO AUDITOR</v>
      </c>
    </row>
    <row r="137" spans="1:8" x14ac:dyDescent="0.25">
      <c r="E137" t="str">
        <f>"201908010803"</f>
        <v>201908010803</v>
      </c>
      <c r="F137" t="str">
        <f>"ACCT#010238/GENERAL SERVICES"</f>
        <v>ACCT#010238/GENERAL SERVICES</v>
      </c>
      <c r="G137" s="2">
        <v>38.24</v>
      </c>
      <c r="H137" t="str">
        <f>"ACCT#010238/GENERAL SERVICES"</f>
        <v>ACCT#010238/GENERAL SERVICES</v>
      </c>
    </row>
    <row r="138" spans="1:8" x14ac:dyDescent="0.25">
      <c r="E138" t="str">
        <f>"201908010804"</f>
        <v>201908010804</v>
      </c>
      <c r="F138" t="str">
        <f>"ACCT#010602/COMMISSIONER'S OFF"</f>
        <v>ACCT#010602/COMMISSIONER'S OFF</v>
      </c>
      <c r="G138" s="2">
        <v>46.5</v>
      </c>
      <c r="H138" t="str">
        <f>"ACCT#010602/COMMISSIONER'S OFF"</f>
        <v>ACCT#010602/COMMISSIONER'S OFF</v>
      </c>
    </row>
    <row r="139" spans="1:8" x14ac:dyDescent="0.25">
      <c r="E139" t="str">
        <f>"201908010805"</f>
        <v>201908010805</v>
      </c>
      <c r="F139" t="str">
        <f>"ACCT#014737/ANIMAL SERVICE"</f>
        <v>ACCT#014737/ANIMAL SERVICE</v>
      </c>
      <c r="G139" s="2">
        <v>74.489999999999995</v>
      </c>
      <c r="H139" t="str">
        <f>"ACCT#014737/ANIMAL SERVICE"</f>
        <v>ACCT#014737/ANIMAL SERVICE</v>
      </c>
    </row>
    <row r="140" spans="1:8" x14ac:dyDescent="0.25">
      <c r="E140" t="str">
        <f>"201908010806"</f>
        <v>201908010806</v>
      </c>
      <c r="F140" t="str">
        <f>"ACCT#015538/EMER COMM"</f>
        <v>ACCT#015538/EMER COMM</v>
      </c>
      <c r="G140" s="2">
        <v>94.24</v>
      </c>
      <c r="H140" t="str">
        <f>"ACCT#015538/EMER COMM"</f>
        <v>ACCT#015538/EMER COMM</v>
      </c>
    </row>
    <row r="141" spans="1:8" x14ac:dyDescent="0.25">
      <c r="E141" t="str">
        <f>"201908010807"</f>
        <v>201908010807</v>
      </c>
      <c r="F141" t="str">
        <f>"ACCT#013393/HUMAN RESOURCES"</f>
        <v>ACCT#013393/HUMAN RESOURCES</v>
      </c>
      <c r="G141" s="2">
        <v>25</v>
      </c>
      <c r="H141" t="str">
        <f>"ACCT#013393/HUMAN RESOURCES"</f>
        <v>ACCT#013393/HUMAN RESOURCES</v>
      </c>
    </row>
    <row r="142" spans="1:8" x14ac:dyDescent="0.25">
      <c r="E142" t="str">
        <f>"201908010809"</f>
        <v>201908010809</v>
      </c>
      <c r="F142" t="str">
        <f>"ACCT#011955/DISTRICT JUDGE"</f>
        <v>ACCT#011955/DISTRICT JUDGE</v>
      </c>
      <c r="G142" s="2">
        <v>48</v>
      </c>
      <c r="H142" t="str">
        <f>"ACCT#011955/DISTRICT JUDGE"</f>
        <v>ACCT#011955/DISTRICT JUDGE</v>
      </c>
    </row>
    <row r="143" spans="1:8" x14ac:dyDescent="0.25">
      <c r="E143" t="str">
        <f>"201908010810"</f>
        <v>201908010810</v>
      </c>
      <c r="F143" t="str">
        <f>"ACCT#012231/DIST JUDGE OFFICE"</f>
        <v>ACCT#012231/DIST JUDGE OFFICE</v>
      </c>
      <c r="G143" s="2">
        <v>10</v>
      </c>
      <c r="H143" t="str">
        <f>"ACCT#012231/DIST JUDGE OFFICE"</f>
        <v>ACCT#012231/DIST JUDGE OFFICE</v>
      </c>
    </row>
    <row r="144" spans="1:8" x14ac:dyDescent="0.25">
      <c r="E144" t="str">
        <f>"201908010811"</f>
        <v>201908010811</v>
      </c>
      <c r="F144" t="str">
        <f>"ACCT#011474/ELECTIONS"</f>
        <v>ACCT#011474/ELECTIONS</v>
      </c>
      <c r="G144" s="2">
        <v>40</v>
      </c>
      <c r="H144" t="str">
        <f>"ACCT#011474/ELECTIONS"</f>
        <v>ACCT#011474/ELECTIONS</v>
      </c>
    </row>
    <row r="145" spans="1:8" x14ac:dyDescent="0.25">
      <c r="E145" t="str">
        <f>"201908020815"</f>
        <v>201908020815</v>
      </c>
      <c r="F145" t="str">
        <f>"ACCT#012260/DISTRICT ATTORNEY"</f>
        <v>ACCT#012260/DISTRICT ATTORNEY</v>
      </c>
      <c r="G145" s="2">
        <v>60</v>
      </c>
      <c r="H145" t="str">
        <f>"ACCT#012260/DISTRICT ATTORNEY"</f>
        <v>ACCT#012260/DISTRICT ATTORNEY</v>
      </c>
    </row>
    <row r="146" spans="1:8" x14ac:dyDescent="0.25">
      <c r="E146" t="str">
        <f>"201908020816"</f>
        <v>201908020816</v>
      </c>
      <c r="F146" t="str">
        <f>"ACCT#014877/INDIGENT HEALTH"</f>
        <v>ACCT#014877/INDIGENT HEALTH</v>
      </c>
      <c r="G146" s="2">
        <v>20.99</v>
      </c>
      <c r="H146" t="str">
        <f>"ACCT#014877/INDIGENT HEALTH"</f>
        <v>ACCT#014877/INDIGENT HEALTH</v>
      </c>
    </row>
    <row r="147" spans="1:8" x14ac:dyDescent="0.25">
      <c r="E147" t="str">
        <f>"201908020819"</f>
        <v>201908020819</v>
      </c>
      <c r="F147" t="str">
        <f>"ACCT#015199/JP#1"</f>
        <v>ACCT#015199/JP#1</v>
      </c>
      <c r="G147" s="2">
        <v>19.489999999999998</v>
      </c>
      <c r="H147" t="str">
        <f>"ACCT#015199/JP#1"</f>
        <v>ACCT#015199/JP#1</v>
      </c>
    </row>
    <row r="148" spans="1:8" x14ac:dyDescent="0.25">
      <c r="E148" t="str">
        <f>"201908060913"</f>
        <v>201908060913</v>
      </c>
      <c r="F148" t="str">
        <f>"ACCT#011033/IT DEPT"</f>
        <v>ACCT#011033/IT DEPT</v>
      </c>
      <c r="G148" s="2">
        <v>139.5</v>
      </c>
      <c r="H148" t="str">
        <f>"ACCT#011033/IT DEPT"</f>
        <v>ACCT#011033/IT DEPT</v>
      </c>
    </row>
    <row r="149" spans="1:8" x14ac:dyDescent="0.25">
      <c r="E149" t="str">
        <f>"201908060915"</f>
        <v>201908060915</v>
      </c>
      <c r="F149" t="str">
        <f>"ACCT#012803/BASTROP CO JUDGE"</f>
        <v>ACCT#012803/BASTROP CO JUDGE</v>
      </c>
      <c r="G149" s="2">
        <v>9</v>
      </c>
      <c r="H149" t="str">
        <f>"ACCT#012803/BASTROP CO JUDGE"</f>
        <v>ACCT#012803/BASTROP CO JUDGE</v>
      </c>
    </row>
    <row r="150" spans="1:8" x14ac:dyDescent="0.25">
      <c r="E150" t="str">
        <f>"201908060920"</f>
        <v>201908060920</v>
      </c>
      <c r="F150" t="str">
        <f>"ACCT#015476/PURCHASING DEPT"</f>
        <v>ACCT#015476/PURCHASING DEPT</v>
      </c>
      <c r="G150" s="2">
        <v>16.489999999999998</v>
      </c>
      <c r="H150" t="str">
        <f>"ACCT#015476/PURCHASING DEPT"</f>
        <v>ACCT#015476/PURCHASING DEPT</v>
      </c>
    </row>
    <row r="151" spans="1:8" x14ac:dyDescent="0.25">
      <c r="E151" t="str">
        <f>"201908060926"</f>
        <v>201908060926</v>
      </c>
      <c r="F151" t="str">
        <f>"ACCT#011280/COUNTY CLERK"</f>
        <v>ACCT#011280/COUNTY CLERK</v>
      </c>
      <c r="G151" s="2">
        <v>61.5</v>
      </c>
      <c r="H151" t="str">
        <f>"ACCT#011280/COUNTY CLERK"</f>
        <v>ACCT#011280/COUNTY CLERK</v>
      </c>
    </row>
    <row r="152" spans="1:8" x14ac:dyDescent="0.25">
      <c r="E152" t="str">
        <f>"201908060928"</f>
        <v>201908060928</v>
      </c>
      <c r="F152" t="str">
        <f>"ACCT#010311/CT AT LAW"</f>
        <v>ACCT#010311/CT AT LAW</v>
      </c>
      <c r="G152" s="2">
        <v>31.5</v>
      </c>
      <c r="H152" t="str">
        <f>"ACCT#010311/CT AT LAW"</f>
        <v>ACCT#010311/CT AT LAW</v>
      </c>
    </row>
    <row r="153" spans="1:8" x14ac:dyDescent="0.25">
      <c r="A153" t="s">
        <v>38</v>
      </c>
      <c r="B153">
        <v>83524</v>
      </c>
      <c r="C153" s="2">
        <v>15</v>
      </c>
      <c r="D153" s="1">
        <v>43703</v>
      </c>
      <c r="E153" t="str">
        <f>"201908141078"</f>
        <v>201908141078</v>
      </c>
      <c r="F153" t="str">
        <f>"ACCT#010149/AGRI LIFE EXT"</f>
        <v>ACCT#010149/AGRI LIFE EXT</v>
      </c>
      <c r="G153" s="2">
        <v>15</v>
      </c>
      <c r="H153" t="str">
        <f>"ACCT#010149/AGRI LIFE EXT"</f>
        <v>ACCT#010149/AGRI LIFE EXT</v>
      </c>
    </row>
    <row r="154" spans="1:8" x14ac:dyDescent="0.25">
      <c r="A154" t="s">
        <v>39</v>
      </c>
      <c r="B154">
        <v>83280</v>
      </c>
      <c r="C154" s="2">
        <v>55.97</v>
      </c>
      <c r="D154" s="1">
        <v>43678</v>
      </c>
      <c r="E154" t="str">
        <f>"201908010757"</f>
        <v>201908010757</v>
      </c>
      <c r="F154" t="str">
        <f>"ACCT#0201855301 / 08052019"</f>
        <v>ACCT#0201855301 / 08052019</v>
      </c>
      <c r="G154" s="2">
        <v>30.69</v>
      </c>
      <c r="H154" t="str">
        <f>"ACCT#0201855301 / 08052019"</f>
        <v>ACCT#0201855301 / 08052019</v>
      </c>
    </row>
    <row r="155" spans="1:8" x14ac:dyDescent="0.25">
      <c r="E155" t="str">
        <f>"201908010758"</f>
        <v>201908010758</v>
      </c>
      <c r="F155" t="str">
        <f>"ACCT#0201891401 / 08052019"</f>
        <v>ACCT#0201891401 / 08052019</v>
      </c>
      <c r="G155" s="2">
        <v>25.28</v>
      </c>
      <c r="H155" t="str">
        <f>"ACCT#0201891401 / 08052019"</f>
        <v>ACCT#0201891401 / 08052019</v>
      </c>
    </row>
    <row r="156" spans="1:8" x14ac:dyDescent="0.25">
      <c r="A156" t="s">
        <v>39</v>
      </c>
      <c r="B156">
        <v>83514</v>
      </c>
      <c r="C156" s="2">
        <v>1464.14</v>
      </c>
      <c r="D156" s="1">
        <v>43699</v>
      </c>
      <c r="E156" t="str">
        <f>"201908221238"</f>
        <v>201908221238</v>
      </c>
      <c r="F156" t="str">
        <f>"ACCT#0102120801 / 08202019"</f>
        <v>ACCT#0102120801 / 08202019</v>
      </c>
      <c r="G156" s="2">
        <v>284.72000000000003</v>
      </c>
      <c r="H156" t="str">
        <f>"ACCT#0800042801 / 08202019"</f>
        <v>ACCT#0800042801 / 08202019</v>
      </c>
    </row>
    <row r="157" spans="1:8" x14ac:dyDescent="0.25">
      <c r="E157" t="str">
        <f>"201908221239"</f>
        <v>201908221239</v>
      </c>
      <c r="F157" t="str">
        <f>"ACCT#0400785803 / 08202019"</f>
        <v>ACCT#0400785803 / 08202019</v>
      </c>
      <c r="G157" s="2">
        <v>308.12</v>
      </c>
      <c r="H157" t="str">
        <f>"ACCT#0400785803 / 08202019"</f>
        <v>ACCT#0400785803 / 08202019</v>
      </c>
    </row>
    <row r="158" spans="1:8" x14ac:dyDescent="0.25">
      <c r="E158" t="str">
        <f>"201908221240"</f>
        <v>201908221240</v>
      </c>
      <c r="F158" t="str">
        <f>"ACCT#0401408501 / 08202019"</f>
        <v>ACCT#0401408501 / 08202019</v>
      </c>
      <c r="G158" s="2">
        <v>824.36</v>
      </c>
      <c r="H158" t="str">
        <f>"ACCT#0401408501 / 08202019"</f>
        <v>ACCT#0401408501 / 08202019</v>
      </c>
    </row>
    <row r="159" spans="1:8" x14ac:dyDescent="0.25">
      <c r="E159" t="str">
        <f>"201908221241"</f>
        <v>201908221241</v>
      </c>
      <c r="F159" t="str">
        <f>"ACCT#0800042801 / 08202019"</f>
        <v>ACCT#0800042801 / 08202019</v>
      </c>
      <c r="G159" s="2">
        <v>46.94</v>
      </c>
      <c r="H159" t="str">
        <f>"ACCT#0800042801 / 08202019"</f>
        <v>ACCT#0800042801 / 08202019</v>
      </c>
    </row>
    <row r="160" spans="1:8" x14ac:dyDescent="0.25">
      <c r="A160" t="s">
        <v>39</v>
      </c>
      <c r="B160">
        <v>83525</v>
      </c>
      <c r="C160" s="2">
        <v>494.05</v>
      </c>
      <c r="D160" s="1">
        <v>43703</v>
      </c>
      <c r="E160" t="str">
        <f>"201908141077"</f>
        <v>201908141077</v>
      </c>
      <c r="F160" t="str">
        <f>"METER#83799902/ACCT#7700010019"</f>
        <v>METER#83799902/ACCT#7700010019</v>
      </c>
      <c r="G160" s="2">
        <v>227.55</v>
      </c>
      <c r="H160" t="str">
        <f>"METER#83799902/ACCT#7700010019"</f>
        <v>METER#83799902/ACCT#7700010019</v>
      </c>
    </row>
    <row r="161" spans="1:8" x14ac:dyDescent="0.25">
      <c r="E161" t="str">
        <f>"201908141090"</f>
        <v>201908141090</v>
      </c>
      <c r="F161" t="str">
        <f>"ACCT#7700010025/52000 GAL/P2"</f>
        <v>ACCT#7700010025/52000 GAL/P2</v>
      </c>
      <c r="G161" s="2">
        <v>266.5</v>
      </c>
      <c r="H161" t="str">
        <f>"ACCT#7700010025/52000 GAL/P2"</f>
        <v>ACCT#7700010025/52000 GAL/P2</v>
      </c>
    </row>
    <row r="162" spans="1:8" x14ac:dyDescent="0.25">
      <c r="A162" t="s">
        <v>40</v>
      </c>
      <c r="B162">
        <v>83304</v>
      </c>
      <c r="C162" s="2">
        <v>1200</v>
      </c>
      <c r="D162" s="1">
        <v>43689</v>
      </c>
      <c r="E162" t="str">
        <f>"1814.09"</f>
        <v>1814.09</v>
      </c>
      <c r="F162" t="str">
        <f>"1814 BASTROP CO CT HSE MASTER"</f>
        <v>1814 BASTROP CO CT HSE MASTER</v>
      </c>
      <c r="G162" s="2">
        <v>1200</v>
      </c>
      <c r="H162" t="str">
        <f>"1814 BASTROP CO CT HSE MASTER"</f>
        <v>1814 BASTROP CO CT HSE MASTER</v>
      </c>
    </row>
    <row r="163" spans="1:8" x14ac:dyDescent="0.25">
      <c r="A163" t="s">
        <v>41</v>
      </c>
      <c r="B163">
        <v>1163</v>
      </c>
      <c r="C163" s="2">
        <v>21815.91</v>
      </c>
      <c r="D163" s="1">
        <v>43690</v>
      </c>
      <c r="E163" t="str">
        <f>"14892"</f>
        <v>14892</v>
      </c>
      <c r="F163" t="str">
        <f>"PROJ NAME:BC JUNE ADV"</f>
        <v>PROJ NAME:BC JUNE ADV</v>
      </c>
      <c r="G163" s="2">
        <v>20215.91</v>
      </c>
      <c r="H163" t="str">
        <f>"PROJ NAME:BC JUNE ADV"</f>
        <v>PROJ NAME:BC JUNE ADV</v>
      </c>
    </row>
    <row r="164" spans="1:8" x14ac:dyDescent="0.25">
      <c r="E164" t="str">
        <f>"14893"</f>
        <v>14893</v>
      </c>
      <c r="F164" t="str">
        <f>"PROJ NAME:BC JUNE PRO SERV"</f>
        <v>PROJ NAME:BC JUNE PRO SERV</v>
      </c>
      <c r="G164" s="2">
        <v>1600</v>
      </c>
      <c r="H164" t="str">
        <f>"PROJ NAME:BC JUNE PRO SERV"</f>
        <v>PROJ NAME:BC JUNE PRO SERV</v>
      </c>
    </row>
    <row r="165" spans="1:8" x14ac:dyDescent="0.25">
      <c r="A165" t="s">
        <v>42</v>
      </c>
      <c r="B165">
        <v>83305</v>
      </c>
      <c r="C165" s="2">
        <v>5494.92</v>
      </c>
      <c r="D165" s="1">
        <v>43689</v>
      </c>
      <c r="E165" t="str">
        <f>"201908060912"</f>
        <v>201908060912</v>
      </c>
      <c r="F165" t="str">
        <f>"ACCT#512A49-0048 193 3"</f>
        <v>ACCT#512A49-0048 193 3</v>
      </c>
      <c r="G165" s="2">
        <v>5494.92</v>
      </c>
      <c r="H165" t="str">
        <f>"ACCT#512A49-0048 193 3"</f>
        <v>ACCT#512A49-0048 193 3</v>
      </c>
    </row>
    <row r="166" spans="1:8" x14ac:dyDescent="0.25">
      <c r="E166" t="str">
        <f>""</f>
        <v/>
      </c>
      <c r="F166" t="str">
        <f>""</f>
        <v/>
      </c>
      <c r="H166" t="str">
        <f>"ACCT#512A49-0048 193 3"</f>
        <v>ACCT#512A49-0048 193 3</v>
      </c>
    </row>
    <row r="167" spans="1:8" x14ac:dyDescent="0.25">
      <c r="E167" t="str">
        <f>""</f>
        <v/>
      </c>
      <c r="F167" t="str">
        <f>""</f>
        <v/>
      </c>
      <c r="H167" t="str">
        <f>"ACCT#512A49-0048 193 3"</f>
        <v>ACCT#512A49-0048 193 3</v>
      </c>
    </row>
    <row r="168" spans="1:8" x14ac:dyDescent="0.25">
      <c r="E168" t="str">
        <f>""</f>
        <v/>
      </c>
      <c r="F168" t="str">
        <f>""</f>
        <v/>
      </c>
      <c r="H168" t="str">
        <f>"ACCT#512A49-0048 193 3"</f>
        <v>ACCT#512A49-0048 193 3</v>
      </c>
    </row>
    <row r="169" spans="1:8" x14ac:dyDescent="0.25">
      <c r="A169" t="s">
        <v>42</v>
      </c>
      <c r="B169">
        <v>83306</v>
      </c>
      <c r="C169" s="2">
        <v>4559.32</v>
      </c>
      <c r="D169" s="1">
        <v>43689</v>
      </c>
      <c r="E169" t="str">
        <f>"3432119407"</f>
        <v>3432119407</v>
      </c>
      <c r="F169" t="str">
        <f>"ACCT#831-000-6084 095"</f>
        <v>ACCT#831-000-6084 095</v>
      </c>
      <c r="G169" s="2">
        <v>1684.69</v>
      </c>
      <c r="H169" t="str">
        <f>"ACCT#831-000-6084 095"</f>
        <v>ACCT#831-000-6084 095</v>
      </c>
    </row>
    <row r="170" spans="1:8" x14ac:dyDescent="0.25">
      <c r="E170" t="str">
        <f>"7404878405"</f>
        <v>7404878405</v>
      </c>
      <c r="F170" t="str">
        <f>"ACCT#831-000-7919 623"</f>
        <v>ACCT#831-000-7919 623</v>
      </c>
      <c r="G170" s="2">
        <v>2000.38</v>
      </c>
      <c r="H170" t="str">
        <f>"ACCT#831-000-7919 623"</f>
        <v>ACCT#831-000-7919 623</v>
      </c>
    </row>
    <row r="171" spans="1:8" x14ac:dyDescent="0.25">
      <c r="E171" t="str">
        <f>"9060619405"</f>
        <v>9060619405</v>
      </c>
      <c r="F171" t="str">
        <f>"ACCT#831-000-7218 923"</f>
        <v>ACCT#831-000-7218 923</v>
      </c>
      <c r="G171" s="2">
        <v>874.25</v>
      </c>
      <c r="H171" t="str">
        <f>"ACCT#831-000-7218 923"</f>
        <v>ACCT#831-000-7218 923</v>
      </c>
    </row>
    <row r="172" spans="1:8" x14ac:dyDescent="0.25">
      <c r="A172" t="s">
        <v>42</v>
      </c>
      <c r="B172">
        <v>83526</v>
      </c>
      <c r="C172" s="2">
        <v>431.87</v>
      </c>
      <c r="D172" s="1">
        <v>43703</v>
      </c>
      <c r="E172" t="str">
        <f>"201908201116"</f>
        <v>201908201116</v>
      </c>
      <c r="F172" t="str">
        <f>"ACCT#512 3089870 539 7"</f>
        <v>ACCT#512 3089870 539 7</v>
      </c>
      <c r="G172" s="2">
        <v>431.87</v>
      </c>
      <c r="H172" t="str">
        <f>"ACCT#512 3089870 539 7"</f>
        <v>ACCT#512 3089870 539 7</v>
      </c>
    </row>
    <row r="173" spans="1:8" x14ac:dyDescent="0.25">
      <c r="A173" t="s">
        <v>42</v>
      </c>
      <c r="B173">
        <v>83527</v>
      </c>
      <c r="C173" s="2">
        <v>1812.69</v>
      </c>
      <c r="D173" s="1">
        <v>43703</v>
      </c>
      <c r="E173" t="str">
        <f>"512 303 1080 238JE"</f>
        <v>512 303 1080 238JE</v>
      </c>
      <c r="F173" t="str">
        <f>"512 303-1080 238 5"</f>
        <v>512 303-1080 238 5</v>
      </c>
      <c r="G173" s="2">
        <v>1812.69</v>
      </c>
      <c r="H173" t="str">
        <f>"512 303-1080 238  LE"</f>
        <v>512 303-1080 238  LE</v>
      </c>
    </row>
    <row r="174" spans="1:8" x14ac:dyDescent="0.25">
      <c r="E174" t="str">
        <f>""</f>
        <v/>
      </c>
      <c r="F174" t="str">
        <f>""</f>
        <v/>
      </c>
      <c r="H174" t="str">
        <f>"512 303-1080 238 JAI"</f>
        <v>512 303-1080 238 JAI</v>
      </c>
    </row>
    <row r="175" spans="1:8" x14ac:dyDescent="0.25">
      <c r="A175" t="s">
        <v>43</v>
      </c>
      <c r="B175">
        <v>83307</v>
      </c>
      <c r="C175" s="2">
        <v>656.91</v>
      </c>
      <c r="D175" s="1">
        <v>43689</v>
      </c>
      <c r="E175" t="str">
        <f>"287282871570X04272"</f>
        <v>287282871570X04272</v>
      </c>
      <c r="F175" t="str">
        <f>"ACCT#BES07964068"</f>
        <v>ACCT#BES07964068</v>
      </c>
      <c r="G175" s="2">
        <v>656.91</v>
      </c>
      <c r="H175" t="str">
        <f t="shared" ref="H175:H180" si="3">"ACCT#BES07964068"</f>
        <v>ACCT#BES07964068</v>
      </c>
    </row>
    <row r="176" spans="1:8" x14ac:dyDescent="0.25">
      <c r="E176" t="str">
        <f>""</f>
        <v/>
      </c>
      <c r="F176" t="str">
        <f>""</f>
        <v/>
      </c>
      <c r="H176" t="str">
        <f t="shared" si="3"/>
        <v>ACCT#BES07964068</v>
      </c>
    </row>
    <row r="177" spans="1:8" x14ac:dyDescent="0.25">
      <c r="E177" t="str">
        <f>""</f>
        <v/>
      </c>
      <c r="F177" t="str">
        <f>""</f>
        <v/>
      </c>
      <c r="H177" t="str">
        <f t="shared" si="3"/>
        <v>ACCT#BES07964068</v>
      </c>
    </row>
    <row r="178" spans="1:8" x14ac:dyDescent="0.25">
      <c r="E178" t="str">
        <f>""</f>
        <v/>
      </c>
      <c r="F178" t="str">
        <f>""</f>
        <v/>
      </c>
      <c r="H178" t="str">
        <f t="shared" si="3"/>
        <v>ACCT#BES07964068</v>
      </c>
    </row>
    <row r="179" spans="1:8" x14ac:dyDescent="0.25">
      <c r="E179" t="str">
        <f>""</f>
        <v/>
      </c>
      <c r="F179" t="str">
        <f>""</f>
        <v/>
      </c>
      <c r="H179" t="str">
        <f t="shared" si="3"/>
        <v>ACCT#BES07964068</v>
      </c>
    </row>
    <row r="180" spans="1:8" x14ac:dyDescent="0.25">
      <c r="E180" t="str">
        <f>""</f>
        <v/>
      </c>
      <c r="F180" t="str">
        <f>""</f>
        <v/>
      </c>
      <c r="H180" t="str">
        <f t="shared" si="3"/>
        <v>ACCT#BES07964068</v>
      </c>
    </row>
    <row r="181" spans="1:8" x14ac:dyDescent="0.25">
      <c r="A181" t="s">
        <v>43</v>
      </c>
      <c r="B181">
        <v>83308</v>
      </c>
      <c r="C181" s="2">
        <v>4162.47</v>
      </c>
      <c r="D181" s="1">
        <v>43689</v>
      </c>
      <c r="E181" t="str">
        <f>"06062279"</f>
        <v>06062279</v>
      </c>
      <c r="F181" t="str">
        <f>"ACCT#287263291654"</f>
        <v>ACCT#287263291654</v>
      </c>
      <c r="G181" s="2">
        <v>1276.8399999999999</v>
      </c>
      <c r="H181" t="str">
        <f t="shared" ref="H181:H195" si="4">"ACCT#287263291654"</f>
        <v>ACCT#287263291654</v>
      </c>
    </row>
    <row r="182" spans="1:8" x14ac:dyDescent="0.25">
      <c r="E182" t="str">
        <f>""</f>
        <v/>
      </c>
      <c r="F182" t="str">
        <f>""</f>
        <v/>
      </c>
      <c r="H182" t="str">
        <f t="shared" si="4"/>
        <v>ACCT#287263291654</v>
      </c>
    </row>
    <row r="183" spans="1:8" x14ac:dyDescent="0.25">
      <c r="E183" t="str">
        <f>""</f>
        <v/>
      </c>
      <c r="F183" t="str">
        <f>""</f>
        <v/>
      </c>
      <c r="H183" t="str">
        <f t="shared" si="4"/>
        <v>ACCT#287263291654</v>
      </c>
    </row>
    <row r="184" spans="1:8" x14ac:dyDescent="0.25">
      <c r="E184" t="str">
        <f>""</f>
        <v/>
      </c>
      <c r="F184" t="str">
        <f>""</f>
        <v/>
      </c>
      <c r="H184" t="str">
        <f t="shared" si="4"/>
        <v>ACCT#287263291654</v>
      </c>
    </row>
    <row r="185" spans="1:8" x14ac:dyDescent="0.25">
      <c r="E185" t="str">
        <f>""</f>
        <v/>
      </c>
      <c r="F185" t="str">
        <f>""</f>
        <v/>
      </c>
      <c r="H185" t="str">
        <f t="shared" si="4"/>
        <v>ACCT#287263291654</v>
      </c>
    </row>
    <row r="186" spans="1:8" x14ac:dyDescent="0.25">
      <c r="E186" t="str">
        <f>""</f>
        <v/>
      </c>
      <c r="F186" t="str">
        <f>""</f>
        <v/>
      </c>
      <c r="H186" t="str">
        <f t="shared" si="4"/>
        <v>ACCT#287263291654</v>
      </c>
    </row>
    <row r="187" spans="1:8" x14ac:dyDescent="0.25">
      <c r="E187" t="str">
        <f>""</f>
        <v/>
      </c>
      <c r="F187" t="str">
        <f>""</f>
        <v/>
      </c>
      <c r="H187" t="str">
        <f t="shared" si="4"/>
        <v>ACCT#287263291654</v>
      </c>
    </row>
    <row r="188" spans="1:8" x14ac:dyDescent="0.25">
      <c r="E188" t="str">
        <f>""</f>
        <v/>
      </c>
      <c r="F188" t="str">
        <f>""</f>
        <v/>
      </c>
      <c r="H188" t="str">
        <f t="shared" si="4"/>
        <v>ACCT#287263291654</v>
      </c>
    </row>
    <row r="189" spans="1:8" x14ac:dyDescent="0.25">
      <c r="E189" t="str">
        <f>""</f>
        <v/>
      </c>
      <c r="F189" t="str">
        <f>""</f>
        <v/>
      </c>
      <c r="H189" t="str">
        <f t="shared" si="4"/>
        <v>ACCT#287263291654</v>
      </c>
    </row>
    <row r="190" spans="1:8" x14ac:dyDescent="0.25">
      <c r="E190" t="str">
        <f>""</f>
        <v/>
      </c>
      <c r="F190" t="str">
        <f>""</f>
        <v/>
      </c>
      <c r="H190" t="str">
        <f t="shared" si="4"/>
        <v>ACCT#287263291654</v>
      </c>
    </row>
    <row r="191" spans="1:8" x14ac:dyDescent="0.25">
      <c r="E191" t="str">
        <f>""</f>
        <v/>
      </c>
      <c r="F191" t="str">
        <f>""</f>
        <v/>
      </c>
      <c r="H191" t="str">
        <f t="shared" si="4"/>
        <v>ACCT#287263291654</v>
      </c>
    </row>
    <row r="192" spans="1:8" x14ac:dyDescent="0.25">
      <c r="E192" t="str">
        <f>""</f>
        <v/>
      </c>
      <c r="F192" t="str">
        <f>""</f>
        <v/>
      </c>
      <c r="H192" t="str">
        <f t="shared" si="4"/>
        <v>ACCT#287263291654</v>
      </c>
    </row>
    <row r="193" spans="1:8" x14ac:dyDescent="0.25">
      <c r="E193" t="str">
        <f>""</f>
        <v/>
      </c>
      <c r="F193" t="str">
        <f>""</f>
        <v/>
      </c>
      <c r="H193" t="str">
        <f t="shared" si="4"/>
        <v>ACCT#287263291654</v>
      </c>
    </row>
    <row r="194" spans="1:8" x14ac:dyDescent="0.25">
      <c r="E194" t="str">
        <f>""</f>
        <v/>
      </c>
      <c r="F194" t="str">
        <f>""</f>
        <v/>
      </c>
      <c r="H194" t="str">
        <f t="shared" si="4"/>
        <v>ACCT#287263291654</v>
      </c>
    </row>
    <row r="195" spans="1:8" x14ac:dyDescent="0.25">
      <c r="E195" t="str">
        <f>""</f>
        <v/>
      </c>
      <c r="F195" t="str">
        <f>""</f>
        <v/>
      </c>
      <c r="H195" t="str">
        <f t="shared" si="4"/>
        <v>ACCT#287263291654</v>
      </c>
    </row>
    <row r="196" spans="1:8" x14ac:dyDescent="0.25">
      <c r="E196" t="str">
        <f>"287280903541X07202"</f>
        <v>287280903541X07202</v>
      </c>
      <c r="F196" t="str">
        <f>"INV 287280903541X07202019"</f>
        <v>INV 287280903541X07202019</v>
      </c>
      <c r="G196" s="2">
        <v>218.63</v>
      </c>
      <c r="H196" t="str">
        <f>"INV 287280903541X07202019"</f>
        <v>INV 287280903541X07202019</v>
      </c>
    </row>
    <row r="197" spans="1:8" x14ac:dyDescent="0.25">
      <c r="E197" t="str">
        <f>"287290524359X07272"</f>
        <v>287290524359X07272</v>
      </c>
      <c r="F197" t="str">
        <f>"ACCT#287290524359/FAN#58143538"</f>
        <v>ACCT#287290524359/FAN#58143538</v>
      </c>
      <c r="G197" s="2">
        <v>2667</v>
      </c>
      <c r="H197" t="str">
        <f t="shared" ref="H197:H202" si="5">"ACCT#287290524359/FAN#58143538"</f>
        <v>ACCT#287290524359/FAN#58143538</v>
      </c>
    </row>
    <row r="198" spans="1:8" x14ac:dyDescent="0.25">
      <c r="E198" t="str">
        <f>""</f>
        <v/>
      </c>
      <c r="F198" t="str">
        <f>""</f>
        <v/>
      </c>
      <c r="H198" t="str">
        <f t="shared" si="5"/>
        <v>ACCT#287290524359/FAN#58143538</v>
      </c>
    </row>
    <row r="199" spans="1:8" x14ac:dyDescent="0.25">
      <c r="E199" t="str">
        <f>""</f>
        <v/>
      </c>
      <c r="F199" t="str">
        <f>""</f>
        <v/>
      </c>
      <c r="H199" t="str">
        <f t="shared" si="5"/>
        <v>ACCT#287290524359/FAN#58143538</v>
      </c>
    </row>
    <row r="200" spans="1:8" x14ac:dyDescent="0.25">
      <c r="E200" t="str">
        <f>""</f>
        <v/>
      </c>
      <c r="F200" t="str">
        <f>""</f>
        <v/>
      </c>
      <c r="H200" t="str">
        <f t="shared" si="5"/>
        <v>ACCT#287290524359/FAN#58143538</v>
      </c>
    </row>
    <row r="201" spans="1:8" x14ac:dyDescent="0.25">
      <c r="E201" t="str">
        <f>""</f>
        <v/>
      </c>
      <c r="F201" t="str">
        <f>""</f>
        <v/>
      </c>
      <c r="H201" t="str">
        <f t="shared" si="5"/>
        <v>ACCT#287290524359/FAN#58143538</v>
      </c>
    </row>
    <row r="202" spans="1:8" x14ac:dyDescent="0.25">
      <c r="E202" t="str">
        <f>""</f>
        <v/>
      </c>
      <c r="F202" t="str">
        <f>""</f>
        <v/>
      </c>
      <c r="H202" t="str">
        <f t="shared" si="5"/>
        <v>ACCT#287290524359/FAN#58143538</v>
      </c>
    </row>
    <row r="203" spans="1:8" x14ac:dyDescent="0.25">
      <c r="A203" t="s">
        <v>43</v>
      </c>
      <c r="B203">
        <v>83528</v>
      </c>
      <c r="C203" s="2">
        <v>1749.93</v>
      </c>
      <c r="D203" s="1">
        <v>43703</v>
      </c>
      <c r="E203" t="str">
        <f>"287263291X08202019"</f>
        <v>287263291X08202019</v>
      </c>
      <c r="F203" t="str">
        <f>"ACCT#287263291654"</f>
        <v>ACCT#287263291654</v>
      </c>
      <c r="G203" s="2">
        <v>1312.67</v>
      </c>
      <c r="H203" t="str">
        <f t="shared" ref="H203:H217" si="6">"ACCT#287263291654"</f>
        <v>ACCT#287263291654</v>
      </c>
    </row>
    <row r="204" spans="1:8" x14ac:dyDescent="0.25">
      <c r="E204" t="str">
        <f>""</f>
        <v/>
      </c>
      <c r="F204" t="str">
        <f>""</f>
        <v/>
      </c>
      <c r="H204" t="str">
        <f t="shared" si="6"/>
        <v>ACCT#287263291654</v>
      </c>
    </row>
    <row r="205" spans="1:8" x14ac:dyDescent="0.25">
      <c r="E205" t="str">
        <f>""</f>
        <v/>
      </c>
      <c r="F205" t="str">
        <f>""</f>
        <v/>
      </c>
      <c r="H205" t="str">
        <f t="shared" si="6"/>
        <v>ACCT#287263291654</v>
      </c>
    </row>
    <row r="206" spans="1:8" x14ac:dyDescent="0.25">
      <c r="E206" t="str">
        <f>""</f>
        <v/>
      </c>
      <c r="F206" t="str">
        <f>""</f>
        <v/>
      </c>
      <c r="H206" t="str">
        <f t="shared" si="6"/>
        <v>ACCT#287263291654</v>
      </c>
    </row>
    <row r="207" spans="1:8" x14ac:dyDescent="0.25">
      <c r="E207" t="str">
        <f>""</f>
        <v/>
      </c>
      <c r="F207" t="str">
        <f>""</f>
        <v/>
      </c>
      <c r="H207" t="str">
        <f t="shared" si="6"/>
        <v>ACCT#287263291654</v>
      </c>
    </row>
    <row r="208" spans="1:8" x14ac:dyDescent="0.25">
      <c r="E208" t="str">
        <f>""</f>
        <v/>
      </c>
      <c r="F208" t="str">
        <f>""</f>
        <v/>
      </c>
      <c r="H208" t="str">
        <f t="shared" si="6"/>
        <v>ACCT#287263291654</v>
      </c>
    </row>
    <row r="209" spans="1:8" x14ac:dyDescent="0.25">
      <c r="E209" t="str">
        <f>""</f>
        <v/>
      </c>
      <c r="F209" t="str">
        <f>""</f>
        <v/>
      </c>
      <c r="H209" t="str">
        <f t="shared" si="6"/>
        <v>ACCT#287263291654</v>
      </c>
    </row>
    <row r="210" spans="1:8" x14ac:dyDescent="0.25">
      <c r="E210" t="str">
        <f>""</f>
        <v/>
      </c>
      <c r="F210" t="str">
        <f>""</f>
        <v/>
      </c>
      <c r="H210" t="str">
        <f t="shared" si="6"/>
        <v>ACCT#287263291654</v>
      </c>
    </row>
    <row r="211" spans="1:8" x14ac:dyDescent="0.25">
      <c r="E211" t="str">
        <f>""</f>
        <v/>
      </c>
      <c r="F211" t="str">
        <f>""</f>
        <v/>
      </c>
      <c r="H211" t="str">
        <f t="shared" si="6"/>
        <v>ACCT#287263291654</v>
      </c>
    </row>
    <row r="212" spans="1:8" x14ac:dyDescent="0.25">
      <c r="E212" t="str">
        <f>""</f>
        <v/>
      </c>
      <c r="F212" t="str">
        <f>""</f>
        <v/>
      </c>
      <c r="H212" t="str">
        <f t="shared" si="6"/>
        <v>ACCT#287263291654</v>
      </c>
    </row>
    <row r="213" spans="1:8" x14ac:dyDescent="0.25">
      <c r="E213" t="str">
        <f>""</f>
        <v/>
      </c>
      <c r="F213" t="str">
        <f>""</f>
        <v/>
      </c>
      <c r="H213" t="str">
        <f t="shared" si="6"/>
        <v>ACCT#287263291654</v>
      </c>
    </row>
    <row r="214" spans="1:8" x14ac:dyDescent="0.25">
      <c r="E214" t="str">
        <f>""</f>
        <v/>
      </c>
      <c r="F214" t="str">
        <f>""</f>
        <v/>
      </c>
      <c r="H214" t="str">
        <f t="shared" si="6"/>
        <v>ACCT#287263291654</v>
      </c>
    </row>
    <row r="215" spans="1:8" x14ac:dyDescent="0.25">
      <c r="E215" t="str">
        <f>""</f>
        <v/>
      </c>
      <c r="F215" t="str">
        <f>""</f>
        <v/>
      </c>
      <c r="H215" t="str">
        <f t="shared" si="6"/>
        <v>ACCT#287263291654</v>
      </c>
    </row>
    <row r="216" spans="1:8" x14ac:dyDescent="0.25">
      <c r="E216" t="str">
        <f>""</f>
        <v/>
      </c>
      <c r="F216" t="str">
        <f>""</f>
        <v/>
      </c>
      <c r="H216" t="str">
        <f t="shared" si="6"/>
        <v>ACCT#287263291654</v>
      </c>
    </row>
    <row r="217" spans="1:8" x14ac:dyDescent="0.25">
      <c r="E217" t="str">
        <f>""</f>
        <v/>
      </c>
      <c r="F217" t="str">
        <f>""</f>
        <v/>
      </c>
      <c r="H217" t="str">
        <f t="shared" si="6"/>
        <v>ACCT#287263291654</v>
      </c>
    </row>
    <row r="218" spans="1:8" x14ac:dyDescent="0.25">
      <c r="E218" t="str">
        <f>"287280903541X08202"</f>
        <v>287280903541X08202</v>
      </c>
      <c r="F218" t="str">
        <f>"INV 287280903541X08202019"</f>
        <v>INV 287280903541X08202019</v>
      </c>
      <c r="G218" s="2">
        <v>437.26</v>
      </c>
      <c r="H218" t="str">
        <f>"INV 287280903541X08202019"</f>
        <v>INV 287280903541X08202019</v>
      </c>
    </row>
    <row r="219" spans="1:8" x14ac:dyDescent="0.25">
      <c r="A219" t="s">
        <v>44</v>
      </c>
      <c r="B219">
        <v>83309</v>
      </c>
      <c r="C219" s="2">
        <v>220.72</v>
      </c>
      <c r="D219" s="1">
        <v>43689</v>
      </c>
      <c r="E219" t="str">
        <f>"201907300704"</f>
        <v>201907300704</v>
      </c>
      <c r="F219" t="str">
        <f>"ACCT#826392401/BASTROP CO DPS"</f>
        <v>ACCT#826392401/BASTROP CO DPS</v>
      </c>
      <c r="G219" s="2">
        <v>220.72</v>
      </c>
      <c r="H219" t="str">
        <f>"ACCT#826392401/BASTROP CO DPS"</f>
        <v>ACCT#826392401/BASTROP CO DPS</v>
      </c>
    </row>
    <row r="220" spans="1:8" x14ac:dyDescent="0.25">
      <c r="A220" t="s">
        <v>45</v>
      </c>
      <c r="B220">
        <v>1183</v>
      </c>
      <c r="C220" s="2">
        <v>217.05</v>
      </c>
      <c r="D220" s="1">
        <v>43690</v>
      </c>
      <c r="E220" t="str">
        <f>"94744"</f>
        <v>94744</v>
      </c>
      <c r="F220" t="str">
        <f>"WORK ORD#19379/PCT#2"</f>
        <v>WORK ORD#19379/PCT#2</v>
      </c>
      <c r="G220" s="2">
        <v>217.05</v>
      </c>
      <c r="H220" t="str">
        <f>"WORK ORD#19379/PCT#2"</f>
        <v>WORK ORD#19379/PCT#2</v>
      </c>
    </row>
    <row r="221" spans="1:8" x14ac:dyDescent="0.25">
      <c r="A221" t="s">
        <v>46</v>
      </c>
      <c r="B221">
        <v>83529</v>
      </c>
      <c r="C221" s="2">
        <v>300.45</v>
      </c>
      <c r="D221" s="1">
        <v>43703</v>
      </c>
      <c r="E221" t="str">
        <f>"201908201150"</f>
        <v>201908201150</v>
      </c>
      <c r="F221" t="str">
        <f>"INDIGENT HEALTH"</f>
        <v>INDIGENT HEALTH</v>
      </c>
      <c r="G221" s="2">
        <v>300.45</v>
      </c>
      <c r="H221" t="str">
        <f>"INDIGENT HEALTH"</f>
        <v>INDIGENT HEALTH</v>
      </c>
    </row>
    <row r="222" spans="1:8" x14ac:dyDescent="0.25">
      <c r="A222" t="s">
        <v>47</v>
      </c>
      <c r="B222">
        <v>83310</v>
      </c>
      <c r="C222" s="2">
        <v>1600</v>
      </c>
      <c r="D222" s="1">
        <v>43689</v>
      </c>
      <c r="E222" t="str">
        <f>"0711192"</f>
        <v>0711192</v>
      </c>
      <c r="F222" t="str">
        <f>"MOLD ASSESSMENT"</f>
        <v>MOLD ASSESSMENT</v>
      </c>
      <c r="G222" s="2">
        <v>1600</v>
      </c>
      <c r="H222" t="str">
        <f>"MOLD ASSESSMENT"</f>
        <v>MOLD ASSESSMENT</v>
      </c>
    </row>
    <row r="223" spans="1:8" x14ac:dyDescent="0.25">
      <c r="A223" t="s">
        <v>47</v>
      </c>
      <c r="B223">
        <v>83530</v>
      </c>
      <c r="C223" s="2">
        <v>555</v>
      </c>
      <c r="D223" s="1">
        <v>43703</v>
      </c>
      <c r="E223" t="str">
        <f>"0726191"</f>
        <v>0726191</v>
      </c>
      <c r="F223" t="str">
        <f>"ASBESTOS SURVEY LETTER REPOR"</f>
        <v>ASBESTOS SURVEY LETTER REPOR</v>
      </c>
      <c r="G223" s="2">
        <v>555</v>
      </c>
      <c r="H223" t="str">
        <f>"ASBESTOS SURVEY LETTER REPOR"</f>
        <v>ASBESTOS SURVEY LETTER REPOR</v>
      </c>
    </row>
    <row r="224" spans="1:8" x14ac:dyDescent="0.25">
      <c r="A224" t="s">
        <v>48</v>
      </c>
      <c r="B224">
        <v>1285</v>
      </c>
      <c r="C224" s="2">
        <v>33.270000000000003</v>
      </c>
      <c r="D224" s="1">
        <v>43704</v>
      </c>
      <c r="E224" t="str">
        <f>"201908201151"</f>
        <v>201908201151</v>
      </c>
      <c r="F224" t="str">
        <f>"INDIGENT HEALTH"</f>
        <v>INDIGENT HEALTH</v>
      </c>
      <c r="G224" s="2">
        <v>33.270000000000003</v>
      </c>
      <c r="H224" t="str">
        <f>"INDIGENT HEALTH"</f>
        <v>INDIGENT HEALTH</v>
      </c>
    </row>
    <row r="225" spans="1:8" x14ac:dyDescent="0.25">
      <c r="A225" t="s">
        <v>49</v>
      </c>
      <c r="B225">
        <v>83531</v>
      </c>
      <c r="C225" s="2">
        <v>591.17999999999995</v>
      </c>
      <c r="D225" s="1">
        <v>43703</v>
      </c>
      <c r="E225" t="str">
        <f>"201908201152"</f>
        <v>201908201152</v>
      </c>
      <c r="F225" t="str">
        <f>"INDIGENT HEALTH"</f>
        <v>INDIGENT HEALTH</v>
      </c>
      <c r="G225" s="2">
        <v>591.17999999999995</v>
      </c>
      <c r="H225" t="str">
        <f>"INDIGENT HEALTH"</f>
        <v>INDIGENT HEALTH</v>
      </c>
    </row>
    <row r="226" spans="1:8" x14ac:dyDescent="0.25">
      <c r="A226" t="s">
        <v>50</v>
      </c>
      <c r="B226">
        <v>83532</v>
      </c>
      <c r="C226" s="2">
        <v>167.54</v>
      </c>
      <c r="D226" s="1">
        <v>43703</v>
      </c>
      <c r="E226" t="str">
        <f>"282473"</f>
        <v>282473</v>
      </c>
      <c r="F226" t="str">
        <f>"CUST#7627/REF#314910/PCT#4"</f>
        <v>CUST#7627/REF#314910/PCT#4</v>
      </c>
      <c r="G226" s="2">
        <v>63.12</v>
      </c>
      <c r="H226" t="str">
        <f>"CUST#7627/REF#314910/PCT#4"</f>
        <v>CUST#7627/REF#314910/PCT#4</v>
      </c>
    </row>
    <row r="227" spans="1:8" x14ac:dyDescent="0.25">
      <c r="E227" t="str">
        <f>"282474"</f>
        <v>282474</v>
      </c>
      <c r="F227" t="str">
        <f>"CUST#7627/REF#314911/PCT#4"</f>
        <v>CUST#7627/REF#314911/PCT#4</v>
      </c>
      <c r="G227" s="2">
        <v>104.42</v>
      </c>
      <c r="H227" t="str">
        <f>"CUST#7627/REF#314911/PCT#4"</f>
        <v>CUST#7627/REF#314911/PCT#4</v>
      </c>
    </row>
    <row r="228" spans="1:8" x14ac:dyDescent="0.25">
      <c r="A228" t="s">
        <v>51</v>
      </c>
      <c r="B228">
        <v>83533</v>
      </c>
      <c r="C228" s="2">
        <v>212.78</v>
      </c>
      <c r="D228" s="1">
        <v>43703</v>
      </c>
      <c r="E228" t="str">
        <f>"201908201154"</f>
        <v>201908201154</v>
      </c>
      <c r="F228" t="str">
        <f>"INDIGENT HEALTH"</f>
        <v>INDIGENT HEALTH</v>
      </c>
      <c r="G228" s="2">
        <v>212.78</v>
      </c>
      <c r="H228" t="str">
        <f>"INDIGENT HEALTH"</f>
        <v>INDIGENT HEALTH</v>
      </c>
    </row>
    <row r="229" spans="1:8" x14ac:dyDescent="0.25">
      <c r="A229" t="s">
        <v>52</v>
      </c>
      <c r="B229">
        <v>83534</v>
      </c>
      <c r="C229" s="2">
        <v>106.99</v>
      </c>
      <c r="D229" s="1">
        <v>43703</v>
      </c>
      <c r="E229" t="str">
        <f>"201908201155"</f>
        <v>201908201155</v>
      </c>
      <c r="F229" t="str">
        <f>"INDIGENT HEALTH"</f>
        <v>INDIGENT HEALTH</v>
      </c>
      <c r="G229" s="2">
        <v>106.99</v>
      </c>
      <c r="H229" t="str">
        <f>"INDIGENT HEALTH"</f>
        <v>INDIGENT HEALTH</v>
      </c>
    </row>
    <row r="230" spans="1:8" x14ac:dyDescent="0.25">
      <c r="A230" t="s">
        <v>53</v>
      </c>
      <c r="B230">
        <v>1155</v>
      </c>
      <c r="C230" s="2">
        <v>400</v>
      </c>
      <c r="D230" s="1">
        <v>43690</v>
      </c>
      <c r="E230" t="str">
        <f>"2138"</f>
        <v>2138</v>
      </c>
      <c r="F230" t="str">
        <f>"DOCKET DAY"</f>
        <v>DOCKET DAY</v>
      </c>
      <c r="G230" s="2">
        <v>400</v>
      </c>
      <c r="H230" t="str">
        <f>"DOCKET DAY"</f>
        <v>DOCKET DAY</v>
      </c>
    </row>
    <row r="231" spans="1:8" x14ac:dyDescent="0.25">
      <c r="A231" t="s">
        <v>54</v>
      </c>
      <c r="B231">
        <v>83311</v>
      </c>
      <c r="C231" s="2">
        <v>17.989999999999998</v>
      </c>
      <c r="D231" s="1">
        <v>43689</v>
      </c>
      <c r="E231" t="str">
        <f>"065904"</f>
        <v>065904</v>
      </c>
      <c r="F231" t="str">
        <f>"INV 065904"</f>
        <v>INV 065904</v>
      </c>
      <c r="G231" s="2">
        <v>17.989999999999998</v>
      </c>
      <c r="H231" t="str">
        <f>"INV 065904"</f>
        <v>INV 065904</v>
      </c>
    </row>
    <row r="232" spans="1:8" x14ac:dyDescent="0.25">
      <c r="A232" t="s">
        <v>54</v>
      </c>
      <c r="B232">
        <v>83535</v>
      </c>
      <c r="C232" s="2">
        <v>6.4</v>
      </c>
      <c r="D232" s="1">
        <v>43703</v>
      </c>
      <c r="E232" t="str">
        <f>"073170"</f>
        <v>073170</v>
      </c>
      <c r="F232" t="str">
        <f>"INV 073170"</f>
        <v>INV 073170</v>
      </c>
      <c r="G232" s="2">
        <v>6.4</v>
      </c>
      <c r="H232" t="str">
        <f>"INV 073170"</f>
        <v>INV 073170</v>
      </c>
    </row>
    <row r="233" spans="1:8" x14ac:dyDescent="0.25">
      <c r="A233" t="s">
        <v>55</v>
      </c>
      <c r="B233">
        <v>1185</v>
      </c>
      <c r="C233" s="2">
        <v>1940.99</v>
      </c>
      <c r="D233" s="1">
        <v>43690</v>
      </c>
      <c r="E233" t="str">
        <f>"201908010812"</f>
        <v>201908010812</v>
      </c>
      <c r="F233" t="str">
        <f>"ACCT#0009/PCT#1"</f>
        <v>ACCT#0009/PCT#1</v>
      </c>
      <c r="G233" s="2">
        <v>1382.49</v>
      </c>
      <c r="H233" t="str">
        <f>"ACCT#0009/PCT#1"</f>
        <v>ACCT#0009/PCT#1</v>
      </c>
    </row>
    <row r="234" spans="1:8" x14ac:dyDescent="0.25">
      <c r="E234" t="str">
        <f>"201908010813"</f>
        <v>201908010813</v>
      </c>
      <c r="F234" t="str">
        <f>"CUST ID:0010/PCT#2"</f>
        <v>CUST ID:0010/PCT#2</v>
      </c>
      <c r="G234" s="2">
        <v>140</v>
      </c>
      <c r="H234" t="str">
        <f>"CUST ID:0010/PCT#2"</f>
        <v>CUST ID:0010/PCT#2</v>
      </c>
    </row>
    <row r="235" spans="1:8" x14ac:dyDescent="0.25">
      <c r="E235" t="str">
        <f>"362867"</f>
        <v>362867</v>
      </c>
      <c r="F235" t="str">
        <f>"CUST ID:0017/ANIMAL CONTROL"</f>
        <v>CUST ID:0017/ANIMAL CONTROL</v>
      </c>
      <c r="G235" s="2">
        <v>47.53</v>
      </c>
      <c r="H235" t="str">
        <f>"CUST ID:0017/ANIMAL CONTROL"</f>
        <v>CUST ID:0017/ANIMAL CONTROL</v>
      </c>
    </row>
    <row r="236" spans="1:8" x14ac:dyDescent="0.25">
      <c r="E236" t="str">
        <f>"362906"</f>
        <v>362906</v>
      </c>
      <c r="F236" t="str">
        <f>"CUST ID:0011/PCT#3"</f>
        <v>CUST ID:0011/PCT#3</v>
      </c>
      <c r="G236" s="2">
        <v>370.97</v>
      </c>
      <c r="H236" t="str">
        <f>"CUST ID:0011/PCT#3"</f>
        <v>CUST ID:0011/PCT#3</v>
      </c>
    </row>
    <row r="237" spans="1:8" x14ac:dyDescent="0.25">
      <c r="A237" t="s">
        <v>56</v>
      </c>
      <c r="B237">
        <v>1151</v>
      </c>
      <c r="C237" s="2">
        <v>9750</v>
      </c>
      <c r="D237" s="1">
        <v>43690</v>
      </c>
      <c r="E237" t="str">
        <f>"1540"</f>
        <v>1540</v>
      </c>
      <c r="F237" t="str">
        <f>"TREE REMOVAL/PCT#1"</f>
        <v>TREE REMOVAL/PCT#1</v>
      </c>
      <c r="G237" s="2">
        <v>1950</v>
      </c>
      <c r="H237" t="str">
        <f>"TREE REMOVAL/PCT#1"</f>
        <v>TREE REMOVAL/PCT#1</v>
      </c>
    </row>
    <row r="238" spans="1:8" x14ac:dyDescent="0.25">
      <c r="E238" t="str">
        <f>"1541"</f>
        <v>1541</v>
      </c>
      <c r="F238" t="str">
        <f>"TREE REMOVAL/PCT#2"</f>
        <v>TREE REMOVAL/PCT#2</v>
      </c>
      <c r="G238" s="2">
        <v>1200</v>
      </c>
      <c r="H238" t="str">
        <f>"TREE REMOVAL/PCT#2"</f>
        <v>TREE REMOVAL/PCT#2</v>
      </c>
    </row>
    <row r="239" spans="1:8" x14ac:dyDescent="0.25">
      <c r="E239" t="str">
        <f>"1542"</f>
        <v>1542</v>
      </c>
      <c r="F239" t="str">
        <f>"TREE REMOVAL/PCT#2"</f>
        <v>TREE REMOVAL/PCT#2</v>
      </c>
      <c r="G239" s="2">
        <v>1650</v>
      </c>
      <c r="H239" t="str">
        <f>"TREE REMOVAL/PCT#2"</f>
        <v>TREE REMOVAL/PCT#2</v>
      </c>
    </row>
    <row r="240" spans="1:8" x14ac:dyDescent="0.25">
      <c r="E240" t="str">
        <f>"1543"</f>
        <v>1543</v>
      </c>
      <c r="F240" t="str">
        <f>"TREE REMOVAL/PCT#1"</f>
        <v>TREE REMOVAL/PCT#1</v>
      </c>
      <c r="G240" s="2">
        <v>1650</v>
      </c>
      <c r="H240" t="str">
        <f>"TREE REMOVAL/PCT#1"</f>
        <v>TREE REMOVAL/PCT#1</v>
      </c>
    </row>
    <row r="241" spans="1:8" x14ac:dyDescent="0.25">
      <c r="E241" t="str">
        <f>"1544"</f>
        <v>1544</v>
      </c>
      <c r="F241" t="str">
        <f>"TREE REMOVAL/PCT#2"</f>
        <v>TREE REMOVAL/PCT#2</v>
      </c>
      <c r="G241" s="2">
        <v>3300</v>
      </c>
      <c r="H241" t="str">
        <f>"TREE REMOVAL/PCT#2"</f>
        <v>TREE REMOVAL/PCT#2</v>
      </c>
    </row>
    <row r="242" spans="1:8" x14ac:dyDescent="0.25">
      <c r="A242" t="s">
        <v>56</v>
      </c>
      <c r="B242">
        <v>1226</v>
      </c>
      <c r="C242" s="2">
        <v>750</v>
      </c>
      <c r="D242" s="1">
        <v>43704</v>
      </c>
      <c r="E242" t="str">
        <f>"1545"</f>
        <v>1545</v>
      </c>
      <c r="F242" t="str">
        <f>"REMOVE LIMB/PCT#1"</f>
        <v>REMOVE LIMB/PCT#1</v>
      </c>
      <c r="G242" s="2">
        <v>750</v>
      </c>
      <c r="H242" t="str">
        <f>"REMOVE LIMB/PCT#1"</f>
        <v>REMOVE LIMB/PCT#1</v>
      </c>
    </row>
    <row r="243" spans="1:8" x14ac:dyDescent="0.25">
      <c r="A243" t="s">
        <v>57</v>
      </c>
      <c r="B243">
        <v>83536</v>
      </c>
      <c r="C243" s="2">
        <v>2600</v>
      </c>
      <c r="D243" s="1">
        <v>43703</v>
      </c>
      <c r="E243" t="str">
        <f>"201908211230"</f>
        <v>201908211230</v>
      </c>
      <c r="F243" t="str">
        <f>"INV 1"</f>
        <v>INV 1</v>
      </c>
      <c r="G243" s="2">
        <v>2600</v>
      </c>
      <c r="H243" t="str">
        <f>"INV 1"</f>
        <v>INV 1</v>
      </c>
    </row>
    <row r="244" spans="1:8" x14ac:dyDescent="0.25">
      <c r="A244" t="s">
        <v>58</v>
      </c>
      <c r="B244">
        <v>83312</v>
      </c>
      <c r="C244" s="2">
        <v>350</v>
      </c>
      <c r="D244" s="1">
        <v>43689</v>
      </c>
      <c r="E244" t="str">
        <f>"1351"</f>
        <v>1351</v>
      </c>
      <c r="F244" t="str">
        <f>"INV 1351 / UNIT 1496"</f>
        <v>INV 1351 / UNIT 1496</v>
      </c>
      <c r="G244" s="2">
        <v>350</v>
      </c>
      <c r="H244" t="str">
        <f>"INV 1351 / UNIT 1496"</f>
        <v>INV 1351 / UNIT 1496</v>
      </c>
    </row>
    <row r="245" spans="1:8" x14ac:dyDescent="0.25">
      <c r="A245" t="s">
        <v>59</v>
      </c>
      <c r="B245">
        <v>83537</v>
      </c>
      <c r="C245" s="2">
        <v>148131.5</v>
      </c>
      <c r="D245" s="1">
        <v>43703</v>
      </c>
      <c r="E245" t="str">
        <f>"201908141087"</f>
        <v>201908141087</v>
      </c>
      <c r="F245" t="str">
        <f>"CAD LOCAL SUPPORT 4TH QTR 2019"</f>
        <v>CAD LOCAL SUPPORT 4TH QTR 2019</v>
      </c>
      <c r="G245" s="2">
        <v>148131.5</v>
      </c>
      <c r="H245" t="str">
        <f>"CAD LOCAL SUPPORT 4TH QTR 2019"</f>
        <v>CAD LOCAL SUPPORT 4TH QTR 2019</v>
      </c>
    </row>
    <row r="246" spans="1:8" x14ac:dyDescent="0.25">
      <c r="A246" t="s">
        <v>60</v>
      </c>
      <c r="B246">
        <v>83313</v>
      </c>
      <c r="C246" s="2">
        <v>30</v>
      </c>
      <c r="D246" s="1">
        <v>43689</v>
      </c>
      <c r="E246" t="str">
        <f>"17206"</f>
        <v>17206</v>
      </c>
      <c r="F246" t="str">
        <f>"LUNCHEON TICKETS/LEWIS/HUNTER"</f>
        <v>LUNCHEON TICKETS/LEWIS/HUNTER</v>
      </c>
      <c r="G246" s="2">
        <v>30</v>
      </c>
      <c r="H246" t="str">
        <f>"LUNCHEON TICKETS/LEWIS/HUNTER"</f>
        <v>LUNCHEON TICKETS/LEWIS/HUNTER</v>
      </c>
    </row>
    <row r="247" spans="1:8" x14ac:dyDescent="0.25">
      <c r="A247" t="s">
        <v>60</v>
      </c>
      <c r="B247">
        <v>83538</v>
      </c>
      <c r="C247" s="2">
        <v>30</v>
      </c>
      <c r="D247" s="1">
        <v>43703</v>
      </c>
      <c r="E247" t="str">
        <f>"201908141074"</f>
        <v>201908141074</v>
      </c>
      <c r="F247" t="str">
        <f>"LUNCH TICKETS-A.LEWIS F.HUNTER"</f>
        <v>LUNCH TICKETS-A.LEWIS F.HUNTER</v>
      </c>
      <c r="G247" s="2">
        <v>30</v>
      </c>
      <c r="H247" t="str">
        <f>"LUNCH TICKETS-A.LEWIS F.HUNTER"</f>
        <v>LUNCH TICKETS-A.LEWIS F.HUNTER</v>
      </c>
    </row>
    <row r="248" spans="1:8" x14ac:dyDescent="0.25">
      <c r="A248" t="s">
        <v>61</v>
      </c>
      <c r="B248">
        <v>83314</v>
      </c>
      <c r="C248" s="2">
        <v>3775</v>
      </c>
      <c r="D248" s="1">
        <v>43689</v>
      </c>
      <c r="E248" t="str">
        <f>"12783"</f>
        <v>12783</v>
      </c>
      <c r="F248" t="str">
        <f t="shared" ref="F248:F269" si="7">"SERVICE"</f>
        <v>SERVICE</v>
      </c>
      <c r="G248" s="2">
        <v>225</v>
      </c>
      <c r="H248" t="str">
        <f t="shared" ref="H248:H269" si="8">"SERVICE"</f>
        <v>SERVICE</v>
      </c>
    </row>
    <row r="249" spans="1:8" x14ac:dyDescent="0.25">
      <c r="E249" t="str">
        <f>"12790"</f>
        <v>12790</v>
      </c>
      <c r="F249" t="str">
        <f t="shared" si="7"/>
        <v>SERVICE</v>
      </c>
      <c r="G249" s="2">
        <v>550</v>
      </c>
      <c r="H249" t="str">
        <f t="shared" si="8"/>
        <v>SERVICE</v>
      </c>
    </row>
    <row r="250" spans="1:8" x14ac:dyDescent="0.25">
      <c r="E250" t="str">
        <f>"12872"</f>
        <v>12872</v>
      </c>
      <c r="F250" t="str">
        <f t="shared" si="7"/>
        <v>SERVICE</v>
      </c>
      <c r="G250" s="2">
        <v>325</v>
      </c>
      <c r="H250" t="str">
        <f t="shared" si="8"/>
        <v>SERVICE</v>
      </c>
    </row>
    <row r="251" spans="1:8" x14ac:dyDescent="0.25">
      <c r="E251" t="str">
        <f>"12905"</f>
        <v>12905</v>
      </c>
      <c r="F251" t="str">
        <f t="shared" si="7"/>
        <v>SERVICE</v>
      </c>
      <c r="G251" s="2">
        <v>325</v>
      </c>
      <c r="H251" t="str">
        <f t="shared" si="8"/>
        <v>SERVICE</v>
      </c>
    </row>
    <row r="252" spans="1:8" x14ac:dyDescent="0.25">
      <c r="E252" t="str">
        <f>"12959"</f>
        <v>12959</v>
      </c>
      <c r="F252" t="str">
        <f t="shared" si="7"/>
        <v>SERVICE</v>
      </c>
      <c r="G252" s="2">
        <v>325</v>
      </c>
      <c r="H252" t="str">
        <f t="shared" si="8"/>
        <v>SERVICE</v>
      </c>
    </row>
    <row r="253" spans="1:8" x14ac:dyDescent="0.25">
      <c r="E253" t="str">
        <f>"12983"</f>
        <v>12983</v>
      </c>
      <c r="F253" t="str">
        <f t="shared" si="7"/>
        <v>SERVICE</v>
      </c>
      <c r="G253" s="2">
        <v>325</v>
      </c>
      <c r="H253" t="str">
        <f t="shared" si="8"/>
        <v>SERVICE</v>
      </c>
    </row>
    <row r="254" spans="1:8" x14ac:dyDescent="0.25">
      <c r="E254" t="str">
        <f>"12986"</f>
        <v>12986</v>
      </c>
      <c r="F254" t="str">
        <f t="shared" si="7"/>
        <v>SERVICE</v>
      </c>
      <c r="G254" s="2">
        <v>325</v>
      </c>
      <c r="H254" t="str">
        <f t="shared" si="8"/>
        <v>SERVICE</v>
      </c>
    </row>
    <row r="255" spans="1:8" x14ac:dyDescent="0.25">
      <c r="E255" t="str">
        <f>"13006"</f>
        <v>13006</v>
      </c>
      <c r="F255" t="str">
        <f t="shared" si="7"/>
        <v>SERVICE</v>
      </c>
      <c r="G255" s="2">
        <v>325</v>
      </c>
      <c r="H255" t="str">
        <f t="shared" si="8"/>
        <v>SERVICE</v>
      </c>
    </row>
    <row r="256" spans="1:8" x14ac:dyDescent="0.25">
      <c r="E256" t="str">
        <f>"13009"</f>
        <v>13009</v>
      </c>
      <c r="F256" t="str">
        <f t="shared" si="7"/>
        <v>SERVICE</v>
      </c>
      <c r="G256" s="2">
        <v>325</v>
      </c>
      <c r="H256" t="str">
        <f t="shared" si="8"/>
        <v>SERVICE</v>
      </c>
    </row>
    <row r="257" spans="1:8" x14ac:dyDescent="0.25">
      <c r="E257" t="str">
        <f>"13018"</f>
        <v>13018</v>
      </c>
      <c r="F257" t="str">
        <f t="shared" si="7"/>
        <v>SERVICE</v>
      </c>
      <c r="G257" s="2">
        <v>325</v>
      </c>
      <c r="H257" t="str">
        <f t="shared" si="8"/>
        <v>SERVICE</v>
      </c>
    </row>
    <row r="258" spans="1:8" x14ac:dyDescent="0.25">
      <c r="E258" t="str">
        <f>"13061"</f>
        <v>13061</v>
      </c>
      <c r="F258" t="str">
        <f t="shared" si="7"/>
        <v>SERVICE</v>
      </c>
      <c r="G258" s="2">
        <v>75</v>
      </c>
      <c r="H258" t="str">
        <f t="shared" si="8"/>
        <v>SERVICE</v>
      </c>
    </row>
    <row r="259" spans="1:8" x14ac:dyDescent="0.25">
      <c r="E259" t="str">
        <f>"13086"</f>
        <v>13086</v>
      </c>
      <c r="F259" t="str">
        <f t="shared" si="7"/>
        <v>SERVICE</v>
      </c>
      <c r="G259" s="2">
        <v>325</v>
      </c>
      <c r="H259" t="str">
        <f t="shared" si="8"/>
        <v>SERVICE</v>
      </c>
    </row>
    <row r="260" spans="1:8" x14ac:dyDescent="0.25">
      <c r="A260" t="s">
        <v>61</v>
      </c>
      <c r="B260">
        <v>83539</v>
      </c>
      <c r="C260" s="2">
        <v>2418.25</v>
      </c>
      <c r="D260" s="1">
        <v>43703</v>
      </c>
      <c r="E260" t="str">
        <f>"12900"</f>
        <v>12900</v>
      </c>
      <c r="F260" t="str">
        <f t="shared" si="7"/>
        <v>SERVICE</v>
      </c>
      <c r="G260" s="2">
        <v>292</v>
      </c>
      <c r="H260" t="str">
        <f t="shared" si="8"/>
        <v>SERVICE</v>
      </c>
    </row>
    <row r="261" spans="1:8" x14ac:dyDescent="0.25">
      <c r="E261" t="str">
        <f>"13025"</f>
        <v>13025</v>
      </c>
      <c r="F261" t="str">
        <f t="shared" si="7"/>
        <v>SERVICE</v>
      </c>
      <c r="G261" s="2">
        <v>250</v>
      </c>
      <c r="H261" t="str">
        <f t="shared" si="8"/>
        <v>SERVICE</v>
      </c>
    </row>
    <row r="262" spans="1:8" x14ac:dyDescent="0.25">
      <c r="E262" t="str">
        <f>"13027"</f>
        <v>13027</v>
      </c>
      <c r="F262" t="str">
        <f t="shared" si="7"/>
        <v>SERVICE</v>
      </c>
      <c r="G262" s="2">
        <v>250</v>
      </c>
      <c r="H262" t="str">
        <f t="shared" si="8"/>
        <v>SERVICE</v>
      </c>
    </row>
    <row r="263" spans="1:8" x14ac:dyDescent="0.25">
      <c r="E263" t="str">
        <f>"13030"</f>
        <v>13030</v>
      </c>
      <c r="F263" t="str">
        <f t="shared" si="7"/>
        <v>SERVICE</v>
      </c>
      <c r="G263" s="2">
        <v>325</v>
      </c>
      <c r="H263" t="str">
        <f t="shared" si="8"/>
        <v>SERVICE</v>
      </c>
    </row>
    <row r="264" spans="1:8" x14ac:dyDescent="0.25">
      <c r="E264" t="str">
        <f>"13067"</f>
        <v>13067</v>
      </c>
      <c r="F264" t="str">
        <f t="shared" si="7"/>
        <v>SERVICE</v>
      </c>
      <c r="G264" s="2">
        <v>250</v>
      </c>
      <c r="H264" t="str">
        <f t="shared" si="8"/>
        <v>SERVICE</v>
      </c>
    </row>
    <row r="265" spans="1:8" x14ac:dyDescent="0.25">
      <c r="E265" t="str">
        <f>"13068"</f>
        <v>13068</v>
      </c>
      <c r="F265" t="str">
        <f t="shared" si="7"/>
        <v>SERVICE</v>
      </c>
      <c r="G265" s="2">
        <v>250</v>
      </c>
      <c r="H265" t="str">
        <f t="shared" si="8"/>
        <v>SERVICE</v>
      </c>
    </row>
    <row r="266" spans="1:8" x14ac:dyDescent="0.25">
      <c r="E266" t="str">
        <f>"13076"</f>
        <v>13076</v>
      </c>
      <c r="F266" t="str">
        <f t="shared" si="7"/>
        <v>SERVICE</v>
      </c>
      <c r="G266" s="2">
        <v>250</v>
      </c>
      <c r="H266" t="str">
        <f t="shared" si="8"/>
        <v>SERVICE</v>
      </c>
    </row>
    <row r="267" spans="1:8" x14ac:dyDescent="0.25">
      <c r="E267" t="str">
        <f>"13104"</f>
        <v>13104</v>
      </c>
      <c r="F267" t="str">
        <f t="shared" si="7"/>
        <v>SERVICE</v>
      </c>
      <c r="G267" s="2">
        <v>150</v>
      </c>
      <c r="H267" t="str">
        <f t="shared" si="8"/>
        <v>SERVICE</v>
      </c>
    </row>
    <row r="268" spans="1:8" x14ac:dyDescent="0.25">
      <c r="E268" t="str">
        <f>"13119"</f>
        <v>13119</v>
      </c>
      <c r="F268" t="str">
        <f t="shared" si="7"/>
        <v>SERVICE</v>
      </c>
      <c r="G268" s="2">
        <v>400</v>
      </c>
      <c r="H268" t="str">
        <f t="shared" si="8"/>
        <v>SERVICE</v>
      </c>
    </row>
    <row r="269" spans="1:8" x14ac:dyDescent="0.25">
      <c r="E269" t="str">
        <f>"3242"</f>
        <v>3242</v>
      </c>
      <c r="F269" t="str">
        <f t="shared" si="7"/>
        <v>SERVICE</v>
      </c>
      <c r="G269" s="2">
        <v>1.25</v>
      </c>
      <c r="H269" t="str">
        <f t="shared" si="8"/>
        <v>SERVICE</v>
      </c>
    </row>
    <row r="270" spans="1:8" x14ac:dyDescent="0.25">
      <c r="A270" t="s">
        <v>62</v>
      </c>
      <c r="B270">
        <v>83315</v>
      </c>
      <c r="C270" s="2">
        <v>62</v>
      </c>
      <c r="D270" s="1">
        <v>43689</v>
      </c>
      <c r="E270" t="str">
        <f>"14277 14279"</f>
        <v>14277 14279</v>
      </c>
      <c r="F270" t="str">
        <f>"INV 14277/14279"</f>
        <v>INV 14277/14279</v>
      </c>
      <c r="G270" s="2">
        <v>62</v>
      </c>
      <c r="H270" t="str">
        <f>"INV 14277"</f>
        <v>INV 14277</v>
      </c>
    </row>
    <row r="271" spans="1:8" x14ac:dyDescent="0.25">
      <c r="E271" t="str">
        <f>""</f>
        <v/>
      </c>
      <c r="F271" t="str">
        <f>""</f>
        <v/>
      </c>
      <c r="H271" t="str">
        <f>"INV 14279"</f>
        <v>INV 14279</v>
      </c>
    </row>
    <row r="272" spans="1:8" x14ac:dyDescent="0.25">
      <c r="A272" t="s">
        <v>62</v>
      </c>
      <c r="B272">
        <v>83540</v>
      </c>
      <c r="C272" s="2">
        <v>502.68</v>
      </c>
      <c r="D272" s="1">
        <v>43703</v>
      </c>
      <c r="E272" t="str">
        <f>"201908141086"</f>
        <v>201908141086</v>
      </c>
      <c r="F272" t="str">
        <f>"ACCT#BC01/OFFICE SUPPLIES"</f>
        <v>ACCT#BC01/OFFICE SUPPLIES</v>
      </c>
      <c r="G272" s="2">
        <v>502.68</v>
      </c>
      <c r="H272" t="str">
        <f t="shared" ref="H272:H277" si="9">"ACCT#BC01/OFFICE SUPPLIES"</f>
        <v>ACCT#BC01/OFFICE SUPPLIES</v>
      </c>
    </row>
    <row r="273" spans="1:8" x14ac:dyDescent="0.25">
      <c r="E273" t="str">
        <f>""</f>
        <v/>
      </c>
      <c r="F273" t="str">
        <f>""</f>
        <v/>
      </c>
      <c r="H273" t="str">
        <f t="shared" si="9"/>
        <v>ACCT#BC01/OFFICE SUPPLIES</v>
      </c>
    </row>
    <row r="274" spans="1:8" x14ac:dyDescent="0.25">
      <c r="E274" t="str">
        <f>""</f>
        <v/>
      </c>
      <c r="F274" t="str">
        <f>""</f>
        <v/>
      </c>
      <c r="H274" t="str">
        <f t="shared" si="9"/>
        <v>ACCT#BC01/OFFICE SUPPLIES</v>
      </c>
    </row>
    <row r="275" spans="1:8" x14ac:dyDescent="0.25">
      <c r="E275" t="str">
        <f>""</f>
        <v/>
      </c>
      <c r="F275" t="str">
        <f>""</f>
        <v/>
      </c>
      <c r="H275" t="str">
        <f t="shared" si="9"/>
        <v>ACCT#BC01/OFFICE SUPPLIES</v>
      </c>
    </row>
    <row r="276" spans="1:8" x14ac:dyDescent="0.25">
      <c r="E276" t="str">
        <f>""</f>
        <v/>
      </c>
      <c r="F276" t="str">
        <f>""</f>
        <v/>
      </c>
      <c r="H276" t="str">
        <f t="shared" si="9"/>
        <v>ACCT#BC01/OFFICE SUPPLIES</v>
      </c>
    </row>
    <row r="277" spans="1:8" x14ac:dyDescent="0.25">
      <c r="E277" t="str">
        <f>""</f>
        <v/>
      </c>
      <c r="F277" t="str">
        <f>""</f>
        <v/>
      </c>
      <c r="H277" t="str">
        <f t="shared" si="9"/>
        <v>ACCT#BC01/OFFICE SUPPLIES</v>
      </c>
    </row>
    <row r="278" spans="1:8" x14ac:dyDescent="0.25">
      <c r="A278" t="s">
        <v>63</v>
      </c>
      <c r="B278">
        <v>1250</v>
      </c>
      <c r="C278" s="2">
        <v>21594.45</v>
      </c>
      <c r="D278" s="1">
        <v>43704</v>
      </c>
      <c r="E278" t="str">
        <f>"201908141071"</f>
        <v>201908141071</v>
      </c>
      <c r="F278" t="str">
        <f>"GRANT REIMBURSEMENT"</f>
        <v>GRANT REIMBURSEMENT</v>
      </c>
      <c r="G278" s="2">
        <v>9923.52</v>
      </c>
      <c r="H278" t="str">
        <f>"GRANT REIMBURSEMENT"</f>
        <v>GRANT REIMBURSEMENT</v>
      </c>
    </row>
    <row r="279" spans="1:8" x14ac:dyDescent="0.25">
      <c r="E279" t="str">
        <f>"201908141084"</f>
        <v>201908141084</v>
      </c>
      <c r="F279" t="str">
        <f>"GRANT REIMBURSEMENT"</f>
        <v>GRANT REIMBURSEMENT</v>
      </c>
      <c r="G279" s="2">
        <v>11670.93</v>
      </c>
      <c r="H279" t="str">
        <f>"GRANT REIMBURSEMENT"</f>
        <v>GRANT REIMBURSEMENT</v>
      </c>
    </row>
    <row r="280" spans="1:8" x14ac:dyDescent="0.25">
      <c r="A280" t="s">
        <v>64</v>
      </c>
      <c r="B280">
        <v>83316</v>
      </c>
      <c r="C280" s="2">
        <v>70</v>
      </c>
      <c r="D280" s="1">
        <v>43689</v>
      </c>
      <c r="E280" t="str">
        <f>"201908010792"</f>
        <v>201908010792</v>
      </c>
      <c r="F280" t="str">
        <f>"MUSEUM TOUR-RIVER CORR ALLIANC"</f>
        <v>MUSEUM TOUR-RIVER CORR ALLIANC</v>
      </c>
      <c r="G280" s="2">
        <v>70</v>
      </c>
      <c r="H280" t="str">
        <f>"MUSEUM TOUR-RIVER CORR ALLIANC"</f>
        <v>MUSEUM TOUR-RIVER CORR ALLIANC</v>
      </c>
    </row>
    <row r="281" spans="1:8" x14ac:dyDescent="0.25">
      <c r="A281" t="s">
        <v>65</v>
      </c>
      <c r="B281">
        <v>83541</v>
      </c>
      <c r="C281" s="2">
        <v>82017</v>
      </c>
      <c r="D281" s="1">
        <v>43703</v>
      </c>
      <c r="E281" t="str">
        <f>"4TH QURT FY 2019"</f>
        <v>4TH QURT FY 2019</v>
      </c>
      <c r="F281" t="str">
        <f>"REVENUE-BASTROP 4TH QTR 2019"</f>
        <v>REVENUE-BASTROP 4TH QTR 2019</v>
      </c>
      <c r="G281" s="2">
        <v>82017</v>
      </c>
      <c r="H281" t="str">
        <f>"REVENUE-BASTROP 4TH QTR 2019"</f>
        <v>REVENUE-BASTROP 4TH QTR 2019</v>
      </c>
    </row>
    <row r="282" spans="1:8" x14ac:dyDescent="0.25">
      <c r="A282" t="s">
        <v>66</v>
      </c>
      <c r="B282">
        <v>1275</v>
      </c>
      <c r="C282" s="2">
        <v>99.81</v>
      </c>
      <c r="D282" s="1">
        <v>43704</v>
      </c>
      <c r="E282" t="str">
        <f>"201908201157"</f>
        <v>201908201157</v>
      </c>
      <c r="F282" t="str">
        <f>"INDIGENT HEALTH"</f>
        <v>INDIGENT HEALTH</v>
      </c>
      <c r="G282" s="2">
        <v>99.81</v>
      </c>
      <c r="H282" t="str">
        <f>"INDIGENT HEALTH"</f>
        <v>INDIGENT HEALTH</v>
      </c>
    </row>
    <row r="283" spans="1:8" x14ac:dyDescent="0.25">
      <c r="A283" t="s">
        <v>67</v>
      </c>
      <c r="B283">
        <v>83317</v>
      </c>
      <c r="C283" s="2">
        <v>43.53</v>
      </c>
      <c r="D283" s="1">
        <v>43689</v>
      </c>
      <c r="E283" t="str">
        <f>"201907240661"</f>
        <v>201907240661</v>
      </c>
      <c r="F283" t="str">
        <f>"ARREST FEES 04/01/19-06/30/19"</f>
        <v>ARREST FEES 04/01/19-06/30/19</v>
      </c>
      <c r="G283" s="2">
        <v>43.53</v>
      </c>
      <c r="H283" t="str">
        <f>"ARREST FEES 04/01/19-06/30/19"</f>
        <v>ARREST FEES 04/01/19-06/30/19</v>
      </c>
    </row>
    <row r="284" spans="1:8" x14ac:dyDescent="0.25">
      <c r="A284" t="s">
        <v>68</v>
      </c>
      <c r="B284">
        <v>1150</v>
      </c>
      <c r="C284" s="2">
        <v>2370</v>
      </c>
      <c r="D284" s="1">
        <v>43690</v>
      </c>
      <c r="E284" t="str">
        <f>"2019080"</f>
        <v>2019080</v>
      </c>
      <c r="F284" t="str">
        <f>"TRANSPORT-D. HARPER"</f>
        <v>TRANSPORT-D. HARPER</v>
      </c>
      <c r="G284" s="2">
        <v>495</v>
      </c>
      <c r="H284" t="str">
        <f>"TRANSPORT-D. HARPER"</f>
        <v>TRANSPORT-D. HARPER</v>
      </c>
    </row>
    <row r="285" spans="1:8" x14ac:dyDescent="0.25">
      <c r="E285" t="str">
        <f>"2019082"</f>
        <v>2019082</v>
      </c>
      <c r="F285" t="str">
        <f>"TRANSPORT-K.C. KUENZI"</f>
        <v>TRANSPORT-K.C. KUENZI</v>
      </c>
      <c r="G285" s="2">
        <v>495</v>
      </c>
      <c r="H285" t="str">
        <f>"TRANSPORT-K.C. KUENZI"</f>
        <v>TRANSPORT-K.C. KUENZI</v>
      </c>
    </row>
    <row r="286" spans="1:8" x14ac:dyDescent="0.25">
      <c r="E286" t="str">
        <f>"2019085"</f>
        <v>2019085</v>
      </c>
      <c r="F286" t="str">
        <f>"TRANSPORT-C. L. REID"</f>
        <v>TRANSPORT-C. L. REID</v>
      </c>
      <c r="G286" s="2">
        <v>390</v>
      </c>
      <c r="H286" t="str">
        <f>"TRANSPORT-C. L. REID"</f>
        <v>TRANSPORT-C. L. REID</v>
      </c>
    </row>
    <row r="287" spans="1:8" x14ac:dyDescent="0.25">
      <c r="E287" t="str">
        <f>"2019087"</f>
        <v>2019087</v>
      </c>
      <c r="F287" t="str">
        <f>"TRANSPORT-W. SCHEIEBER"</f>
        <v>TRANSPORT-W. SCHEIEBER</v>
      </c>
      <c r="G287" s="2">
        <v>495</v>
      </c>
      <c r="H287" t="str">
        <f>"TRANSPORT-W. SCHEIEBER"</f>
        <v>TRANSPORT-W. SCHEIEBER</v>
      </c>
    </row>
    <row r="288" spans="1:8" x14ac:dyDescent="0.25">
      <c r="E288" t="str">
        <f>"2019088"</f>
        <v>2019088</v>
      </c>
      <c r="F288" t="str">
        <f>"TRANSPORT-UNIDENTIFIED"</f>
        <v>TRANSPORT-UNIDENTIFIED</v>
      </c>
      <c r="G288" s="2">
        <v>495</v>
      </c>
      <c r="H288" t="str">
        <f>"TRANSPORT-UNIDENTIFIED"</f>
        <v>TRANSPORT-UNIDENTIFIED</v>
      </c>
    </row>
    <row r="289" spans="1:8" x14ac:dyDescent="0.25">
      <c r="A289" t="s">
        <v>69</v>
      </c>
      <c r="B289">
        <v>83318</v>
      </c>
      <c r="C289" s="2">
        <v>978.05</v>
      </c>
      <c r="D289" s="1">
        <v>43689</v>
      </c>
      <c r="E289" t="str">
        <f>"1131900 1134958 11"</f>
        <v>1131900 1134958 11</v>
      </c>
      <c r="F289" t="str">
        <f>"INV 1129626/1131900/11345"</f>
        <v>INV 1129626/1131900/11345</v>
      </c>
      <c r="G289" s="2">
        <v>978.05</v>
      </c>
      <c r="H289" t="str">
        <f>"PREV BALANCE"</f>
        <v>PREV BALANCE</v>
      </c>
    </row>
    <row r="290" spans="1:8" x14ac:dyDescent="0.25">
      <c r="E290" t="str">
        <f>""</f>
        <v/>
      </c>
      <c r="F290" t="str">
        <f>""</f>
        <v/>
      </c>
      <c r="H290" t="str">
        <f>"INV 1131900"</f>
        <v>INV 1131900</v>
      </c>
    </row>
    <row r="291" spans="1:8" x14ac:dyDescent="0.25">
      <c r="E291" t="str">
        <f>""</f>
        <v/>
      </c>
      <c r="F291" t="str">
        <f>""</f>
        <v/>
      </c>
      <c r="H291" t="str">
        <f>"INV 1134958"</f>
        <v>INV 1134958</v>
      </c>
    </row>
    <row r="292" spans="1:8" x14ac:dyDescent="0.25">
      <c r="E292" t="str">
        <f>""</f>
        <v/>
      </c>
      <c r="F292" t="str">
        <f>""</f>
        <v/>
      </c>
      <c r="H292" t="str">
        <f>"INV 1129626"</f>
        <v>INV 1129626</v>
      </c>
    </row>
    <row r="293" spans="1:8" x14ac:dyDescent="0.25">
      <c r="A293" t="s">
        <v>69</v>
      </c>
      <c r="B293">
        <v>83542</v>
      </c>
      <c r="C293" s="2">
        <v>23</v>
      </c>
      <c r="D293" s="1">
        <v>43703</v>
      </c>
      <c r="E293" t="str">
        <f>"1115978"</f>
        <v>1115978</v>
      </c>
      <c r="F293" t="str">
        <f>"INV 1115978"</f>
        <v>INV 1115978</v>
      </c>
      <c r="G293" s="2">
        <v>23</v>
      </c>
      <c r="H293" t="str">
        <f>"INV 1115978"</f>
        <v>INV 1115978</v>
      </c>
    </row>
    <row r="294" spans="1:8" x14ac:dyDescent="0.25">
      <c r="A294" t="s">
        <v>70</v>
      </c>
      <c r="B294">
        <v>1253</v>
      </c>
      <c r="C294" s="2">
        <v>331.33</v>
      </c>
      <c r="D294" s="1">
        <v>43704</v>
      </c>
      <c r="E294" t="str">
        <f>"6007725802"</f>
        <v>6007725802</v>
      </c>
      <c r="F294" t="str">
        <f>"ACCT#3422853/ANIMAL CONTROL"</f>
        <v>ACCT#3422853/ANIMAL CONTROL</v>
      </c>
      <c r="G294" s="2">
        <v>331.33</v>
      </c>
      <c r="H294" t="str">
        <f>"ACCT#3422853/ANIMAL CONTROL"</f>
        <v>ACCT#3422853/ANIMAL CONTROL</v>
      </c>
    </row>
    <row r="295" spans="1:8" x14ac:dyDescent="0.25">
      <c r="A295" t="s">
        <v>71</v>
      </c>
      <c r="B295">
        <v>1144</v>
      </c>
      <c r="C295" s="2">
        <v>1662.5</v>
      </c>
      <c r="D295" s="1">
        <v>43690</v>
      </c>
      <c r="E295" t="str">
        <f>"201908010808"</f>
        <v>201908010808</v>
      </c>
      <c r="F295" t="str">
        <f>"INVESTIGATIVE SERVICES"</f>
        <v>INVESTIGATIVE SERVICES</v>
      </c>
      <c r="G295" s="2">
        <v>315</v>
      </c>
      <c r="H295" t="str">
        <f>"INVESTIGATIVE SERVICES"</f>
        <v>INVESTIGATIVE SERVICES</v>
      </c>
    </row>
    <row r="296" spans="1:8" x14ac:dyDescent="0.25">
      <c r="E296" t="str">
        <f>"201908071040"</f>
        <v>201908071040</v>
      </c>
      <c r="F296" t="str">
        <f>"JULY INVOICE"</f>
        <v>JULY INVOICE</v>
      </c>
      <c r="G296" s="2">
        <v>1347.5</v>
      </c>
      <c r="H296" t="str">
        <f>"JULY INVOICE - LE"</f>
        <v>JULY INVOICE - LE</v>
      </c>
    </row>
    <row r="297" spans="1:8" x14ac:dyDescent="0.25">
      <c r="E297" t="str">
        <f>""</f>
        <v/>
      </c>
      <c r="F297" t="str">
        <f>""</f>
        <v/>
      </c>
      <c r="H297" t="str">
        <f>"JULY INVOICE - JAIL"</f>
        <v>JULY INVOICE - JAIL</v>
      </c>
    </row>
    <row r="298" spans="1:8" x14ac:dyDescent="0.25">
      <c r="A298" t="s">
        <v>72</v>
      </c>
      <c r="B298">
        <v>83319</v>
      </c>
      <c r="C298" s="2">
        <v>2292</v>
      </c>
      <c r="D298" s="1">
        <v>43689</v>
      </c>
      <c r="E298" t="str">
        <f>"75165747 75174214"</f>
        <v>75165747 75174214</v>
      </c>
      <c r="F298" t="str">
        <f>"INV 75165747"</f>
        <v>INV 75165747</v>
      </c>
      <c r="G298" s="2">
        <v>2292</v>
      </c>
      <c r="H298" t="str">
        <f>"INV 75165747"</f>
        <v>INV 75165747</v>
      </c>
    </row>
    <row r="299" spans="1:8" x14ac:dyDescent="0.25">
      <c r="E299" t="str">
        <f>""</f>
        <v/>
      </c>
      <c r="F299" t="str">
        <f>""</f>
        <v/>
      </c>
      <c r="H299" t="str">
        <f>"INV 75174214"</f>
        <v>INV 75174214</v>
      </c>
    </row>
    <row r="300" spans="1:8" x14ac:dyDescent="0.25">
      <c r="E300" t="str">
        <f>""</f>
        <v/>
      </c>
      <c r="F300" t="str">
        <f>""</f>
        <v/>
      </c>
      <c r="H300" t="str">
        <f>"INV 75183139"</f>
        <v>INV 75183139</v>
      </c>
    </row>
    <row r="301" spans="1:8" x14ac:dyDescent="0.25">
      <c r="A301" t="s">
        <v>72</v>
      </c>
      <c r="B301">
        <v>83543</v>
      </c>
      <c r="C301" s="2">
        <v>1419.19</v>
      </c>
      <c r="D301" s="1">
        <v>43703</v>
      </c>
      <c r="E301" t="str">
        <f>"75191181 75198014"</f>
        <v>75191181 75198014</v>
      </c>
      <c r="F301" t="str">
        <f>"INV 75191181"</f>
        <v>INV 75191181</v>
      </c>
      <c r="G301" s="2">
        <v>1419.19</v>
      </c>
      <c r="H301" t="str">
        <f>"INV 75191181"</f>
        <v>INV 75191181</v>
      </c>
    </row>
    <row r="302" spans="1:8" x14ac:dyDescent="0.25">
      <c r="E302" t="str">
        <f>""</f>
        <v/>
      </c>
      <c r="F302" t="str">
        <f>""</f>
        <v/>
      </c>
      <c r="H302" t="str">
        <f>"INV 75198014"</f>
        <v>INV 75198014</v>
      </c>
    </row>
    <row r="303" spans="1:8" x14ac:dyDescent="0.25">
      <c r="A303" t="s">
        <v>73</v>
      </c>
      <c r="B303">
        <v>83544</v>
      </c>
      <c r="C303" s="2">
        <v>46.2</v>
      </c>
      <c r="D303" s="1">
        <v>43703</v>
      </c>
      <c r="E303" t="str">
        <f>"31704"</f>
        <v>31704</v>
      </c>
      <c r="F303" t="str">
        <f>"ACCT#5005/PART/PCT#3"</f>
        <v>ACCT#5005/PART/PCT#3</v>
      </c>
      <c r="G303" s="2">
        <v>46.2</v>
      </c>
      <c r="H303" t="str">
        <f>"ACCT#5005/PART/PCT#3"</f>
        <v>ACCT#5005/PART/PCT#3</v>
      </c>
    </row>
    <row r="304" spans="1:8" x14ac:dyDescent="0.25">
      <c r="A304" t="s">
        <v>74</v>
      </c>
      <c r="B304">
        <v>83320</v>
      </c>
      <c r="C304" s="2">
        <v>89.99</v>
      </c>
      <c r="D304" s="1">
        <v>43689</v>
      </c>
      <c r="E304" t="str">
        <f>"3932679"</f>
        <v>3932679</v>
      </c>
      <c r="F304" t="str">
        <f>"inv# 3932679"</f>
        <v>inv# 3932679</v>
      </c>
      <c r="G304" s="2">
        <v>89.99</v>
      </c>
      <c r="H304" t="str">
        <f>"inv# 3932679"</f>
        <v>inv# 3932679</v>
      </c>
    </row>
    <row r="305" spans="1:8" x14ac:dyDescent="0.25">
      <c r="A305" t="s">
        <v>75</v>
      </c>
      <c r="B305">
        <v>1201</v>
      </c>
      <c r="C305" s="2">
        <v>3880.44</v>
      </c>
      <c r="D305" s="1">
        <v>43690</v>
      </c>
      <c r="E305" t="str">
        <f>"24349"</f>
        <v>24349</v>
      </c>
      <c r="F305" t="str">
        <f>"INV 24349"</f>
        <v>INV 24349</v>
      </c>
      <c r="G305" s="2">
        <v>3880.44</v>
      </c>
      <c r="H305" t="str">
        <f>"INV 24349"</f>
        <v>INV 24349</v>
      </c>
    </row>
    <row r="306" spans="1:8" x14ac:dyDescent="0.25">
      <c r="A306" t="s">
        <v>75</v>
      </c>
      <c r="B306">
        <v>1270</v>
      </c>
      <c r="C306" s="2">
        <v>2455.5700000000002</v>
      </c>
      <c r="D306" s="1">
        <v>43704</v>
      </c>
      <c r="E306" t="str">
        <f>"24377"</f>
        <v>24377</v>
      </c>
      <c r="F306" t="str">
        <f>"INV 24377"</f>
        <v>INV 24377</v>
      </c>
      <c r="G306" s="2">
        <v>2455.5700000000002</v>
      </c>
      <c r="H306" t="str">
        <f>"INV 24377"</f>
        <v>INV 24377</v>
      </c>
    </row>
    <row r="307" spans="1:8" x14ac:dyDescent="0.25">
      <c r="A307" t="s">
        <v>76</v>
      </c>
      <c r="B307">
        <v>1278</v>
      </c>
      <c r="C307" s="2">
        <v>1235</v>
      </c>
      <c r="D307" s="1">
        <v>43704</v>
      </c>
      <c r="E307" t="str">
        <f>"000030"</f>
        <v>000030</v>
      </c>
      <c r="F307" t="str">
        <f>"CLIENT#001309/PROF SVCS 07/15"</f>
        <v>CLIENT#001309/PROF SVCS 07/15</v>
      </c>
      <c r="G307" s="2">
        <v>330</v>
      </c>
      <c r="H307" t="str">
        <f>"CLIENT#001309/PROF SVCS 07/15"</f>
        <v>CLIENT#001309/PROF SVCS 07/15</v>
      </c>
    </row>
    <row r="308" spans="1:8" x14ac:dyDescent="0.25">
      <c r="E308" t="str">
        <f>"109681"</f>
        <v>109681</v>
      </c>
      <c r="F308" t="str">
        <f>"CLIENT#001309/PROF SVCS 06/15"</f>
        <v>CLIENT#001309/PROF SVCS 06/15</v>
      </c>
      <c r="G308" s="2">
        <v>905</v>
      </c>
      <c r="H308" t="str">
        <f>"CLIENT#001309/PROF SVCS 06/15"</f>
        <v>CLIENT#001309/PROF SVCS 06/15</v>
      </c>
    </row>
    <row r="309" spans="1:8" x14ac:dyDescent="0.25">
      <c r="A309" t="s">
        <v>77</v>
      </c>
      <c r="B309">
        <v>1145</v>
      </c>
      <c r="C309" s="2">
        <v>233.06</v>
      </c>
      <c r="D309" s="1">
        <v>43690</v>
      </c>
      <c r="E309" t="str">
        <f>"19075"</f>
        <v>19075</v>
      </c>
      <c r="F309" t="str">
        <f>"INTERPRETING - 07/22/19"</f>
        <v>INTERPRETING - 07/22/19</v>
      </c>
      <c r="G309" s="2">
        <v>233.06</v>
      </c>
      <c r="H309" t="str">
        <f>"INTERPRETING - 07/22/19"</f>
        <v>INTERPRETING - 07/22/19</v>
      </c>
    </row>
    <row r="310" spans="1:8" x14ac:dyDescent="0.25">
      <c r="A310" t="s">
        <v>77</v>
      </c>
      <c r="B310">
        <v>1222</v>
      </c>
      <c r="C310" s="2">
        <v>1400</v>
      </c>
      <c r="D310" s="1">
        <v>43704</v>
      </c>
      <c r="E310" t="str">
        <f>"19085"</f>
        <v>19085</v>
      </c>
      <c r="F310" t="str">
        <f>"16 363 INTERPRETING"</f>
        <v>16 363 INTERPRETING</v>
      </c>
      <c r="G310" s="2">
        <v>1400</v>
      </c>
      <c r="H310" t="str">
        <f>"16 363 INTERPRETING"</f>
        <v>16 363 INTERPRETING</v>
      </c>
    </row>
    <row r="311" spans="1:8" x14ac:dyDescent="0.25">
      <c r="A311" t="s">
        <v>78</v>
      </c>
      <c r="B311">
        <v>83321</v>
      </c>
      <c r="C311" s="2">
        <v>931.5</v>
      </c>
      <c r="D311" s="1">
        <v>43689</v>
      </c>
      <c r="E311" t="str">
        <f>"84078902394 840789"</f>
        <v>84078902394 840789</v>
      </c>
      <c r="F311" t="str">
        <f>"INV 84078902394"</f>
        <v>INV 84078902394</v>
      </c>
      <c r="G311" s="2">
        <v>931.5</v>
      </c>
      <c r="H311" t="str">
        <f>"INV 84078902394"</f>
        <v>INV 84078902394</v>
      </c>
    </row>
    <row r="312" spans="1:8" x14ac:dyDescent="0.25">
      <c r="E312" t="str">
        <f>""</f>
        <v/>
      </c>
      <c r="F312" t="str">
        <f>""</f>
        <v/>
      </c>
      <c r="H312" t="str">
        <f>"INV 84078902474"</f>
        <v>INV 84078902474</v>
      </c>
    </row>
    <row r="313" spans="1:8" x14ac:dyDescent="0.25">
      <c r="E313" t="str">
        <f>""</f>
        <v/>
      </c>
      <c r="F313" t="str">
        <f>""</f>
        <v/>
      </c>
      <c r="H313" t="str">
        <f>"INV 84078902558"</f>
        <v>INV 84078902558</v>
      </c>
    </row>
    <row r="314" spans="1:8" x14ac:dyDescent="0.25">
      <c r="A314" t="s">
        <v>78</v>
      </c>
      <c r="B314">
        <v>83545</v>
      </c>
      <c r="C314" s="2">
        <v>460.28</v>
      </c>
      <c r="D314" s="1">
        <v>43703</v>
      </c>
      <c r="E314" t="str">
        <f>"84078902647/735"</f>
        <v>84078902647/735</v>
      </c>
      <c r="F314" t="str">
        <f>"INV 84078902647"</f>
        <v>INV 84078902647</v>
      </c>
      <c r="G314" s="2">
        <v>460.28</v>
      </c>
      <c r="H314" t="str">
        <f>"INV 84078902647"</f>
        <v>INV 84078902647</v>
      </c>
    </row>
    <row r="315" spans="1:8" x14ac:dyDescent="0.25">
      <c r="E315" t="str">
        <f>""</f>
        <v/>
      </c>
      <c r="F315" t="str">
        <f>""</f>
        <v/>
      </c>
      <c r="H315" t="str">
        <f>"INV 84078902735"</f>
        <v>INV 84078902735</v>
      </c>
    </row>
    <row r="316" spans="1:8" x14ac:dyDescent="0.25">
      <c r="A316" t="s">
        <v>79</v>
      </c>
      <c r="B316">
        <v>83546</v>
      </c>
      <c r="C316" s="2">
        <v>357.19</v>
      </c>
      <c r="D316" s="1">
        <v>43703</v>
      </c>
      <c r="E316" t="str">
        <f>"INV338055"</f>
        <v>INV338055</v>
      </c>
      <c r="F316" t="str">
        <f>"Bird Deterrant"</f>
        <v>Bird Deterrant</v>
      </c>
      <c r="G316" s="2">
        <v>357.19</v>
      </c>
      <c r="H316" t="str">
        <f>"IB50-PPIV"</f>
        <v>IB50-PPIV</v>
      </c>
    </row>
    <row r="317" spans="1:8" x14ac:dyDescent="0.25">
      <c r="E317" t="str">
        <f>""</f>
        <v/>
      </c>
      <c r="F317" t="str">
        <f>""</f>
        <v/>
      </c>
      <c r="H317" t="str">
        <f>"Shipping"</f>
        <v>Shipping</v>
      </c>
    </row>
    <row r="318" spans="1:8" x14ac:dyDescent="0.25">
      <c r="A318" t="s">
        <v>80</v>
      </c>
      <c r="B318">
        <v>1164</v>
      </c>
      <c r="C318" s="2">
        <v>725</v>
      </c>
      <c r="D318" s="1">
        <v>43690</v>
      </c>
      <c r="E318" t="str">
        <f>"201907310719"</f>
        <v>201907310719</v>
      </c>
      <c r="F318" t="str">
        <f>"18-188240"</f>
        <v>18-188240</v>
      </c>
      <c r="G318" s="2">
        <v>100</v>
      </c>
      <c r="H318" t="str">
        <f>"18-188240"</f>
        <v>18-188240</v>
      </c>
    </row>
    <row r="319" spans="1:8" x14ac:dyDescent="0.25">
      <c r="E319" t="str">
        <f>"201907310720"</f>
        <v>201907310720</v>
      </c>
      <c r="F319" t="str">
        <f>"925-352-3557A001 - A002"</f>
        <v>925-352-3557A001 - A002</v>
      </c>
      <c r="G319" s="2">
        <v>375</v>
      </c>
      <c r="H319" t="str">
        <f>"925-352-3557A001 - A002"</f>
        <v>925-352-3557A001 - A002</v>
      </c>
    </row>
    <row r="320" spans="1:8" x14ac:dyDescent="0.25">
      <c r="E320" t="str">
        <f>"201908060967"</f>
        <v>201908060967</v>
      </c>
      <c r="F320" t="str">
        <f>"JP106092019C 925-353-2661 A001"</f>
        <v>JP106092019C 925-353-2661 A001</v>
      </c>
      <c r="G320" s="2">
        <v>250</v>
      </c>
      <c r="H320" t="str">
        <f>"JP106092019C 925-353-2661 A001"</f>
        <v>JP106092019C 925-353-2661 A001</v>
      </c>
    </row>
    <row r="321" spans="1:8" x14ac:dyDescent="0.25">
      <c r="A321" t="s">
        <v>80</v>
      </c>
      <c r="B321">
        <v>1239</v>
      </c>
      <c r="C321" s="2">
        <v>2325</v>
      </c>
      <c r="D321" s="1">
        <v>43704</v>
      </c>
      <c r="E321" t="str">
        <f>"201908201134"</f>
        <v>201908201134</v>
      </c>
      <c r="F321" t="str">
        <f>"56 485 19-S00255 19-S00285"</f>
        <v>56 485 19-S00255 19-S00285</v>
      </c>
      <c r="G321" s="2">
        <v>500</v>
      </c>
      <c r="H321" t="str">
        <f>"56 485 19-S00255 19-S00285"</f>
        <v>56 485 19-S00255 19-S00285</v>
      </c>
    </row>
    <row r="322" spans="1:8" x14ac:dyDescent="0.25">
      <c r="E322" t="str">
        <f>"201908201135"</f>
        <v>201908201135</v>
      </c>
      <c r="F322" t="str">
        <f>"56 621  56 640  56 636"</f>
        <v>56 621  56 640  56 636</v>
      </c>
      <c r="G322" s="2">
        <v>875</v>
      </c>
      <c r="H322" t="str">
        <f>"56 621  56 640  56 636"</f>
        <v>56 621  56 640  56 636</v>
      </c>
    </row>
    <row r="323" spans="1:8" x14ac:dyDescent="0.25">
      <c r="E323" t="str">
        <f>"201908201136"</f>
        <v>201908201136</v>
      </c>
      <c r="F323" t="str">
        <f>"56 954"</f>
        <v>56 954</v>
      </c>
      <c r="G323" s="2">
        <v>250</v>
      </c>
      <c r="H323" t="str">
        <f>"56 954"</f>
        <v>56 954</v>
      </c>
    </row>
    <row r="324" spans="1:8" x14ac:dyDescent="0.25">
      <c r="E324" t="str">
        <f>"201908201147"</f>
        <v>201908201147</v>
      </c>
      <c r="F324" t="str">
        <f>"405299-8/925-353-1416 A001/19-"</f>
        <v>405299-8/925-353-1416 A001/19-</v>
      </c>
      <c r="G324" s="2">
        <v>250</v>
      </c>
      <c r="H324" t="str">
        <f>"405299-8/925-353-1416 A001/19-"</f>
        <v>405299-8/925-353-1416 A001/19-</v>
      </c>
    </row>
    <row r="325" spans="1:8" x14ac:dyDescent="0.25">
      <c r="E325" t="str">
        <f>"201908201188"</f>
        <v>201908201188</v>
      </c>
      <c r="F325" t="str">
        <f>"406269.11 925-353-4672A001"</f>
        <v>406269.11 925-353-4672A001</v>
      </c>
      <c r="G325" s="2">
        <v>250</v>
      </c>
      <c r="H325" t="str">
        <f>"406269.11 925-353-4672A001"</f>
        <v>406269.11 925-353-4672A001</v>
      </c>
    </row>
    <row r="326" spans="1:8" x14ac:dyDescent="0.25">
      <c r="E326" t="str">
        <f>"201908201208"</f>
        <v>201908201208</v>
      </c>
      <c r="F326" t="str">
        <f>"18-18997"</f>
        <v>18-18997</v>
      </c>
      <c r="G326" s="2">
        <v>100</v>
      </c>
      <c r="H326" t="str">
        <f>"18-18997"</f>
        <v>18-18997</v>
      </c>
    </row>
    <row r="327" spans="1:8" x14ac:dyDescent="0.25">
      <c r="E327" t="str">
        <f>"201908201209"</f>
        <v>201908201209</v>
      </c>
      <c r="F327" t="str">
        <f>"18-19050"</f>
        <v>18-19050</v>
      </c>
      <c r="G327" s="2">
        <v>100</v>
      </c>
      <c r="H327" t="str">
        <f>"18-19050"</f>
        <v>18-19050</v>
      </c>
    </row>
    <row r="328" spans="1:8" x14ac:dyDescent="0.25">
      <c r="A328" t="s">
        <v>81</v>
      </c>
      <c r="B328">
        <v>83547</v>
      </c>
      <c r="C328" s="2">
        <v>354.19</v>
      </c>
      <c r="D328" s="1">
        <v>43703</v>
      </c>
      <c r="E328" t="str">
        <f>"201908151109"</f>
        <v>201908151109</v>
      </c>
      <c r="F328" t="str">
        <f>"CRIMESTOPPER FEES JULY 2019"</f>
        <v>CRIMESTOPPER FEES JULY 2019</v>
      </c>
      <c r="G328" s="2">
        <v>354.19</v>
      </c>
      <c r="H328" t="str">
        <f>"CRIMESTOPPER FEES JULY 2019"</f>
        <v>CRIMESTOPPER FEES JULY 2019</v>
      </c>
    </row>
    <row r="329" spans="1:8" x14ac:dyDescent="0.25">
      <c r="A329" t="s">
        <v>82</v>
      </c>
      <c r="B329">
        <v>83506</v>
      </c>
      <c r="C329" s="2">
        <v>3863.92</v>
      </c>
      <c r="D329" s="1">
        <v>43696</v>
      </c>
      <c r="E329" t="str">
        <f>"201908191114"</f>
        <v>201908191114</v>
      </c>
      <c r="F329" t="str">
        <f>"ACCT#5000057374 / 08042019"</f>
        <v>ACCT#5000057374 / 08042019</v>
      </c>
      <c r="G329" s="2">
        <v>3863.92</v>
      </c>
      <c r="H329" t="str">
        <f>"ACCT#5000057374 / 08042019"</f>
        <v>ACCT#5000057374 / 08042019</v>
      </c>
    </row>
    <row r="330" spans="1:8" x14ac:dyDescent="0.25">
      <c r="E330" t="str">
        <f>""</f>
        <v/>
      </c>
      <c r="F330" t="str">
        <f>""</f>
        <v/>
      </c>
      <c r="H330" t="str">
        <f>"ACCT#5000057374 / 08042019"</f>
        <v>ACCT#5000057374 / 08042019</v>
      </c>
    </row>
    <row r="331" spans="1:8" x14ac:dyDescent="0.25">
      <c r="E331" t="str">
        <f>""</f>
        <v/>
      </c>
      <c r="F331" t="str">
        <f>""</f>
        <v/>
      </c>
      <c r="H331" t="str">
        <f>"ACCT#5000057374 / 08042019"</f>
        <v>ACCT#5000057374 / 08042019</v>
      </c>
    </row>
    <row r="332" spans="1:8" x14ac:dyDescent="0.25">
      <c r="E332" t="str">
        <f>""</f>
        <v/>
      </c>
      <c r="F332" t="str">
        <f>""</f>
        <v/>
      </c>
      <c r="H332" t="str">
        <f>"ACCT#5000057374 / 08042019"</f>
        <v>ACCT#5000057374 / 08042019</v>
      </c>
    </row>
    <row r="333" spans="1:8" x14ac:dyDescent="0.25">
      <c r="A333" t="s">
        <v>83</v>
      </c>
      <c r="B333">
        <v>1212</v>
      </c>
      <c r="C333" s="2">
        <v>1042</v>
      </c>
      <c r="D333" s="1">
        <v>43690</v>
      </c>
      <c r="E333" t="str">
        <f>"25072019"</f>
        <v>25072019</v>
      </c>
      <c r="F333" t="str">
        <f>"INV 25072019"</f>
        <v>INV 25072019</v>
      </c>
      <c r="G333" s="2">
        <v>1042</v>
      </c>
      <c r="H333" t="str">
        <f>"INV 25072019"</f>
        <v>INV 25072019</v>
      </c>
    </row>
    <row r="334" spans="1:8" x14ac:dyDescent="0.25">
      <c r="A334" t="s">
        <v>83</v>
      </c>
      <c r="B334">
        <v>1284</v>
      </c>
      <c r="C334" s="2">
        <v>15872.88</v>
      </c>
      <c r="D334" s="1">
        <v>43704</v>
      </c>
      <c r="E334" t="str">
        <f>"201908141083"</f>
        <v>201908141083</v>
      </c>
      <c r="F334" t="str">
        <f>"GRANT REIMBURSEMENT"</f>
        <v>GRANT REIMBURSEMENT</v>
      </c>
      <c r="G334" s="2">
        <v>15872.88</v>
      </c>
      <c r="H334" t="str">
        <f>"GRANT REIMBURSEMENT"</f>
        <v>GRANT REIMBURSEMENT</v>
      </c>
    </row>
    <row r="335" spans="1:8" x14ac:dyDescent="0.25">
      <c r="A335" t="s">
        <v>84</v>
      </c>
      <c r="B335">
        <v>83322</v>
      </c>
      <c r="C335" s="2">
        <v>1047.5</v>
      </c>
      <c r="D335" s="1">
        <v>43689</v>
      </c>
      <c r="E335" t="str">
        <f>"UT1000503594"</f>
        <v>UT1000503594</v>
      </c>
      <c r="F335" t="str">
        <f>"INV UT1000503594"</f>
        <v>INV UT1000503594</v>
      </c>
      <c r="G335" s="2">
        <v>1047.5</v>
      </c>
      <c r="H335" t="str">
        <f>"INV UT1000503594"</f>
        <v>INV UT1000503594</v>
      </c>
    </row>
    <row r="336" spans="1:8" x14ac:dyDescent="0.25">
      <c r="A336" t="s">
        <v>85</v>
      </c>
      <c r="B336">
        <v>83323</v>
      </c>
      <c r="C336" s="2">
        <v>132813.5</v>
      </c>
      <c r="D336" s="1">
        <v>43689</v>
      </c>
      <c r="E336" t="str">
        <f>"102812"</f>
        <v>102812</v>
      </c>
      <c r="F336" t="str">
        <f>"ACCT#1268/PCT#3"</f>
        <v>ACCT#1268/PCT#3</v>
      </c>
      <c r="G336" s="2">
        <v>2198.84</v>
      </c>
      <c r="H336" t="str">
        <f>"ACCT#1268/PCT#3"</f>
        <v>ACCT#1268/PCT#3</v>
      </c>
    </row>
    <row r="337" spans="1:8" x14ac:dyDescent="0.25">
      <c r="E337" t="str">
        <f>"102988"</f>
        <v>102988</v>
      </c>
      <c r="F337" t="str">
        <f>"ACCT#1268/PCT#3"</f>
        <v>ACCT#1268/PCT#3</v>
      </c>
      <c r="G337" s="2">
        <v>17686.75</v>
      </c>
      <c r="H337" t="str">
        <f>"ACCT#1268/PCT#3"</f>
        <v>ACCT#1268/PCT#3</v>
      </c>
    </row>
    <row r="338" spans="1:8" x14ac:dyDescent="0.25">
      <c r="E338" t="str">
        <f>"103160"</f>
        <v>103160</v>
      </c>
      <c r="F338" t="str">
        <f>"ACCT#1268/PCT#3"</f>
        <v>ACCT#1268/PCT#3</v>
      </c>
      <c r="G338" s="2">
        <v>79536.94</v>
      </c>
      <c r="H338" t="str">
        <f>"ACCT#1268/PCT#3"</f>
        <v>ACCT#1268/PCT#3</v>
      </c>
    </row>
    <row r="339" spans="1:8" x14ac:dyDescent="0.25">
      <c r="E339" t="str">
        <f>"103322"</f>
        <v>103322</v>
      </c>
      <c r="F339" t="str">
        <f>"ACCT#1268/PCT#3"</f>
        <v>ACCT#1268/PCT#3</v>
      </c>
      <c r="G339" s="2">
        <v>30089.42</v>
      </c>
      <c r="H339" t="str">
        <f>"ACCT#1268/PCT#3"</f>
        <v>ACCT#1268/PCT#3</v>
      </c>
    </row>
    <row r="340" spans="1:8" x14ac:dyDescent="0.25">
      <c r="E340" t="str">
        <f>"103323"</f>
        <v>103323</v>
      </c>
      <c r="F340" t="str">
        <f>"ACCT#1268/PCT#3"</f>
        <v>ACCT#1268/PCT#3</v>
      </c>
      <c r="G340" s="2">
        <v>186.62</v>
      </c>
      <c r="H340" t="str">
        <f>"ACCT#1268/PCT#3"</f>
        <v>ACCT#1268/PCT#3</v>
      </c>
    </row>
    <row r="341" spans="1:8" x14ac:dyDescent="0.25">
      <c r="E341" t="str">
        <f>"103324"</f>
        <v>103324</v>
      </c>
      <c r="F341" t="str">
        <f>"ACCT#1269/PCT#4"</f>
        <v>ACCT#1269/PCT#4</v>
      </c>
      <c r="G341" s="2">
        <v>3114.93</v>
      </c>
      <c r="H341" t="str">
        <f>"ACCT#1269/PCT#4"</f>
        <v>ACCT#1269/PCT#4</v>
      </c>
    </row>
    <row r="342" spans="1:8" x14ac:dyDescent="0.25">
      <c r="A342" t="s">
        <v>85</v>
      </c>
      <c r="B342">
        <v>83548</v>
      </c>
      <c r="C342" s="2">
        <v>169781.5</v>
      </c>
      <c r="D342" s="1">
        <v>43703</v>
      </c>
      <c r="E342" t="str">
        <f>"103471"</f>
        <v>103471</v>
      </c>
      <c r="F342" t="str">
        <f>"ACCT#1268/PCT#3"</f>
        <v>ACCT#1268/PCT#3</v>
      </c>
      <c r="G342" s="2">
        <v>81015.929999999993</v>
      </c>
      <c r="H342" t="str">
        <f>"ACCT#1268/PCT#3"</f>
        <v>ACCT#1268/PCT#3</v>
      </c>
    </row>
    <row r="343" spans="1:8" x14ac:dyDescent="0.25">
      <c r="E343" t="str">
        <f>"103472"</f>
        <v>103472</v>
      </c>
      <c r="F343" t="str">
        <f>"ACCT#1268/PCT#3"</f>
        <v>ACCT#1268/PCT#3</v>
      </c>
      <c r="G343" s="2">
        <v>2656.78</v>
      </c>
      <c r="H343" t="str">
        <f>"ACCT#1268/PCT#3"</f>
        <v>ACCT#1268/PCT#3</v>
      </c>
    </row>
    <row r="344" spans="1:8" x14ac:dyDescent="0.25">
      <c r="E344" t="str">
        <f>"103473"</f>
        <v>103473</v>
      </c>
      <c r="F344" t="str">
        <f>"ACCT#1269/PCT#4"</f>
        <v>ACCT#1269/PCT#4</v>
      </c>
      <c r="G344" s="2">
        <v>19692.36</v>
      </c>
      <c r="H344" t="str">
        <f>"ACCT#1269/PCT#4"</f>
        <v>ACCT#1269/PCT#4</v>
      </c>
    </row>
    <row r="345" spans="1:8" x14ac:dyDescent="0.25">
      <c r="E345" t="str">
        <f>"103665"</f>
        <v>103665</v>
      </c>
      <c r="F345" t="str">
        <f>"ACCT#1268/PCT#3"</f>
        <v>ACCT#1268/PCT#3</v>
      </c>
      <c r="G345" s="2">
        <v>66416.429999999993</v>
      </c>
      <c r="H345" t="str">
        <f>"ACCT#1268/PCT#3"</f>
        <v>ACCT#1268/PCT#3</v>
      </c>
    </row>
    <row r="346" spans="1:8" x14ac:dyDescent="0.25">
      <c r="A346" t="s">
        <v>86</v>
      </c>
      <c r="B346">
        <v>83324</v>
      </c>
      <c r="C346" s="2">
        <v>75</v>
      </c>
      <c r="D346" s="1">
        <v>43689</v>
      </c>
      <c r="E346" t="str">
        <f>"12986"</f>
        <v>12986</v>
      </c>
      <c r="F346" t="str">
        <f>"SERVICE"</f>
        <v>SERVICE</v>
      </c>
      <c r="G346" s="2">
        <v>75</v>
      </c>
      <c r="H346" t="str">
        <f>"SERVICE"</f>
        <v>SERVICE</v>
      </c>
    </row>
    <row r="347" spans="1:8" x14ac:dyDescent="0.25">
      <c r="A347" t="s">
        <v>87</v>
      </c>
      <c r="B347">
        <v>83549</v>
      </c>
      <c r="C347" s="2">
        <v>135</v>
      </c>
      <c r="D347" s="1">
        <v>43703</v>
      </c>
      <c r="E347" t="str">
        <f>"201908141076"</f>
        <v>201908141076</v>
      </c>
      <c r="F347" t="str">
        <f>"PER DIEM"</f>
        <v>PER DIEM</v>
      </c>
      <c r="G347" s="2">
        <v>135</v>
      </c>
      <c r="H347" t="str">
        <f>"PER DIEM"</f>
        <v>PER DIEM</v>
      </c>
    </row>
    <row r="348" spans="1:8" x14ac:dyDescent="0.25">
      <c r="A348" t="s">
        <v>88</v>
      </c>
      <c r="B348">
        <v>83325</v>
      </c>
      <c r="C348" s="2">
        <v>235</v>
      </c>
      <c r="D348" s="1">
        <v>43689</v>
      </c>
      <c r="E348" t="str">
        <f>"201908060964"</f>
        <v>201908060964</v>
      </c>
      <c r="F348" t="str">
        <f>"STATE BAR DUES REIMBURSEMENT"</f>
        <v>STATE BAR DUES REIMBURSEMENT</v>
      </c>
      <c r="G348" s="2">
        <v>235</v>
      </c>
      <c r="H348" t="str">
        <f>"STATE BAR DUES REIMBURSEMENT"</f>
        <v>STATE BAR DUES REIMBURSEMENT</v>
      </c>
    </row>
    <row r="349" spans="1:8" x14ac:dyDescent="0.25">
      <c r="A349" t="s">
        <v>89</v>
      </c>
      <c r="B349">
        <v>1217</v>
      </c>
      <c r="C349" s="2">
        <v>1375</v>
      </c>
      <c r="D349" s="1">
        <v>43690</v>
      </c>
      <c r="E349" t="str">
        <f>"201908071004"</f>
        <v>201908071004</v>
      </c>
      <c r="F349" t="str">
        <f>"BC20190505D"</f>
        <v>BC20190505D</v>
      </c>
      <c r="G349" s="2">
        <v>250</v>
      </c>
      <c r="H349" t="str">
        <f>"BC20190505D"</f>
        <v>BC20190505D</v>
      </c>
    </row>
    <row r="350" spans="1:8" x14ac:dyDescent="0.25">
      <c r="E350" t="str">
        <f>"201908071005"</f>
        <v>201908071005</v>
      </c>
      <c r="F350" t="str">
        <f>"JP105112019M"</f>
        <v>JP105112019M</v>
      </c>
      <c r="G350" s="2">
        <v>250</v>
      </c>
      <c r="H350" t="str">
        <f>"JP105112019M"</f>
        <v>JP105112019M</v>
      </c>
    </row>
    <row r="351" spans="1:8" x14ac:dyDescent="0.25">
      <c r="E351" t="str">
        <f>"201908071006"</f>
        <v>201908071006</v>
      </c>
      <c r="F351" t="str">
        <f>"CH-20170620A / CH-20170620B"</f>
        <v>CH-20170620A / CH-20170620B</v>
      </c>
      <c r="G351" s="2">
        <v>375</v>
      </c>
      <c r="H351" t="str">
        <f>"CH-20170620A / CH-20170620B"</f>
        <v>CH-20170620A / CH-20170620B</v>
      </c>
    </row>
    <row r="352" spans="1:8" x14ac:dyDescent="0.25">
      <c r="E352" t="str">
        <f>"201908071013"</f>
        <v>201908071013</v>
      </c>
      <c r="F352" t="str">
        <f>"51 808"</f>
        <v>51 808</v>
      </c>
      <c r="G352" s="2">
        <v>250</v>
      </c>
      <c r="H352" t="str">
        <f>"51 808"</f>
        <v>51 808</v>
      </c>
    </row>
    <row r="353" spans="1:8" x14ac:dyDescent="0.25">
      <c r="E353" t="str">
        <f>"201908071015"</f>
        <v>201908071015</v>
      </c>
      <c r="F353" t="str">
        <f>"55 606"</f>
        <v>55 606</v>
      </c>
      <c r="G353" s="2">
        <v>250</v>
      </c>
      <c r="H353" t="str">
        <f>"55 606"</f>
        <v>55 606</v>
      </c>
    </row>
    <row r="354" spans="1:8" x14ac:dyDescent="0.25">
      <c r="A354" t="s">
        <v>90</v>
      </c>
      <c r="B354">
        <v>83326</v>
      </c>
      <c r="C354" s="2">
        <v>30</v>
      </c>
      <c r="D354" s="1">
        <v>43689</v>
      </c>
      <c r="E354" t="str">
        <f>"19-19758"</f>
        <v>19-19758</v>
      </c>
      <c r="F354" t="str">
        <f>"CENTRAL ADOPTION REGISTRY FUND"</f>
        <v>CENTRAL ADOPTION REGISTRY FUND</v>
      </c>
      <c r="G354" s="2">
        <v>15</v>
      </c>
      <c r="H354" t="str">
        <f>"CENTRAL ADOPTION REGISTRY FUND"</f>
        <v>CENTRAL ADOPTION REGISTRY FUND</v>
      </c>
    </row>
    <row r="355" spans="1:8" x14ac:dyDescent="0.25">
      <c r="E355" t="str">
        <f>"423-6691"</f>
        <v>423-6691</v>
      </c>
      <c r="F355" t="str">
        <f>"CENTRAL ADOPTION REGISTRY FUND"</f>
        <v>CENTRAL ADOPTION REGISTRY FUND</v>
      </c>
      <c r="G355" s="2">
        <v>15</v>
      </c>
      <c r="H355" t="str">
        <f>"CENTRAL ADOPTION REGISTRY FUND"</f>
        <v>CENTRAL ADOPTION REGISTRY FUND</v>
      </c>
    </row>
    <row r="356" spans="1:8" x14ac:dyDescent="0.25">
      <c r="A356" t="s">
        <v>91</v>
      </c>
      <c r="B356">
        <v>83550</v>
      </c>
      <c r="C356" s="2">
        <v>160</v>
      </c>
      <c r="D356" s="1">
        <v>43703</v>
      </c>
      <c r="E356" t="str">
        <f>"13076"</f>
        <v>13076</v>
      </c>
      <c r="F356" t="str">
        <f>"SERVICE"</f>
        <v>SERVICE</v>
      </c>
      <c r="G356" s="2">
        <v>160</v>
      </c>
      <c r="H356" t="str">
        <f>"SERVICE"</f>
        <v>SERVICE</v>
      </c>
    </row>
    <row r="357" spans="1:8" x14ac:dyDescent="0.25">
      <c r="A357" t="s">
        <v>92</v>
      </c>
      <c r="B357">
        <v>83551</v>
      </c>
      <c r="C357" s="2">
        <v>660.78</v>
      </c>
      <c r="D357" s="1">
        <v>43703</v>
      </c>
      <c r="E357" t="str">
        <f>"670000733"</f>
        <v>670000733</v>
      </c>
      <c r="F357" t="str">
        <f>"2018 INFI LABOR/PAINT/MATERIAL"</f>
        <v>2018 INFI LABOR/PAINT/MATERIAL</v>
      </c>
      <c r="G357" s="2">
        <v>660.78</v>
      </c>
      <c r="H357" t="str">
        <f>"2018 INFI LABOR/PAINT/MATERIAL"</f>
        <v>2018 INFI LABOR/PAINT/MATERIAL</v>
      </c>
    </row>
    <row r="358" spans="1:8" x14ac:dyDescent="0.25">
      <c r="A358" t="s">
        <v>93</v>
      </c>
      <c r="B358">
        <v>83552</v>
      </c>
      <c r="C358" s="2">
        <v>190</v>
      </c>
      <c r="D358" s="1">
        <v>43703</v>
      </c>
      <c r="E358" t="str">
        <f>"2019RTA 917/2019"</f>
        <v>2019RTA 917/2019</v>
      </c>
      <c r="F358" t="str">
        <f>"2019RTA 917/2019RTA 918"</f>
        <v>2019RTA 917/2019RTA 918</v>
      </c>
      <c r="G358" s="2">
        <v>190</v>
      </c>
      <c r="H358" t="str">
        <f>"2019RTA 917/2019RTA 918"</f>
        <v>2019RTA 917/2019RTA 918</v>
      </c>
    </row>
    <row r="359" spans="1:8" x14ac:dyDescent="0.25">
      <c r="A359" t="s">
        <v>94</v>
      </c>
      <c r="B359">
        <v>1186</v>
      </c>
      <c r="C359" s="2">
        <v>506.79</v>
      </c>
      <c r="D359" s="1">
        <v>43690</v>
      </c>
      <c r="E359" t="str">
        <f>"1701611"</f>
        <v>1701611</v>
      </c>
      <c r="F359" t="str">
        <f>"ACCT#000690/ORD#01391254/P2"</f>
        <v>ACCT#000690/ORD#01391254/P2</v>
      </c>
      <c r="G359" s="2">
        <v>64.739999999999995</v>
      </c>
      <c r="H359" t="str">
        <f>"ACCT#000690/ORD#01391254/P2"</f>
        <v>ACCT#000690/ORD#01391254/P2</v>
      </c>
    </row>
    <row r="360" spans="1:8" x14ac:dyDescent="0.25">
      <c r="E360" t="str">
        <f>"457999"</f>
        <v>457999</v>
      </c>
      <c r="F360" t="str">
        <f>"ACCT#005902/ORD#00421269/PCT#2"</f>
        <v>ACCT#005902/ORD#00421269/PCT#2</v>
      </c>
      <c r="G360" s="2">
        <v>167.05</v>
      </c>
      <c r="H360" t="str">
        <f>"ACCT#005902/ORD#00421269/PCT#2"</f>
        <v>ACCT#005902/ORD#00421269/PCT#2</v>
      </c>
    </row>
    <row r="361" spans="1:8" x14ac:dyDescent="0.25">
      <c r="E361" t="str">
        <f>"458072"</f>
        <v>458072</v>
      </c>
      <c r="F361" t="str">
        <f>"ACCT#000690/VALVE REPAIR/P4"</f>
        <v>ACCT#000690/VALVE REPAIR/P4</v>
      </c>
      <c r="G361" s="2">
        <v>275</v>
      </c>
      <c r="H361" t="str">
        <f>"ACCT#000690/VALVE REPAIR/P4"</f>
        <v>ACCT#000690/VALVE REPAIR/P4</v>
      </c>
    </row>
    <row r="362" spans="1:8" x14ac:dyDescent="0.25">
      <c r="A362" t="s">
        <v>95</v>
      </c>
      <c r="B362">
        <v>83327</v>
      </c>
      <c r="C362" s="2">
        <v>325</v>
      </c>
      <c r="D362" s="1">
        <v>43689</v>
      </c>
      <c r="E362" t="str">
        <f>"16311"</f>
        <v>16311</v>
      </c>
      <c r="F362" t="str">
        <f>"3RD QTR MAINTENANCE"</f>
        <v>3RD QTR MAINTENANCE</v>
      </c>
      <c r="G362" s="2">
        <v>325</v>
      </c>
      <c r="H362" t="str">
        <f>"3RD QTR MAINTENANCE"</f>
        <v>3RD QTR MAINTENANCE</v>
      </c>
    </row>
    <row r="363" spans="1:8" x14ac:dyDescent="0.25">
      <c r="A363" t="s">
        <v>96</v>
      </c>
      <c r="B363">
        <v>83553</v>
      </c>
      <c r="C363" s="2">
        <v>19140</v>
      </c>
      <c r="D363" s="1">
        <v>43703</v>
      </c>
      <c r="E363" t="str">
        <f>"IN669994"</f>
        <v>IN669994</v>
      </c>
      <c r="F363" t="str">
        <f>"DocuSign renewal"</f>
        <v>DocuSign renewal</v>
      </c>
      <c r="G363" s="2">
        <v>19140</v>
      </c>
      <c r="H363" t="str">
        <f>"DocuSign renewal"</f>
        <v>DocuSign renewal</v>
      </c>
    </row>
    <row r="364" spans="1:8" x14ac:dyDescent="0.25">
      <c r="E364" t="str">
        <f>""</f>
        <v/>
      </c>
      <c r="F364" t="str">
        <f>""</f>
        <v/>
      </c>
      <c r="H364" t="str">
        <f>"DocuSign renewal"</f>
        <v>DocuSign renewal</v>
      </c>
    </row>
    <row r="365" spans="1:8" x14ac:dyDescent="0.25">
      <c r="A365" t="s">
        <v>97</v>
      </c>
      <c r="B365">
        <v>195</v>
      </c>
      <c r="C365" s="2">
        <v>3386.24</v>
      </c>
      <c r="D365" s="1">
        <v>43689</v>
      </c>
      <c r="E365" t="str">
        <f>"201908071048"</f>
        <v>201908071048</v>
      </c>
      <c r="F365" t="str">
        <f>"acct# 0058"</f>
        <v>acct# 0058</v>
      </c>
      <c r="G365" s="2">
        <v>3386.24</v>
      </c>
      <c r="H365" t="str">
        <f>"HOBBY LOBBY"</f>
        <v>HOBBY LOBBY</v>
      </c>
    </row>
    <row r="366" spans="1:8" x14ac:dyDescent="0.25">
      <c r="E366" t="str">
        <f>""</f>
        <v/>
      </c>
      <c r="F366" t="str">
        <f>""</f>
        <v/>
      </c>
      <c r="H366" t="str">
        <f>"HEB"</f>
        <v>HEB</v>
      </c>
    </row>
    <row r="367" spans="1:8" x14ac:dyDescent="0.25">
      <c r="E367" t="str">
        <f>""</f>
        <v/>
      </c>
      <c r="F367" t="str">
        <f>""</f>
        <v/>
      </c>
      <c r="H367" t="str">
        <f>"LOST PINES"</f>
        <v>LOST PINES</v>
      </c>
    </row>
    <row r="368" spans="1:8" x14ac:dyDescent="0.25">
      <c r="E368" t="str">
        <f>""</f>
        <v/>
      </c>
      <c r="F368" t="str">
        <f>""</f>
        <v/>
      </c>
      <c r="H368" t="str">
        <f>"TACO CABANA"</f>
        <v>TACO CABANA</v>
      </c>
    </row>
    <row r="369" spans="5:8" x14ac:dyDescent="0.25">
      <c r="E369" t="str">
        <f>""</f>
        <v/>
      </c>
      <c r="F369" t="str">
        <f>""</f>
        <v/>
      </c>
      <c r="H369" t="str">
        <f>"ACADEMY"</f>
        <v>ACADEMY</v>
      </c>
    </row>
    <row r="370" spans="5:8" x14ac:dyDescent="0.25">
      <c r="E370" t="str">
        <f>""</f>
        <v/>
      </c>
      <c r="F370" t="str">
        <f>""</f>
        <v/>
      </c>
      <c r="H370" t="str">
        <f>"TODAYS CLASS"</f>
        <v>TODAYS CLASS</v>
      </c>
    </row>
    <row r="371" spans="5:8" x14ac:dyDescent="0.25">
      <c r="E371" t="str">
        <f>""</f>
        <v/>
      </c>
      <c r="F371" t="str">
        <f>""</f>
        <v/>
      </c>
      <c r="H371" t="str">
        <f>"ITUNES"</f>
        <v>ITUNES</v>
      </c>
    </row>
    <row r="372" spans="5:8" x14ac:dyDescent="0.25">
      <c r="E372" t="str">
        <f>""</f>
        <v/>
      </c>
      <c r="F372" t="str">
        <f>""</f>
        <v/>
      </c>
      <c r="H372" t="str">
        <f>"GODADDY"</f>
        <v>GODADDY</v>
      </c>
    </row>
    <row r="373" spans="5:8" x14ac:dyDescent="0.25">
      <c r="E373" t="str">
        <f>""</f>
        <v/>
      </c>
      <c r="F373" t="str">
        <f>""</f>
        <v/>
      </c>
      <c r="H373" t="str">
        <f>"WEBEX"</f>
        <v>WEBEX</v>
      </c>
    </row>
    <row r="374" spans="5:8" x14ac:dyDescent="0.25">
      <c r="E374" t="str">
        <f>""</f>
        <v/>
      </c>
      <c r="F374" t="str">
        <f>""</f>
        <v/>
      </c>
      <c r="H374" t="str">
        <f>"GOOGLE"</f>
        <v>GOOGLE</v>
      </c>
    </row>
    <row r="375" spans="5:8" x14ac:dyDescent="0.25">
      <c r="E375" t="str">
        <f>""</f>
        <v/>
      </c>
      <c r="F375" t="str">
        <f>""</f>
        <v/>
      </c>
      <c r="H375" t="str">
        <f>"ITUNES"</f>
        <v>ITUNES</v>
      </c>
    </row>
    <row r="376" spans="5:8" x14ac:dyDescent="0.25">
      <c r="E376" t="str">
        <f>""</f>
        <v/>
      </c>
      <c r="F376" t="str">
        <f>""</f>
        <v/>
      </c>
      <c r="H376" t="str">
        <f>"GODADDY"</f>
        <v>GODADDY</v>
      </c>
    </row>
    <row r="377" spans="5:8" x14ac:dyDescent="0.25">
      <c r="E377" t="str">
        <f>""</f>
        <v/>
      </c>
      <c r="F377" t="str">
        <f>""</f>
        <v/>
      </c>
      <c r="H377" t="str">
        <f>"WEBEX"</f>
        <v>WEBEX</v>
      </c>
    </row>
    <row r="378" spans="5:8" x14ac:dyDescent="0.25">
      <c r="E378" t="str">
        <f>""</f>
        <v/>
      </c>
      <c r="F378" t="str">
        <f>""</f>
        <v/>
      </c>
      <c r="H378" t="str">
        <f>"CRUSHFTP"</f>
        <v>CRUSHFTP</v>
      </c>
    </row>
    <row r="379" spans="5:8" x14ac:dyDescent="0.25">
      <c r="E379" t="str">
        <f>""</f>
        <v/>
      </c>
      <c r="F379" t="str">
        <f>""</f>
        <v/>
      </c>
      <c r="H379" t="str">
        <f>"HARBOR FREIGHT"</f>
        <v>HARBOR FREIGHT</v>
      </c>
    </row>
    <row r="380" spans="5:8" x14ac:dyDescent="0.25">
      <c r="E380" t="str">
        <f>""</f>
        <v/>
      </c>
      <c r="F380" t="str">
        <f>""</f>
        <v/>
      </c>
      <c r="H380" t="str">
        <f>"TXTAG"</f>
        <v>TXTAG</v>
      </c>
    </row>
    <row r="381" spans="5:8" x14ac:dyDescent="0.25">
      <c r="E381" t="str">
        <f>""</f>
        <v/>
      </c>
      <c r="F381" t="str">
        <f>""</f>
        <v/>
      </c>
      <c r="H381" t="str">
        <f>"TRACTOR SUPPLY"</f>
        <v>TRACTOR SUPPLY</v>
      </c>
    </row>
    <row r="382" spans="5:8" x14ac:dyDescent="0.25">
      <c r="E382" t="str">
        <f>""</f>
        <v/>
      </c>
      <c r="F382" t="str">
        <f>""</f>
        <v/>
      </c>
      <c r="H382" t="str">
        <f>"RMA TOLL"</f>
        <v>RMA TOLL</v>
      </c>
    </row>
    <row r="383" spans="5:8" x14ac:dyDescent="0.25">
      <c r="E383" t="str">
        <f>""</f>
        <v/>
      </c>
      <c r="F383" t="str">
        <f>""</f>
        <v/>
      </c>
      <c r="H383" t="str">
        <f>"HOLIDAY INN"</f>
        <v>HOLIDAY INN</v>
      </c>
    </row>
    <row r="384" spans="5:8" x14ac:dyDescent="0.25">
      <c r="E384" t="str">
        <f>""</f>
        <v/>
      </c>
      <c r="F384" t="str">
        <f>""</f>
        <v/>
      </c>
      <c r="H384" t="str">
        <f>"Charles Adams"</f>
        <v>Charles Adams</v>
      </c>
    </row>
    <row r="385" spans="5:8" x14ac:dyDescent="0.25">
      <c r="E385" t="str">
        <f>""</f>
        <v/>
      </c>
      <c r="F385" t="str">
        <f>""</f>
        <v/>
      </c>
      <c r="H385" t="str">
        <f>"eRIKA dEJESUS"</f>
        <v>eRIKA dEJESUS</v>
      </c>
    </row>
    <row r="386" spans="5:8" x14ac:dyDescent="0.25">
      <c r="E386" t="str">
        <f>""</f>
        <v/>
      </c>
      <c r="F386" t="str">
        <f>""</f>
        <v/>
      </c>
      <c r="H386" t="str">
        <f>"Rosanna Garza"</f>
        <v>Rosanna Garza</v>
      </c>
    </row>
    <row r="387" spans="5:8" x14ac:dyDescent="0.25">
      <c r="E387" t="str">
        <f>""</f>
        <v/>
      </c>
      <c r="F387" t="str">
        <f>""</f>
        <v/>
      </c>
      <c r="H387" t="str">
        <f>"Robert Bennet"</f>
        <v>Robert Bennet</v>
      </c>
    </row>
    <row r="388" spans="5:8" x14ac:dyDescent="0.25">
      <c r="E388" t="str">
        <f>""</f>
        <v/>
      </c>
      <c r="F388" t="str">
        <f>""</f>
        <v/>
      </c>
      <c r="H388" t="str">
        <f>"Annette Murley"</f>
        <v>Annette Murley</v>
      </c>
    </row>
    <row r="389" spans="5:8" x14ac:dyDescent="0.25">
      <c r="E389" t="str">
        <f>""</f>
        <v/>
      </c>
      <c r="F389" t="str">
        <f>""</f>
        <v/>
      </c>
      <c r="H389" t="str">
        <f>"KENNETH LEATHERWOOD"</f>
        <v>KENNETH LEATHERWOOD</v>
      </c>
    </row>
    <row r="390" spans="5:8" x14ac:dyDescent="0.25">
      <c r="E390" t="str">
        <f>""</f>
        <v/>
      </c>
      <c r="F390" t="str">
        <f>""</f>
        <v/>
      </c>
      <c r="H390" t="str">
        <f>"WALMART"</f>
        <v>WALMART</v>
      </c>
    </row>
    <row r="391" spans="5:8" x14ac:dyDescent="0.25">
      <c r="E391" t="str">
        <f>""</f>
        <v/>
      </c>
      <c r="F391" t="str">
        <f>""</f>
        <v/>
      </c>
      <c r="H391" t="str">
        <f>"TXTAG"</f>
        <v>TXTAG</v>
      </c>
    </row>
    <row r="392" spans="5:8" x14ac:dyDescent="0.25">
      <c r="E392" t="str">
        <f>""</f>
        <v/>
      </c>
      <c r="F392" t="str">
        <f>""</f>
        <v/>
      </c>
      <c r="H392" t="str">
        <f>"HOME DEPOT"</f>
        <v>HOME DEPOT</v>
      </c>
    </row>
    <row r="393" spans="5:8" x14ac:dyDescent="0.25">
      <c r="E393" t="str">
        <f>""</f>
        <v/>
      </c>
      <c r="F393" t="str">
        <f>""</f>
        <v/>
      </c>
      <c r="H393" t="str">
        <f>"WALMART"</f>
        <v>WALMART</v>
      </c>
    </row>
    <row r="394" spans="5:8" x14ac:dyDescent="0.25">
      <c r="E394" t="str">
        <f>""</f>
        <v/>
      </c>
      <c r="F394" t="str">
        <f>""</f>
        <v/>
      </c>
      <c r="H394" t="str">
        <f>"WALMART"</f>
        <v>WALMART</v>
      </c>
    </row>
    <row r="395" spans="5:8" x14ac:dyDescent="0.25">
      <c r="E395" t="str">
        <f>""</f>
        <v/>
      </c>
      <c r="F395" t="str">
        <f>""</f>
        <v/>
      </c>
      <c r="H395" t="str">
        <f>"TS DISTRUBUTORS"</f>
        <v>TS DISTRUBUTORS</v>
      </c>
    </row>
    <row r="396" spans="5:8" x14ac:dyDescent="0.25">
      <c r="E396" t="str">
        <f>""</f>
        <v/>
      </c>
      <c r="F396" t="str">
        <f>""</f>
        <v/>
      </c>
      <c r="H396" t="str">
        <f>"TXTAG"</f>
        <v>TXTAG</v>
      </c>
    </row>
    <row r="397" spans="5:8" x14ac:dyDescent="0.25">
      <c r="E397" t="str">
        <f>""</f>
        <v/>
      </c>
      <c r="F397" t="str">
        <f>""</f>
        <v/>
      </c>
      <c r="H397" t="str">
        <f>"CUMMINS"</f>
        <v>CUMMINS</v>
      </c>
    </row>
    <row r="398" spans="5:8" x14ac:dyDescent="0.25">
      <c r="E398" t="str">
        <f>""</f>
        <v/>
      </c>
      <c r="F398" t="str">
        <f>""</f>
        <v/>
      </c>
      <c r="H398" t="str">
        <f>"RMA TOLL"</f>
        <v>RMA TOLL</v>
      </c>
    </row>
    <row r="399" spans="5:8" x14ac:dyDescent="0.25">
      <c r="E399" t="str">
        <f>""</f>
        <v/>
      </c>
      <c r="F399" t="str">
        <f>""</f>
        <v/>
      </c>
      <c r="H399" t="str">
        <f>"TXTAG"</f>
        <v>TXTAG</v>
      </c>
    </row>
    <row r="400" spans="5:8" x14ac:dyDescent="0.25">
      <c r="E400" t="str">
        <f>""</f>
        <v/>
      </c>
      <c r="F400" t="str">
        <f>""</f>
        <v/>
      </c>
      <c r="H400" t="str">
        <f>"TXTAG"</f>
        <v>TXTAG</v>
      </c>
    </row>
    <row r="401" spans="1:8" x14ac:dyDescent="0.25">
      <c r="A401" t="s">
        <v>97</v>
      </c>
      <c r="B401">
        <v>196</v>
      </c>
      <c r="C401" s="2">
        <v>3223.24</v>
      </c>
      <c r="D401" s="1">
        <v>43689</v>
      </c>
      <c r="E401" t="str">
        <f>"201908071049"</f>
        <v>201908071049</v>
      </c>
      <c r="F401" t="str">
        <f>"0574 JUNE 22-JULY 23  201"</f>
        <v>0574 JUNE 22-JULY 23  201</v>
      </c>
      <c r="G401" s="2">
        <v>3223.24</v>
      </c>
      <c r="H401" t="str">
        <f>"EVENTBRITE LAW ENFOR"</f>
        <v>EVENTBRITE LAW ENFOR</v>
      </c>
    </row>
    <row r="402" spans="1:8" x14ac:dyDescent="0.25">
      <c r="E402" t="str">
        <f>""</f>
        <v/>
      </c>
      <c r="F402" t="str">
        <f>""</f>
        <v/>
      </c>
      <c r="H402" t="str">
        <f>"EVENTBRITE LAW ENFOR"</f>
        <v>EVENTBRITE LAW ENFOR</v>
      </c>
    </row>
    <row r="403" spans="1:8" x14ac:dyDescent="0.25">
      <c r="E403" t="str">
        <f>""</f>
        <v/>
      </c>
      <c r="F403" t="str">
        <f>""</f>
        <v/>
      </c>
      <c r="H403" t="str">
        <f>"SOUTHWEST AIRLINE"</f>
        <v>SOUTHWEST AIRLINE</v>
      </c>
    </row>
    <row r="404" spans="1:8" x14ac:dyDescent="0.25">
      <c r="E404" t="str">
        <f>""</f>
        <v/>
      </c>
      <c r="F404" t="str">
        <f>""</f>
        <v/>
      </c>
      <c r="H404" t="str">
        <f>"SPRINGHILL SUITES"</f>
        <v>SPRINGHILL SUITES</v>
      </c>
    </row>
    <row r="405" spans="1:8" x14ac:dyDescent="0.25">
      <c r="E405" t="str">
        <f>""</f>
        <v/>
      </c>
      <c r="F405" t="str">
        <f>""</f>
        <v/>
      </c>
      <c r="H405" t="str">
        <f>"HILTON GARDEN INN"</f>
        <v>HILTON GARDEN INN</v>
      </c>
    </row>
    <row r="406" spans="1:8" x14ac:dyDescent="0.25">
      <c r="E406" t="str">
        <f>""</f>
        <v/>
      </c>
      <c r="F406" t="str">
        <f>""</f>
        <v/>
      </c>
      <c r="H406" t="str">
        <f>"SOUTHWEST AIRLINES"</f>
        <v>SOUTHWEST AIRLINES</v>
      </c>
    </row>
    <row r="407" spans="1:8" x14ac:dyDescent="0.25">
      <c r="E407" t="str">
        <f>""</f>
        <v/>
      </c>
      <c r="F407" t="str">
        <f>""</f>
        <v/>
      </c>
      <c r="H407" t="str">
        <f>"RIOT"</f>
        <v>RIOT</v>
      </c>
    </row>
    <row r="408" spans="1:8" x14ac:dyDescent="0.25">
      <c r="E408" t="str">
        <f>""</f>
        <v/>
      </c>
      <c r="F408" t="str">
        <f>""</f>
        <v/>
      </c>
      <c r="H408" t="str">
        <f>"FAYETTE MEDICAL SUP"</f>
        <v>FAYETTE MEDICAL SUP</v>
      </c>
    </row>
    <row r="409" spans="1:8" x14ac:dyDescent="0.25">
      <c r="E409" t="str">
        <f>""</f>
        <v/>
      </c>
      <c r="F409" t="str">
        <f>""</f>
        <v/>
      </c>
      <c r="H409" t="str">
        <f>"CVS"</f>
        <v>CVS</v>
      </c>
    </row>
    <row r="410" spans="1:8" x14ac:dyDescent="0.25">
      <c r="E410" t="str">
        <f>""</f>
        <v/>
      </c>
      <c r="F410" t="str">
        <f>""</f>
        <v/>
      </c>
      <c r="H410" t="str">
        <f>"CONCEPT 2 INC"</f>
        <v>CONCEPT 2 INC</v>
      </c>
    </row>
    <row r="411" spans="1:8" x14ac:dyDescent="0.25">
      <c r="E411" t="str">
        <f>""</f>
        <v/>
      </c>
      <c r="F411" t="str">
        <f>""</f>
        <v/>
      </c>
      <c r="H411" t="str">
        <f>"HOME DEPOT"</f>
        <v>HOME DEPOT</v>
      </c>
    </row>
    <row r="412" spans="1:8" x14ac:dyDescent="0.25">
      <c r="E412" t="str">
        <f>""</f>
        <v/>
      </c>
      <c r="F412" t="str">
        <f>""</f>
        <v/>
      </c>
      <c r="H412" t="str">
        <f>"WALMART"</f>
        <v>WALMART</v>
      </c>
    </row>
    <row r="413" spans="1:8" x14ac:dyDescent="0.25">
      <c r="A413" t="s">
        <v>98</v>
      </c>
      <c r="B413">
        <v>83279</v>
      </c>
      <c r="C413" s="2">
        <v>79.62</v>
      </c>
      <c r="D413" s="1">
        <v>43678</v>
      </c>
      <c r="E413" t="str">
        <f>"201908010756"</f>
        <v>201908010756</v>
      </c>
      <c r="F413" t="str">
        <f>"INDIGENT HEALTH"</f>
        <v>INDIGENT HEALTH</v>
      </c>
      <c r="G413" s="2">
        <v>79.62</v>
      </c>
      <c r="H413" t="str">
        <f>"INDIGENT HEALTH"</f>
        <v>INDIGENT HEALTH</v>
      </c>
    </row>
    <row r="414" spans="1:8" x14ac:dyDescent="0.25">
      <c r="A414" t="s">
        <v>99</v>
      </c>
      <c r="B414">
        <v>83328</v>
      </c>
      <c r="C414" s="2">
        <v>1040.74</v>
      </c>
      <c r="D414" s="1">
        <v>43689</v>
      </c>
      <c r="E414" t="str">
        <f>"201907230633"</f>
        <v>201907230633</v>
      </c>
      <c r="F414" t="str">
        <f>"REIMBURSE MILEAGE/HOTEL/MEALS"</f>
        <v>REIMBURSE MILEAGE/HOTEL/MEALS</v>
      </c>
      <c r="G414" s="2">
        <v>1040.74</v>
      </c>
      <c r="H414" t="str">
        <f>"REIMBURSE MILEAGE/HOTEL/MEALS"</f>
        <v>REIMBURSE MILEAGE/HOTEL/MEALS</v>
      </c>
    </row>
    <row r="415" spans="1:8" x14ac:dyDescent="0.25">
      <c r="A415" t="s">
        <v>100</v>
      </c>
      <c r="B415">
        <v>1280</v>
      </c>
      <c r="C415" s="2">
        <v>29.15</v>
      </c>
      <c r="D415" s="1">
        <v>43704</v>
      </c>
      <c r="E415" t="str">
        <f>"TKK5400"</f>
        <v>TKK5400</v>
      </c>
      <c r="F415" t="str">
        <f>"CDW-G Order"</f>
        <v>CDW-G Order</v>
      </c>
      <c r="G415" s="2">
        <v>29.15</v>
      </c>
      <c r="H415" t="str">
        <f>"2918921"</f>
        <v>2918921</v>
      </c>
    </row>
    <row r="416" spans="1:8" x14ac:dyDescent="0.25">
      <c r="E416" t="str">
        <f>""</f>
        <v/>
      </c>
      <c r="F416" t="str">
        <f>""</f>
        <v/>
      </c>
      <c r="H416" t="str">
        <f>"UC02 Credit"</f>
        <v>UC02 Credit</v>
      </c>
    </row>
    <row r="417" spans="1:8" x14ac:dyDescent="0.25">
      <c r="E417" t="str">
        <f>""</f>
        <v/>
      </c>
      <c r="F417" t="str">
        <f>""</f>
        <v/>
      </c>
      <c r="H417" t="str">
        <f>"CR02 Credit"</f>
        <v>CR02 Credit</v>
      </c>
    </row>
    <row r="418" spans="1:8" x14ac:dyDescent="0.25">
      <c r="A418" t="s">
        <v>101</v>
      </c>
      <c r="B418">
        <v>1188</v>
      </c>
      <c r="C418" s="2">
        <v>201</v>
      </c>
      <c r="D418" s="1">
        <v>43690</v>
      </c>
      <c r="E418" t="str">
        <f>"23411 - 2"</f>
        <v>23411 - 2</v>
      </c>
      <c r="F418" t="str">
        <f>"WIDEFLANGE BEAM/PCT#2"</f>
        <v>WIDEFLANGE BEAM/PCT#2</v>
      </c>
      <c r="G418" s="2">
        <v>201</v>
      </c>
      <c r="H418" t="str">
        <f>"WIDEFLANGE BEAM/PCT#2"</f>
        <v>WIDEFLANGE BEAM/PCT#2</v>
      </c>
    </row>
    <row r="419" spans="1:8" x14ac:dyDescent="0.25">
      <c r="A419" t="s">
        <v>102</v>
      </c>
      <c r="B419">
        <v>83281</v>
      </c>
      <c r="C419" s="2">
        <v>1432.64</v>
      </c>
      <c r="D419" s="1">
        <v>43678</v>
      </c>
      <c r="E419" t="str">
        <f>"201908010759"</f>
        <v>201908010759</v>
      </c>
      <c r="F419" t="str">
        <f>"ACCT#8000081165-5 / 07232019"</f>
        <v>ACCT#8000081165-5 / 07232019</v>
      </c>
      <c r="G419" s="2">
        <v>1432.64</v>
      </c>
      <c r="H419" t="str">
        <f>"ACCT#8000081165-5 / 07232019"</f>
        <v>ACCT#8000081165-5 / 07232019</v>
      </c>
    </row>
    <row r="420" spans="1:8" x14ac:dyDescent="0.25">
      <c r="E420" t="str">
        <f>""</f>
        <v/>
      </c>
      <c r="F420" t="str">
        <f>""</f>
        <v/>
      </c>
      <c r="H420" t="str">
        <f>"ACCT#8000081165-5 / 07232019"</f>
        <v>ACCT#8000081165-5 / 07232019</v>
      </c>
    </row>
    <row r="421" spans="1:8" x14ac:dyDescent="0.25">
      <c r="A421" t="s">
        <v>102</v>
      </c>
      <c r="B421">
        <v>83728</v>
      </c>
      <c r="C421" s="2">
        <v>1389.97</v>
      </c>
      <c r="D421" s="1">
        <v>43705</v>
      </c>
      <c r="E421" t="str">
        <f>"201908281327"</f>
        <v>201908281327</v>
      </c>
      <c r="F421" t="str">
        <f>"ACCT#8000081165-5 / 08212019"</f>
        <v>ACCT#8000081165-5 / 08212019</v>
      </c>
      <c r="G421" s="2">
        <v>1389.97</v>
      </c>
      <c r="H421" t="str">
        <f>"ACCT#8000081165-5 / 08212019"</f>
        <v>ACCT#8000081165-5 / 08212019</v>
      </c>
    </row>
    <row r="422" spans="1:8" x14ac:dyDescent="0.25">
      <c r="E422" t="str">
        <f>""</f>
        <v/>
      </c>
      <c r="F422" t="str">
        <f>""</f>
        <v/>
      </c>
      <c r="H422" t="str">
        <f>"ACCT#8000081165-5 / 08212019"</f>
        <v>ACCT#8000081165-5 / 08212019</v>
      </c>
    </row>
    <row r="423" spans="1:8" x14ac:dyDescent="0.25">
      <c r="A423" t="s">
        <v>103</v>
      </c>
      <c r="B423">
        <v>83329</v>
      </c>
      <c r="C423" s="2">
        <v>1003.64</v>
      </c>
      <c r="D423" s="1">
        <v>43689</v>
      </c>
      <c r="E423" t="str">
        <f>"30133604"</f>
        <v>30133604</v>
      </c>
      <c r="F423" t="str">
        <f>"CUST#BASPCT2/ORD#37-18894/P2"</f>
        <v>CUST#BASPCT2/ORD#37-18894/P2</v>
      </c>
      <c r="G423" s="2">
        <v>1003.64</v>
      </c>
      <c r="H423" t="str">
        <f>"CUST#BASPCT2/ORD#37-18894/P2"</f>
        <v>CUST#BASPCT2/ORD#37-18894/P2</v>
      </c>
    </row>
    <row r="424" spans="1:8" x14ac:dyDescent="0.25">
      <c r="A424" t="s">
        <v>104</v>
      </c>
      <c r="B424">
        <v>83330</v>
      </c>
      <c r="C424" s="2">
        <v>450</v>
      </c>
      <c r="D424" s="1">
        <v>43689</v>
      </c>
      <c r="E424" t="str">
        <f>"201907310743"</f>
        <v>201907310743</v>
      </c>
      <c r="F424" t="str">
        <f>"19-19423"</f>
        <v>19-19423</v>
      </c>
      <c r="G424" s="2">
        <v>100</v>
      </c>
      <c r="H424" t="str">
        <f>"19-19423"</f>
        <v>19-19423</v>
      </c>
    </row>
    <row r="425" spans="1:8" x14ac:dyDescent="0.25">
      <c r="E425" t="str">
        <f>"201907310744"</f>
        <v>201907310744</v>
      </c>
      <c r="F425" t="str">
        <f>"19-19414"</f>
        <v>19-19414</v>
      </c>
      <c r="G425" s="2">
        <v>100</v>
      </c>
      <c r="H425" t="str">
        <f>"19-19414"</f>
        <v>19-19414</v>
      </c>
    </row>
    <row r="426" spans="1:8" x14ac:dyDescent="0.25">
      <c r="E426" t="str">
        <f>"201908071014"</f>
        <v>201908071014</v>
      </c>
      <c r="F426" t="str">
        <f>"56337"</f>
        <v>56337</v>
      </c>
      <c r="G426" s="2">
        <v>250</v>
      </c>
      <c r="H426" t="str">
        <f>"56337"</f>
        <v>56337</v>
      </c>
    </row>
    <row r="427" spans="1:8" x14ac:dyDescent="0.25">
      <c r="A427" t="s">
        <v>105</v>
      </c>
      <c r="B427">
        <v>1204</v>
      </c>
      <c r="C427" s="2">
        <v>5332</v>
      </c>
      <c r="D427" s="1">
        <v>43690</v>
      </c>
      <c r="E427" t="str">
        <f>"0195263-IN 0193573"</f>
        <v>0195263-IN 0193573</v>
      </c>
      <c r="F427" t="str">
        <f>"INV 0195263-IN"</f>
        <v>INV 0195263-IN</v>
      </c>
      <c r="G427" s="2">
        <v>5332</v>
      </c>
      <c r="H427" t="str">
        <f>"INV 0195263-IN"</f>
        <v>INV 0195263-IN</v>
      </c>
    </row>
    <row r="428" spans="1:8" x14ac:dyDescent="0.25">
      <c r="E428" t="str">
        <f>""</f>
        <v/>
      </c>
      <c r="F428" t="str">
        <f>""</f>
        <v/>
      </c>
      <c r="H428" t="str">
        <f>"INV 0193573-IN"</f>
        <v>INV 0193573-IN</v>
      </c>
    </row>
    <row r="429" spans="1:8" x14ac:dyDescent="0.25">
      <c r="A429" t="s">
        <v>106</v>
      </c>
      <c r="B429">
        <v>1216</v>
      </c>
      <c r="C429" s="2">
        <v>1450</v>
      </c>
      <c r="D429" s="1">
        <v>43690</v>
      </c>
      <c r="E429" t="str">
        <f>"201907250675"</f>
        <v>201907250675</v>
      </c>
      <c r="F429" t="str">
        <f>"16 851  02-0328-2"</f>
        <v>16 851  02-0328-2</v>
      </c>
      <c r="G429" s="2">
        <v>600</v>
      </c>
      <c r="H429" t="str">
        <f>"16 851  02-0328-2"</f>
        <v>16 851  02-0328-2</v>
      </c>
    </row>
    <row r="430" spans="1:8" x14ac:dyDescent="0.25">
      <c r="E430" t="str">
        <f>"201907250676"</f>
        <v>201907250676</v>
      </c>
      <c r="F430" t="str">
        <f>"1214-21"</f>
        <v>1214-21</v>
      </c>
      <c r="G430" s="2">
        <v>100</v>
      </c>
      <c r="H430" t="str">
        <f>"1214-21"</f>
        <v>1214-21</v>
      </c>
    </row>
    <row r="431" spans="1:8" x14ac:dyDescent="0.25">
      <c r="E431" t="str">
        <f>"201907250677"</f>
        <v>201907250677</v>
      </c>
      <c r="F431" t="str">
        <f>"1218-335"</f>
        <v>1218-335</v>
      </c>
      <c r="G431" s="2">
        <v>100</v>
      </c>
      <c r="H431" t="str">
        <f>"1218-335"</f>
        <v>1218-335</v>
      </c>
    </row>
    <row r="432" spans="1:8" x14ac:dyDescent="0.25">
      <c r="E432" t="str">
        <f>"201907250678"</f>
        <v>201907250678</v>
      </c>
      <c r="F432" t="str">
        <f>"423-6639  1208-335  1204-21"</f>
        <v>423-6639  1208-335  1204-21</v>
      </c>
      <c r="G432" s="2">
        <v>300</v>
      </c>
      <c r="H432" t="str">
        <f>"423-6639  1208-335  1204-21"</f>
        <v>423-6639  1208-335  1204-21</v>
      </c>
    </row>
    <row r="433" spans="1:8" x14ac:dyDescent="0.25">
      <c r="E433" t="str">
        <f>"201907310711"</f>
        <v>201907310711</v>
      </c>
      <c r="F433" t="str">
        <f>"18-18824"</f>
        <v>18-18824</v>
      </c>
      <c r="G433" s="2">
        <v>100</v>
      </c>
      <c r="H433" t="str">
        <f>"18-18824"</f>
        <v>18-18824</v>
      </c>
    </row>
    <row r="434" spans="1:8" x14ac:dyDescent="0.25">
      <c r="E434" t="str">
        <f>"201907310721"</f>
        <v>201907310721</v>
      </c>
      <c r="F434" t="str">
        <f>"JP106032019G"</f>
        <v>JP106032019G</v>
      </c>
      <c r="G434" s="2">
        <v>250</v>
      </c>
      <c r="H434" t="str">
        <f>"JP106032019G"</f>
        <v>JP106032019G</v>
      </c>
    </row>
    <row r="435" spans="1:8" x14ac:dyDescent="0.25">
      <c r="A435" t="s">
        <v>106</v>
      </c>
      <c r="B435">
        <v>1289</v>
      </c>
      <c r="C435" s="2">
        <v>800</v>
      </c>
      <c r="D435" s="1">
        <v>43704</v>
      </c>
      <c r="E435" t="str">
        <f>"201908201185"</f>
        <v>201908201185</v>
      </c>
      <c r="F435" t="str">
        <f>"1JP1811719"</f>
        <v>1JP1811719</v>
      </c>
      <c r="G435" s="2">
        <v>250</v>
      </c>
      <c r="H435" t="str">
        <f>"1JP1811719"</f>
        <v>1JP1811719</v>
      </c>
    </row>
    <row r="436" spans="1:8" x14ac:dyDescent="0.25">
      <c r="E436" t="str">
        <f>"201908201187"</f>
        <v>201908201187</v>
      </c>
      <c r="F436" t="str">
        <f>"CM20190525A"</f>
        <v>CM20190525A</v>
      </c>
      <c r="G436" s="2">
        <v>250</v>
      </c>
      <c r="H436" t="str">
        <f>"CM20190525A"</f>
        <v>CM20190525A</v>
      </c>
    </row>
    <row r="437" spans="1:8" x14ac:dyDescent="0.25">
      <c r="E437" t="str">
        <f>"201908201198"</f>
        <v>201908201198</v>
      </c>
      <c r="F437" t="str">
        <f>"19-19628"</f>
        <v>19-19628</v>
      </c>
      <c r="G437" s="2">
        <v>100</v>
      </c>
      <c r="H437" t="str">
        <f>"19-19628"</f>
        <v>19-19628</v>
      </c>
    </row>
    <row r="438" spans="1:8" x14ac:dyDescent="0.25">
      <c r="E438" t="str">
        <f>"201908201199"</f>
        <v>201908201199</v>
      </c>
      <c r="F438" t="str">
        <f>"18-19054"</f>
        <v>18-19054</v>
      </c>
      <c r="G438" s="2">
        <v>100</v>
      </c>
      <c r="H438" t="str">
        <f>"18-19054"</f>
        <v>18-19054</v>
      </c>
    </row>
    <row r="439" spans="1:8" x14ac:dyDescent="0.25">
      <c r="E439" t="str">
        <f>"201908201200"</f>
        <v>201908201200</v>
      </c>
      <c r="F439" t="str">
        <f>"19-19703"</f>
        <v>19-19703</v>
      </c>
      <c r="G439" s="2">
        <v>100</v>
      </c>
      <c r="H439" t="str">
        <f>"19-19703"</f>
        <v>19-19703</v>
      </c>
    </row>
    <row r="440" spans="1:8" x14ac:dyDescent="0.25">
      <c r="A440" t="s">
        <v>107</v>
      </c>
      <c r="B440">
        <v>1207</v>
      </c>
      <c r="C440" s="2">
        <v>932.08</v>
      </c>
      <c r="D440" s="1">
        <v>43690</v>
      </c>
      <c r="E440" t="str">
        <f>"201907250688"</f>
        <v>201907250688</v>
      </c>
      <c r="F440" t="str">
        <f>"REIMBURSE MEALS/HOTEL/MILEAGE"</f>
        <v>REIMBURSE MEALS/HOTEL/MILEAGE</v>
      </c>
      <c r="G440" s="2">
        <v>932.08</v>
      </c>
      <c r="H440" t="str">
        <f>"REIMBURSE MEALS/HOTEL/MILEAGE"</f>
        <v>REIMBURSE MEALS/HOTEL/MILEAGE</v>
      </c>
    </row>
    <row r="441" spans="1:8" x14ac:dyDescent="0.25">
      <c r="A441" t="s">
        <v>108</v>
      </c>
      <c r="B441">
        <v>83554</v>
      </c>
      <c r="C441" s="2">
        <v>140</v>
      </c>
      <c r="D441" s="1">
        <v>43703</v>
      </c>
      <c r="E441" t="str">
        <f>"201908141094"</f>
        <v>201908141094</v>
      </c>
      <c r="F441" t="str">
        <f>"PER DIEM"</f>
        <v>PER DIEM</v>
      </c>
      <c r="G441" s="2">
        <v>140</v>
      </c>
      <c r="H441" t="str">
        <f>"PER DIEM"</f>
        <v>PER DIEM</v>
      </c>
    </row>
    <row r="442" spans="1:8" x14ac:dyDescent="0.25">
      <c r="A442" t="s">
        <v>109</v>
      </c>
      <c r="B442">
        <v>83331</v>
      </c>
      <c r="C442" s="2">
        <v>179.42</v>
      </c>
      <c r="D442" s="1">
        <v>43689</v>
      </c>
      <c r="E442" t="str">
        <f>"5014386103"</f>
        <v>5014386103</v>
      </c>
      <c r="F442" t="str">
        <f>"CUST#0011167190/PCT#1"</f>
        <v>CUST#0011167190/PCT#1</v>
      </c>
      <c r="G442" s="2">
        <v>79.42</v>
      </c>
      <c r="H442" t="str">
        <f>"CUST#0011167190/PCT#1"</f>
        <v>CUST#0011167190/PCT#1</v>
      </c>
    </row>
    <row r="443" spans="1:8" x14ac:dyDescent="0.25">
      <c r="E443" t="str">
        <f>"9058492390"</f>
        <v>9058492390</v>
      </c>
      <c r="F443" t="str">
        <f>"INV 9058492390"</f>
        <v>INV 9058492390</v>
      </c>
      <c r="G443" s="2">
        <v>100</v>
      </c>
      <c r="H443" t="str">
        <f>"INV 9058492390 - LE"</f>
        <v>INV 9058492390 - LE</v>
      </c>
    </row>
    <row r="444" spans="1:8" x14ac:dyDescent="0.25">
      <c r="E444" t="str">
        <f>""</f>
        <v/>
      </c>
      <c r="F444" t="str">
        <f>""</f>
        <v/>
      </c>
      <c r="H444" t="str">
        <f>"INV 9058492390 - JAI"</f>
        <v>INV 9058492390 - JAI</v>
      </c>
    </row>
    <row r="445" spans="1:8" x14ac:dyDescent="0.25">
      <c r="A445" t="s">
        <v>110</v>
      </c>
      <c r="B445">
        <v>83332</v>
      </c>
      <c r="C445" s="2">
        <v>293.45</v>
      </c>
      <c r="D445" s="1">
        <v>43689</v>
      </c>
      <c r="E445" t="str">
        <f>"8404224049"</f>
        <v>8404224049</v>
      </c>
      <c r="F445" t="str">
        <f>"CUST#10377368/PCT#3"</f>
        <v>CUST#10377368/PCT#3</v>
      </c>
      <c r="G445" s="2">
        <v>293.45</v>
      </c>
      <c r="H445" t="str">
        <f>"CUST#10377368/PCT#3"</f>
        <v>CUST#10377368/PCT#3</v>
      </c>
    </row>
    <row r="446" spans="1:8" x14ac:dyDescent="0.25">
      <c r="A446" t="s">
        <v>111</v>
      </c>
      <c r="B446">
        <v>83333</v>
      </c>
      <c r="C446" s="2">
        <v>323.49</v>
      </c>
      <c r="D446" s="1">
        <v>43689</v>
      </c>
      <c r="E446" t="str">
        <f>"201908060951"</f>
        <v>201908060951</v>
      </c>
      <c r="F446" t="str">
        <f>"PAYER#14108463/ANIMAL SHELTER"</f>
        <v>PAYER#14108463/ANIMAL SHELTER</v>
      </c>
      <c r="G446" s="2">
        <v>323.49</v>
      </c>
      <c r="H446" t="str">
        <f>"PAYER#14108463/ANIMAL SHELTER"</f>
        <v>PAYER#14108463/ANIMAL SHELTER</v>
      </c>
    </row>
    <row r="447" spans="1:8" x14ac:dyDescent="0.25">
      <c r="A447" t="s">
        <v>110</v>
      </c>
      <c r="B447">
        <v>83555</v>
      </c>
      <c r="C447" s="2">
        <v>269.23</v>
      </c>
      <c r="D447" s="1">
        <v>43703</v>
      </c>
      <c r="E447" t="str">
        <f>"8404253211"</f>
        <v>8404253211</v>
      </c>
      <c r="F447" t="str">
        <f>"CUST#10377368/PCT#2"</f>
        <v>CUST#10377368/PCT#2</v>
      </c>
      <c r="G447" s="2">
        <v>22.18</v>
      </c>
      <c r="H447" t="str">
        <f>"CUST#10377368/PCT#2"</f>
        <v>CUST#10377368/PCT#2</v>
      </c>
    </row>
    <row r="448" spans="1:8" x14ac:dyDescent="0.25">
      <c r="E448" t="str">
        <f>"8404263076"</f>
        <v>8404263076</v>
      </c>
      <c r="F448" t="str">
        <f>"CUST#10377368/PCT#3"</f>
        <v>CUST#10377368/PCT#3</v>
      </c>
      <c r="G448" s="2">
        <v>247.05</v>
      </c>
      <c r="H448" t="str">
        <f>"CUST#10377368/PCT#3"</f>
        <v>CUST#10377368/PCT#3</v>
      </c>
    </row>
    <row r="449" spans="1:8" x14ac:dyDescent="0.25">
      <c r="A449" t="s">
        <v>111</v>
      </c>
      <c r="B449">
        <v>83556</v>
      </c>
      <c r="C449" s="2">
        <v>5473.68</v>
      </c>
      <c r="D449" s="1">
        <v>43703</v>
      </c>
      <c r="E449" t="str">
        <f>"201908141079"</f>
        <v>201908141079</v>
      </c>
      <c r="F449" t="str">
        <f>"PAYER#14108431/SIGN SHOP"</f>
        <v>PAYER#14108431/SIGN SHOP</v>
      </c>
      <c r="G449" s="2">
        <v>69.45</v>
      </c>
      <c r="H449" t="str">
        <f>"PAYER#14108431/SIGN SHOP"</f>
        <v>PAYER#14108431/SIGN SHOP</v>
      </c>
    </row>
    <row r="450" spans="1:8" x14ac:dyDescent="0.25">
      <c r="E450" t="str">
        <f>"201908141080"</f>
        <v>201908141080</v>
      </c>
      <c r="F450" t="str">
        <f>"PAYER#14108375/GEN SVCS"</f>
        <v>PAYER#14108375/GEN SVCS</v>
      </c>
      <c r="G450" s="2">
        <v>1101.3800000000001</v>
      </c>
      <c r="H450" t="str">
        <f>"PAYER#14108375/GEN SVCS"</f>
        <v>PAYER#14108375/GEN SVCS</v>
      </c>
    </row>
    <row r="451" spans="1:8" x14ac:dyDescent="0.25">
      <c r="E451" t="str">
        <f>"201908141089"</f>
        <v>201908141089</v>
      </c>
      <c r="F451" t="str">
        <f>"PAYER#14108431/PCT#1"</f>
        <v>PAYER#14108431/PCT#1</v>
      </c>
      <c r="G451" s="2">
        <v>928.15</v>
      </c>
      <c r="H451" t="str">
        <f>"PAYER#14108431/PCT#1"</f>
        <v>PAYER#14108431/PCT#1</v>
      </c>
    </row>
    <row r="452" spans="1:8" x14ac:dyDescent="0.25">
      <c r="E452" t="str">
        <f>"201908141091"</f>
        <v>201908141091</v>
      </c>
      <c r="F452" t="str">
        <f>"PAYER#14108367/PCT#2"</f>
        <v>PAYER#14108367/PCT#2</v>
      </c>
      <c r="G452" s="2">
        <v>689.68</v>
      </c>
      <c r="H452" t="str">
        <f>"PAYER#14108367/PCT#2"</f>
        <v>PAYER#14108367/PCT#2</v>
      </c>
    </row>
    <row r="453" spans="1:8" x14ac:dyDescent="0.25">
      <c r="E453" t="str">
        <f>"201908141092"</f>
        <v>201908141092</v>
      </c>
      <c r="F453" t="str">
        <f>"PAYER#14108430/PCT#4"</f>
        <v>PAYER#14108430/PCT#4</v>
      </c>
      <c r="G453" s="2">
        <v>2685.02</v>
      </c>
      <c r="H453" t="str">
        <f>"PAYER#14108430/PCT#4"</f>
        <v>PAYER#14108430/PCT#4</v>
      </c>
    </row>
    <row r="454" spans="1:8" x14ac:dyDescent="0.25">
      <c r="A454" t="s">
        <v>112</v>
      </c>
      <c r="B454">
        <v>83284</v>
      </c>
      <c r="C454" s="2">
        <v>53895.64</v>
      </c>
      <c r="D454" s="1">
        <v>43685</v>
      </c>
      <c r="E454" t="str">
        <f>"201908081050"</f>
        <v>201908081050</v>
      </c>
      <c r="F454" t="str">
        <f>"ACCT#02-2083-04 / 07292019"</f>
        <v>ACCT#02-2083-04 / 07292019</v>
      </c>
      <c r="G454" s="2">
        <v>6405.78</v>
      </c>
      <c r="H454" t="str">
        <f>"ACCT#02-2083-04 / 07292019"</f>
        <v>ACCT#02-2083-04 / 07292019</v>
      </c>
    </row>
    <row r="455" spans="1:8" x14ac:dyDescent="0.25">
      <c r="E455" t="str">
        <f>"201908081051"</f>
        <v>201908081051</v>
      </c>
      <c r="F455" t="str">
        <f>"COUNTY DEV CTR / 07292019"</f>
        <v>COUNTY DEV CTR / 07292019</v>
      </c>
      <c r="G455" s="2">
        <v>2241.6799999999998</v>
      </c>
      <c r="H455" t="str">
        <f>"COUNTY DEV CTR / 07292019"</f>
        <v>COUNTY DEV CTR / 07292019</v>
      </c>
    </row>
    <row r="456" spans="1:8" x14ac:dyDescent="0.25">
      <c r="E456" t="str">
        <f>"201908081052"</f>
        <v>201908081052</v>
      </c>
      <c r="F456" t="str">
        <f>"COUNTY LAW ENF CTR / 07292019"</f>
        <v>COUNTY LAW ENF CTR / 07292019</v>
      </c>
      <c r="G456" s="2">
        <v>28802.95</v>
      </c>
      <c r="H456" t="str">
        <f>"COUNTY LAW ENF CTR / 07292019"</f>
        <v>COUNTY LAW ENF CTR / 07292019</v>
      </c>
    </row>
    <row r="457" spans="1:8" x14ac:dyDescent="0.25">
      <c r="E457" t="str">
        <f>"201908081053"</f>
        <v>201908081053</v>
      </c>
      <c r="F457" t="str">
        <f>"BASTROP COURTHOUSE / 07292019"</f>
        <v>BASTROP COURTHOUSE / 07292019</v>
      </c>
      <c r="G457" s="2">
        <v>16445.23</v>
      </c>
      <c r="H457" t="str">
        <f>"BASTROP COURTHOUSE / 07292019"</f>
        <v>BASTROP COURTHOUSE / 07292019</v>
      </c>
    </row>
    <row r="458" spans="1:8" x14ac:dyDescent="0.25">
      <c r="A458" t="s">
        <v>112</v>
      </c>
      <c r="B458">
        <v>83557</v>
      </c>
      <c r="C458" s="2">
        <v>750</v>
      </c>
      <c r="D458" s="1">
        <v>43703</v>
      </c>
      <c r="E458" t="str">
        <f>"201908151112"</f>
        <v>201908151112</v>
      </c>
      <c r="F458" t="str">
        <f>"RENTAL-PARKING LOT"</f>
        <v>RENTAL-PARKING LOT</v>
      </c>
      <c r="G458" s="2">
        <v>750</v>
      </c>
      <c r="H458" t="str">
        <f>"RENTAL-PARKING LOT"</f>
        <v>RENTAL-PARKING LOT</v>
      </c>
    </row>
    <row r="459" spans="1:8" x14ac:dyDescent="0.25">
      <c r="A459" t="s">
        <v>113</v>
      </c>
      <c r="B459">
        <v>83282</v>
      </c>
      <c r="C459" s="2">
        <v>1969.08</v>
      </c>
      <c r="D459" s="1">
        <v>43678</v>
      </c>
      <c r="E459" t="str">
        <f>"201908010760"</f>
        <v>201908010760</v>
      </c>
      <c r="F459" t="str">
        <f>"ACCT#007-0000388-000/07252019"</f>
        <v>ACCT#007-0000388-000/07252019</v>
      </c>
      <c r="G459" s="2">
        <v>676.43</v>
      </c>
      <c r="H459" t="str">
        <f>"ACCT#007-0000388-000/07252019"</f>
        <v>ACCT#007-0000388-000/07252019</v>
      </c>
    </row>
    <row r="460" spans="1:8" x14ac:dyDescent="0.25">
      <c r="E460" t="str">
        <f>"201908010761"</f>
        <v>201908010761</v>
      </c>
      <c r="F460" t="str">
        <f>"ACCT#007-0000389-000/07252019"</f>
        <v>ACCT#007-0000389-000/07252019</v>
      </c>
      <c r="G460" s="2">
        <v>54.05</v>
      </c>
      <c r="H460" t="str">
        <f>"ACCT#007-0000389-000/07252019"</f>
        <v>ACCT#007-0000389-000/07252019</v>
      </c>
    </row>
    <row r="461" spans="1:8" x14ac:dyDescent="0.25">
      <c r="E461" t="str">
        <f>"201908010762"</f>
        <v>201908010762</v>
      </c>
      <c r="F461" t="str">
        <f>"ACCT#044-0001240-000/07252019"</f>
        <v>ACCT#044-0001240-000/07252019</v>
      </c>
      <c r="G461" s="2">
        <v>411.71</v>
      </c>
      <c r="H461" t="str">
        <f>"ACCT#044-0001240-000/07252019"</f>
        <v>ACCT#044-0001240-000/07252019</v>
      </c>
    </row>
    <row r="462" spans="1:8" x14ac:dyDescent="0.25">
      <c r="E462" t="str">
        <f>"201908010763"</f>
        <v>201908010763</v>
      </c>
      <c r="F462" t="str">
        <f>"ACCT#044-0001250-000/07252019"</f>
        <v>ACCT#044-0001250-000/07252019</v>
      </c>
      <c r="G462" s="2">
        <v>76.41</v>
      </c>
      <c r="H462" t="str">
        <f>"ACCT#044-0001250-000/07252019"</f>
        <v>ACCT#044-0001250-000/07252019</v>
      </c>
    </row>
    <row r="463" spans="1:8" x14ac:dyDescent="0.25">
      <c r="E463" t="str">
        <f>"201908010764"</f>
        <v>201908010764</v>
      </c>
      <c r="F463" t="str">
        <f>"ACCT#044-0001252-000/07252019"</f>
        <v>ACCT#044-0001252-000/07252019</v>
      </c>
      <c r="G463" s="2">
        <v>709.22</v>
      </c>
      <c r="H463" t="str">
        <f>"ACCT#044-0001252-000/07252019"</f>
        <v>ACCT#044-0001252-000/07252019</v>
      </c>
    </row>
    <row r="464" spans="1:8" x14ac:dyDescent="0.25">
      <c r="E464" t="str">
        <f>"201908010765"</f>
        <v>201908010765</v>
      </c>
      <c r="F464" t="str">
        <f>"ACCT#044-0001253-000/07252019"</f>
        <v>ACCT#044-0001253-000/07252019</v>
      </c>
      <c r="G464" s="2">
        <v>41.26</v>
      </c>
      <c r="H464" t="str">
        <f>"ACCT#044-0001253-000/07252019"</f>
        <v>ACCT#044-0001253-000/07252019</v>
      </c>
    </row>
    <row r="465" spans="1:8" x14ac:dyDescent="0.25">
      <c r="A465" t="s">
        <v>114</v>
      </c>
      <c r="B465">
        <v>1262</v>
      </c>
      <c r="C465" s="2">
        <v>477.17</v>
      </c>
      <c r="D465" s="1">
        <v>43704</v>
      </c>
      <c r="E465" t="str">
        <f>"201907-0"</f>
        <v>201907-0</v>
      </c>
      <c r="F465" t="str">
        <f>"INV 201907-0"</f>
        <v>INV 201907-0</v>
      </c>
      <c r="G465" s="2">
        <v>66.599999999999994</v>
      </c>
      <c r="H465" t="str">
        <f>"INV 201907-0"</f>
        <v>INV 201907-0</v>
      </c>
    </row>
    <row r="466" spans="1:8" x14ac:dyDescent="0.25">
      <c r="E466" t="str">
        <f>"201908201158"</f>
        <v>201908201158</v>
      </c>
      <c r="F466" t="str">
        <f>"INDIGENT HEALTH"</f>
        <v>INDIGENT HEALTH</v>
      </c>
      <c r="G466" s="2">
        <v>410.57</v>
      </c>
      <c r="H466" t="str">
        <f>"INDIGENT HEALTH"</f>
        <v>INDIGENT HEALTH</v>
      </c>
    </row>
    <row r="467" spans="1:8" x14ac:dyDescent="0.25">
      <c r="A467" t="s">
        <v>115</v>
      </c>
      <c r="B467">
        <v>83558</v>
      </c>
      <c r="C467" s="2">
        <v>11347</v>
      </c>
      <c r="D467" s="1">
        <v>43703</v>
      </c>
      <c r="E467" t="str">
        <f>"221345-2-001"</f>
        <v>221345-2-001</v>
      </c>
      <c r="F467" t="str">
        <f>"INV 221345-2-001"</f>
        <v>INV 221345-2-001</v>
      </c>
      <c r="G467" s="2">
        <v>11347</v>
      </c>
      <c r="H467" t="str">
        <f>"INV 221345-2-001"</f>
        <v>INV 221345-2-001</v>
      </c>
    </row>
    <row r="468" spans="1:8" x14ac:dyDescent="0.25">
      <c r="A468" t="s">
        <v>116</v>
      </c>
      <c r="B468">
        <v>83334</v>
      </c>
      <c r="C468" s="2">
        <v>356</v>
      </c>
      <c r="D468" s="1">
        <v>43689</v>
      </c>
      <c r="E468" t="str">
        <f>"201908060911"</f>
        <v>201908060911</v>
      </c>
      <c r="F468" t="str">
        <f>"BOND#71174567"</f>
        <v>BOND#71174567</v>
      </c>
      <c r="G468" s="2">
        <v>356</v>
      </c>
      <c r="H468" t="str">
        <f>"BOND#71174567"</f>
        <v>BOND#71174567</v>
      </c>
    </row>
    <row r="469" spans="1:8" x14ac:dyDescent="0.25">
      <c r="A469" t="s">
        <v>117</v>
      </c>
      <c r="B469">
        <v>83335</v>
      </c>
      <c r="C469" s="2">
        <v>719.26</v>
      </c>
      <c r="D469" s="1">
        <v>43689</v>
      </c>
      <c r="E469" t="str">
        <f>"0561504-IN 0561502"</f>
        <v>0561504-IN 0561502</v>
      </c>
      <c r="F469" t="str">
        <f>"INV 0561504-IN"</f>
        <v>INV 0561504-IN</v>
      </c>
      <c r="G469" s="2">
        <v>719.26</v>
      </c>
      <c r="H469" t="str">
        <f>"INV 0561504-IN"</f>
        <v>INV 0561504-IN</v>
      </c>
    </row>
    <row r="470" spans="1:8" x14ac:dyDescent="0.25">
      <c r="E470" t="str">
        <f>""</f>
        <v/>
      </c>
      <c r="F470" t="str">
        <f>""</f>
        <v/>
      </c>
      <c r="H470" t="str">
        <f>"INV 0561502-IN"</f>
        <v>INV 0561502-IN</v>
      </c>
    </row>
    <row r="471" spans="1:8" x14ac:dyDescent="0.25">
      <c r="A471" t="s">
        <v>117</v>
      </c>
      <c r="B471">
        <v>83559</v>
      </c>
      <c r="C471" s="2">
        <v>293</v>
      </c>
      <c r="D471" s="1">
        <v>43703</v>
      </c>
      <c r="E471" t="str">
        <f>"0564653-IN"</f>
        <v>0564653-IN</v>
      </c>
      <c r="F471" t="str">
        <f>"INV 0564653-IN"</f>
        <v>INV 0564653-IN</v>
      </c>
      <c r="G471" s="2">
        <v>293</v>
      </c>
      <c r="H471" t="str">
        <f>"INV 0564653-IN"</f>
        <v>INV 0564653-IN</v>
      </c>
    </row>
    <row r="472" spans="1:8" x14ac:dyDescent="0.25">
      <c r="A472" t="s">
        <v>118</v>
      </c>
      <c r="B472">
        <v>1156</v>
      </c>
      <c r="C472" s="2">
        <v>220</v>
      </c>
      <c r="D472" s="1">
        <v>43690</v>
      </c>
      <c r="E472" t="str">
        <f>"12457921243"</f>
        <v>12457921243</v>
      </c>
      <c r="F472" t="str">
        <f>"INV 12457921243"</f>
        <v>INV 12457921243</v>
      </c>
      <c r="G472" s="2">
        <v>220</v>
      </c>
      <c r="H472" t="str">
        <f>"INV 12457921243"</f>
        <v>INV 12457921243</v>
      </c>
    </row>
    <row r="473" spans="1:8" x14ac:dyDescent="0.25">
      <c r="A473" t="s">
        <v>119</v>
      </c>
      <c r="B473">
        <v>1242</v>
      </c>
      <c r="C473" s="2">
        <v>211.28</v>
      </c>
      <c r="D473" s="1">
        <v>43704</v>
      </c>
      <c r="E473" t="str">
        <f>"201908201160"</f>
        <v>201908201160</v>
      </c>
      <c r="F473" t="str">
        <f>"INDIGENT HEALTH"</f>
        <v>INDIGENT HEALTH</v>
      </c>
      <c r="G473" s="2">
        <v>211.28</v>
      </c>
      <c r="H473" t="str">
        <f>"INDIGENT HEALTH"</f>
        <v>INDIGENT HEALTH</v>
      </c>
    </row>
    <row r="474" spans="1:8" x14ac:dyDescent="0.25">
      <c r="E474" t="str">
        <f>""</f>
        <v/>
      </c>
      <c r="F474" t="str">
        <f>""</f>
        <v/>
      </c>
      <c r="H474" t="str">
        <f>"INDIGENT HEALTH"</f>
        <v>INDIGENT HEALTH</v>
      </c>
    </row>
    <row r="475" spans="1:8" x14ac:dyDescent="0.25">
      <c r="A475" t="s">
        <v>120</v>
      </c>
      <c r="B475">
        <v>83560</v>
      </c>
      <c r="C475" s="2">
        <v>2610.96</v>
      </c>
      <c r="D475" s="1">
        <v>43703</v>
      </c>
      <c r="E475" t="str">
        <f>"18933690"</f>
        <v>18933690</v>
      </c>
      <c r="F475" t="str">
        <f>"ACCT#434304/TREASURER"</f>
        <v>ACCT#434304/TREASURER</v>
      </c>
      <c r="G475" s="2">
        <v>2610.96</v>
      </c>
      <c r="H475" t="str">
        <f>"ACCT#434304/TREASURER"</f>
        <v>ACCT#434304/TREASURER</v>
      </c>
    </row>
    <row r="476" spans="1:8" x14ac:dyDescent="0.25">
      <c r="A476" t="s">
        <v>121</v>
      </c>
      <c r="B476">
        <v>1187</v>
      </c>
      <c r="C476" s="2">
        <v>15482.48</v>
      </c>
      <c r="D476" s="1">
        <v>43690</v>
      </c>
      <c r="E476" t="str">
        <f>"IG00109"</f>
        <v>IG00109</v>
      </c>
      <c r="F476" t="str">
        <f>"COOPER EQUIPMENT CO."</f>
        <v>COOPER EQUIPMENT CO.</v>
      </c>
      <c r="G476" s="2">
        <v>9025</v>
      </c>
      <c r="H476" t="str">
        <f>"Cutter Bits"</f>
        <v>Cutter Bits</v>
      </c>
    </row>
    <row r="477" spans="1:8" x14ac:dyDescent="0.25">
      <c r="E477" t="str">
        <f>"IG00123"</f>
        <v>IG00123</v>
      </c>
      <c r="F477" t="str">
        <f>"ACCT#353/PART CHRG/PCT#2"</f>
        <v>ACCT#353/PART CHRG/PCT#2</v>
      </c>
      <c r="G477" s="2">
        <v>92.5</v>
      </c>
      <c r="H477" t="str">
        <f>"ACCT#353/PART CHRG/PCT#2"</f>
        <v>ACCT#353/PART CHRG/PCT#2</v>
      </c>
    </row>
    <row r="478" spans="1:8" x14ac:dyDescent="0.25">
      <c r="E478" t="str">
        <f>"IN49610"</f>
        <v>IN49610</v>
      </c>
      <c r="F478" t="str">
        <f>"ACCT#353/SHIPPING/FREIGHT/P1"</f>
        <v>ACCT#353/SHIPPING/FREIGHT/P1</v>
      </c>
      <c r="G478" s="2">
        <v>316.62</v>
      </c>
      <c r="H478" t="str">
        <f>"ACCT#353/SHIPPING/FREIGHT/P1"</f>
        <v>ACCT#353/SHIPPING/FREIGHT/P1</v>
      </c>
    </row>
    <row r="479" spans="1:8" x14ac:dyDescent="0.25">
      <c r="E479" t="str">
        <f>"IN49613"</f>
        <v>IN49613</v>
      </c>
      <c r="F479" t="str">
        <f>"ACCT#353/PARTS/PCT#1"</f>
        <v>ACCT#353/PARTS/PCT#1</v>
      </c>
      <c r="G479" s="2">
        <v>243.41</v>
      </c>
      <c r="H479" t="str">
        <f>"ACCT#353/PARTS/PCT#1"</f>
        <v>ACCT#353/PARTS/PCT#1</v>
      </c>
    </row>
    <row r="480" spans="1:8" x14ac:dyDescent="0.25">
      <c r="E480" t="str">
        <f>"IN49686"</f>
        <v>IN49686</v>
      </c>
      <c r="F480" t="str">
        <f>"ACCT#353/PARTS/PCT#1"</f>
        <v>ACCT#353/PARTS/PCT#1</v>
      </c>
      <c r="G480" s="2">
        <v>193.55</v>
      </c>
      <c r="H480" t="str">
        <f>"ACCT#353/PARTS/PCT#1"</f>
        <v>ACCT#353/PARTS/PCT#1</v>
      </c>
    </row>
    <row r="481" spans="1:8" x14ac:dyDescent="0.25">
      <c r="E481" t="str">
        <f>"IN49800"</f>
        <v>IN49800</v>
      </c>
      <c r="F481" t="str">
        <f>"ACCT#353/PART CHRG/PCT#2"</f>
        <v>ACCT#353/PART CHRG/PCT#2</v>
      </c>
      <c r="G481" s="2">
        <v>488.46</v>
      </c>
      <c r="H481" t="str">
        <f>"ACCT#353/PART CHRG/PCT#2"</f>
        <v>ACCT#353/PART CHRG/PCT#2</v>
      </c>
    </row>
    <row r="482" spans="1:8" x14ac:dyDescent="0.25">
      <c r="E482" t="str">
        <f>"WG00565"</f>
        <v>WG00565</v>
      </c>
      <c r="F482" t="str">
        <f>"ACCT#353/LABOR/MILEAGE/PCT#4"</f>
        <v>ACCT#353/LABOR/MILEAGE/PCT#4</v>
      </c>
      <c r="G482" s="2">
        <v>1330.64</v>
      </c>
      <c r="H482" t="str">
        <f>"ACCT#353/LABOR/MILEAGE/PCT#4"</f>
        <v>ACCT#353/LABOR/MILEAGE/PCT#4</v>
      </c>
    </row>
    <row r="483" spans="1:8" x14ac:dyDescent="0.25">
      <c r="E483" t="str">
        <f>"WG00568"</f>
        <v>WG00568</v>
      </c>
      <c r="F483" t="str">
        <f>"ACCT#353/LABOR/MILEAGE/PCT#4"</f>
        <v>ACCT#353/LABOR/MILEAGE/PCT#4</v>
      </c>
      <c r="G483" s="2">
        <v>2181.17</v>
      </c>
      <c r="H483" t="str">
        <f>"ACCT#353/LABOR/MILEAGE/PCT#4"</f>
        <v>ACCT#353/LABOR/MILEAGE/PCT#4</v>
      </c>
    </row>
    <row r="484" spans="1:8" x14ac:dyDescent="0.25">
      <c r="E484" t="str">
        <f>"WG00569"</f>
        <v>WG00569</v>
      </c>
      <c r="F484" t="str">
        <f>"REPAIR/MILEAGE/PCT#1"</f>
        <v>REPAIR/MILEAGE/PCT#1</v>
      </c>
      <c r="G484" s="2">
        <v>969.13</v>
      </c>
      <c r="H484" t="str">
        <f>"REPAIR/MILEAGE/PCT#1"</f>
        <v>REPAIR/MILEAGE/PCT#1</v>
      </c>
    </row>
    <row r="485" spans="1:8" x14ac:dyDescent="0.25">
      <c r="E485" t="str">
        <f>"WG00570"</f>
        <v>WG00570</v>
      </c>
      <c r="F485" t="str">
        <f>"ACCT#353/LABOR/MILEAGE/PCT#3"</f>
        <v>ACCT#353/LABOR/MILEAGE/PCT#3</v>
      </c>
      <c r="G485" s="2">
        <v>642</v>
      </c>
      <c r="H485" t="str">
        <f>"ACCT#353/LABOR/MILEAGE/PCT#3"</f>
        <v>ACCT#353/LABOR/MILEAGE/PCT#3</v>
      </c>
    </row>
    <row r="486" spans="1:8" x14ac:dyDescent="0.25">
      <c r="A486" t="s">
        <v>121</v>
      </c>
      <c r="B486">
        <v>1261</v>
      </c>
      <c r="C486" s="2">
        <v>555</v>
      </c>
      <c r="D486" s="1">
        <v>43704</v>
      </c>
      <c r="E486" t="str">
        <f>"IG00136"</f>
        <v>IG00136</v>
      </c>
      <c r="F486" t="str">
        <f>"ACCT#353/PCT#3"</f>
        <v>ACCT#353/PCT#3</v>
      </c>
      <c r="G486" s="2">
        <v>555</v>
      </c>
      <c r="H486" t="str">
        <f>"ACCT#353/PCT#3"</f>
        <v>ACCT#353/PCT#3</v>
      </c>
    </row>
    <row r="487" spans="1:8" x14ac:dyDescent="0.25">
      <c r="A487" t="s">
        <v>122</v>
      </c>
      <c r="B487">
        <v>83561</v>
      </c>
      <c r="C487" s="2">
        <v>600</v>
      </c>
      <c r="D487" s="1">
        <v>43703</v>
      </c>
      <c r="E487" t="str">
        <f>"201908211229"</f>
        <v>201908211229</v>
      </c>
      <c r="F487" t="str">
        <f>"CORRECTEK  INC."</f>
        <v>CORRECTEK  INC.</v>
      </c>
      <c r="G487" s="2">
        <v>600</v>
      </c>
      <c r="H487" t="str">
        <f>""</f>
        <v/>
      </c>
    </row>
    <row r="488" spans="1:8" x14ac:dyDescent="0.25">
      <c r="A488" t="s">
        <v>123</v>
      </c>
      <c r="B488">
        <v>83336</v>
      </c>
      <c r="C488" s="2">
        <v>150</v>
      </c>
      <c r="D488" s="1">
        <v>43689</v>
      </c>
      <c r="E488" t="str">
        <f>"13061"</f>
        <v>13061</v>
      </c>
      <c r="F488" t="str">
        <f>"SERVICE"</f>
        <v>SERVICE</v>
      </c>
      <c r="G488" s="2">
        <v>150</v>
      </c>
      <c r="H488" t="str">
        <f>"SERVICE"</f>
        <v>SERVICE</v>
      </c>
    </row>
    <row r="489" spans="1:8" x14ac:dyDescent="0.25">
      <c r="A489" t="s">
        <v>123</v>
      </c>
      <c r="B489">
        <v>83562</v>
      </c>
      <c r="C489" s="2">
        <v>225</v>
      </c>
      <c r="D489" s="1">
        <v>43703</v>
      </c>
      <c r="E489" t="str">
        <f>"13025"</f>
        <v>13025</v>
      </c>
      <c r="F489" t="str">
        <f>"SERVICE"</f>
        <v>SERVICE</v>
      </c>
      <c r="G489" s="2">
        <v>75</v>
      </c>
      <c r="H489" t="str">
        <f>"SERVICE"</f>
        <v>SERVICE</v>
      </c>
    </row>
    <row r="490" spans="1:8" x14ac:dyDescent="0.25">
      <c r="E490" t="str">
        <f>"13068"</f>
        <v>13068</v>
      </c>
      <c r="F490" t="str">
        <f>"SERVICE"</f>
        <v>SERVICE</v>
      </c>
      <c r="G490" s="2">
        <v>75</v>
      </c>
      <c r="H490" t="str">
        <f>"SERVICE"</f>
        <v>SERVICE</v>
      </c>
    </row>
    <row r="491" spans="1:8" x14ac:dyDescent="0.25">
      <c r="E491" t="str">
        <f>"13104"</f>
        <v>13104</v>
      </c>
      <c r="F491" t="str">
        <f>"SERVICE"</f>
        <v>SERVICE</v>
      </c>
      <c r="G491" s="2">
        <v>75</v>
      </c>
      <c r="H491" t="str">
        <f>"SERVICE"</f>
        <v>SERVICE</v>
      </c>
    </row>
    <row r="492" spans="1:8" x14ac:dyDescent="0.25">
      <c r="A492" t="s">
        <v>124</v>
      </c>
      <c r="B492">
        <v>1260</v>
      </c>
      <c r="C492" s="2">
        <v>354.39</v>
      </c>
      <c r="D492" s="1">
        <v>43704</v>
      </c>
      <c r="E492" t="str">
        <f>"241324"</f>
        <v>241324</v>
      </c>
      <c r="F492" t="str">
        <f>"CUST#4011/PCT#3"</f>
        <v>CUST#4011/PCT#3</v>
      </c>
      <c r="G492" s="2">
        <v>49.24</v>
      </c>
      <c r="H492" t="str">
        <f>"CUST#4011/PCT#3"</f>
        <v>CUST#4011/PCT#3</v>
      </c>
    </row>
    <row r="493" spans="1:8" x14ac:dyDescent="0.25">
      <c r="E493" t="str">
        <f>"241406 CVR"</f>
        <v>241406 CVR</v>
      </c>
      <c r="F493" t="str">
        <f>"CUST#123072/PCT#3"</f>
        <v>CUST#123072/PCT#3</v>
      </c>
      <c r="G493" s="2">
        <v>116.32</v>
      </c>
      <c r="H493" t="str">
        <f>"CUST#123072/PCT#3"</f>
        <v>CUST#123072/PCT#3</v>
      </c>
    </row>
    <row r="494" spans="1:8" x14ac:dyDescent="0.25">
      <c r="E494" t="str">
        <f>"CTCS538327"</f>
        <v>CTCS538327</v>
      </c>
      <c r="F494" t="str">
        <f>"CUST#58312/2018 CHEV/EXT SVC"</f>
        <v>CUST#58312/2018 CHEV/EXT SVC</v>
      </c>
      <c r="G494" s="2">
        <v>188.83</v>
      </c>
      <c r="H494" t="str">
        <f>"CUST#58312/2018 CHEV/EXT SVC"</f>
        <v>CUST#58312/2018 CHEV/EXT SVC</v>
      </c>
    </row>
    <row r="495" spans="1:8" x14ac:dyDescent="0.25">
      <c r="A495" t="s">
        <v>125</v>
      </c>
      <c r="B495">
        <v>83366</v>
      </c>
      <c r="C495" s="2">
        <v>4676.17</v>
      </c>
      <c r="D495" s="1">
        <v>43689</v>
      </c>
      <c r="E495" t="str">
        <f>"RL55473"</f>
        <v>RL55473</v>
      </c>
      <c r="F495" t="str">
        <f>"inv# RL55473"</f>
        <v>inv# RL55473</v>
      </c>
      <c r="G495" s="2">
        <v>3187.7</v>
      </c>
      <c r="H495" t="str">
        <f>"Disinfectant"</f>
        <v>Disinfectant</v>
      </c>
    </row>
    <row r="496" spans="1:8" x14ac:dyDescent="0.25">
      <c r="E496" t="str">
        <f>""</f>
        <v/>
      </c>
      <c r="F496" t="str">
        <f>""</f>
        <v/>
      </c>
      <c r="H496" t="str">
        <f>"shiping"</f>
        <v>shiping</v>
      </c>
    </row>
    <row r="497" spans="1:8" x14ac:dyDescent="0.25">
      <c r="E497" t="str">
        <f>"RM18017"</f>
        <v>RM18017</v>
      </c>
      <c r="F497" t="str">
        <f>"ACCT#68930-000/ANIMAL SVCS"</f>
        <v>ACCT#68930-000/ANIMAL SVCS</v>
      </c>
      <c r="G497" s="2">
        <v>519.38</v>
      </c>
      <c r="H497" t="str">
        <f t="shared" ref="H497:H505" si="10">"ACCT#68930-000/ANIMAL SVCS"</f>
        <v>ACCT#68930-000/ANIMAL SVCS</v>
      </c>
    </row>
    <row r="498" spans="1:8" x14ac:dyDescent="0.25">
      <c r="E498" t="str">
        <f>""</f>
        <v/>
      </c>
      <c r="F498" t="str">
        <f>""</f>
        <v/>
      </c>
      <c r="H498" t="str">
        <f t="shared" si="10"/>
        <v>ACCT#68930-000/ANIMAL SVCS</v>
      </c>
    </row>
    <row r="499" spans="1:8" x14ac:dyDescent="0.25">
      <c r="E499" t="str">
        <f>"RM28715"</f>
        <v>RM28715</v>
      </c>
      <c r="F499" t="str">
        <f t="shared" ref="F499:F505" si="11">"ACCT#68930-000/ANIMAL SVCS"</f>
        <v>ACCT#68930-000/ANIMAL SVCS</v>
      </c>
      <c r="G499" s="2">
        <v>92.64</v>
      </c>
      <c r="H499" t="str">
        <f t="shared" si="10"/>
        <v>ACCT#68930-000/ANIMAL SVCS</v>
      </c>
    </row>
    <row r="500" spans="1:8" x14ac:dyDescent="0.25">
      <c r="E500" t="str">
        <f>"RM47926"</f>
        <v>RM47926</v>
      </c>
      <c r="F500" t="str">
        <f t="shared" si="11"/>
        <v>ACCT#68930-000/ANIMAL SVCS</v>
      </c>
      <c r="G500" s="2">
        <v>167.41</v>
      </c>
      <c r="H500" t="str">
        <f t="shared" si="10"/>
        <v>ACCT#68930-000/ANIMAL SVCS</v>
      </c>
    </row>
    <row r="501" spans="1:8" x14ac:dyDescent="0.25">
      <c r="E501" t="str">
        <f>"RM60068"</f>
        <v>RM60068</v>
      </c>
      <c r="F501" t="str">
        <f t="shared" si="11"/>
        <v>ACCT#68930-000/ANIMAL SVCS</v>
      </c>
      <c r="G501" s="2">
        <v>466.44</v>
      </c>
      <c r="H501" t="str">
        <f t="shared" si="10"/>
        <v>ACCT#68930-000/ANIMAL SVCS</v>
      </c>
    </row>
    <row r="502" spans="1:8" x14ac:dyDescent="0.25">
      <c r="E502" t="str">
        <f>"RM70265"</f>
        <v>RM70265</v>
      </c>
      <c r="F502" t="str">
        <f t="shared" si="11"/>
        <v>ACCT#68930-000/ANIMAL SVCS</v>
      </c>
      <c r="G502" s="2">
        <v>242.6</v>
      </c>
      <c r="H502" t="str">
        <f t="shared" si="10"/>
        <v>ACCT#68930-000/ANIMAL SVCS</v>
      </c>
    </row>
    <row r="503" spans="1:8" x14ac:dyDescent="0.25">
      <c r="A503" t="s">
        <v>125</v>
      </c>
      <c r="B503">
        <v>83563</v>
      </c>
      <c r="C503" s="2">
        <v>835.51</v>
      </c>
      <c r="D503" s="1">
        <v>43703</v>
      </c>
      <c r="E503" t="str">
        <f>"RN74295"</f>
        <v>RN74295</v>
      </c>
      <c r="F503" t="str">
        <f t="shared" si="11"/>
        <v>ACCT#68930-000/ANIMAL SVCS</v>
      </c>
      <c r="G503" s="2">
        <v>404.33</v>
      </c>
      <c r="H503" t="str">
        <f t="shared" si="10"/>
        <v>ACCT#68930-000/ANIMAL SVCS</v>
      </c>
    </row>
    <row r="504" spans="1:8" x14ac:dyDescent="0.25">
      <c r="E504" t="str">
        <f>"RP24685"</f>
        <v>RP24685</v>
      </c>
      <c r="F504" t="str">
        <f t="shared" si="11"/>
        <v>ACCT#68930-000/ANIMAL SVCS</v>
      </c>
      <c r="G504" s="2">
        <v>397.88</v>
      </c>
      <c r="H504" t="str">
        <f t="shared" si="10"/>
        <v>ACCT#68930-000/ANIMAL SVCS</v>
      </c>
    </row>
    <row r="505" spans="1:8" x14ac:dyDescent="0.25">
      <c r="E505" t="str">
        <f>"RP27543"</f>
        <v>RP27543</v>
      </c>
      <c r="F505" t="str">
        <f t="shared" si="11"/>
        <v>ACCT#68930-000/ANIMAL SVCS</v>
      </c>
      <c r="G505" s="2">
        <v>33.299999999999997</v>
      </c>
      <c r="H505" t="str">
        <f t="shared" si="10"/>
        <v>ACCT#68930-000/ANIMAL SVCS</v>
      </c>
    </row>
    <row r="506" spans="1:8" x14ac:dyDescent="0.25">
      <c r="A506" t="s">
        <v>126</v>
      </c>
      <c r="B506">
        <v>83337</v>
      </c>
      <c r="C506" s="2">
        <v>1500</v>
      </c>
      <c r="D506" s="1">
        <v>43689</v>
      </c>
      <c r="E506" t="str">
        <f>"201908071038"</f>
        <v>201908071038</v>
      </c>
      <c r="F506" t="str">
        <f>"JULY INVOICE"</f>
        <v>JULY INVOICE</v>
      </c>
      <c r="G506" s="2">
        <v>1500</v>
      </c>
      <c r="H506" t="str">
        <f>"JULY INVOICE"</f>
        <v>JULY INVOICE</v>
      </c>
    </row>
    <row r="507" spans="1:8" x14ac:dyDescent="0.25">
      <c r="A507" t="s">
        <v>127</v>
      </c>
      <c r="B507">
        <v>83338</v>
      </c>
      <c r="C507" s="2">
        <v>1585.84</v>
      </c>
      <c r="D507" s="1">
        <v>43689</v>
      </c>
      <c r="E507" t="str">
        <f>"8291 1919 6191 648"</f>
        <v>8291 1919 6191 648</v>
      </c>
      <c r="F507" t="str">
        <f>"CONTRACT#042-1434-2"</f>
        <v>CONTRACT#042-1434-2</v>
      </c>
      <c r="G507" s="2">
        <v>1585.84</v>
      </c>
      <c r="H507" t="str">
        <f>"CONTRACT#042-1434-2"</f>
        <v>CONTRACT#042-1434-2</v>
      </c>
    </row>
    <row r="508" spans="1:8" x14ac:dyDescent="0.25">
      <c r="A508" t="s">
        <v>128</v>
      </c>
      <c r="B508">
        <v>83339</v>
      </c>
      <c r="C508" s="2">
        <v>9100</v>
      </c>
      <c r="D508" s="1">
        <v>43689</v>
      </c>
      <c r="E508" t="str">
        <f>"1208"</f>
        <v>1208</v>
      </c>
      <c r="F508" t="str">
        <f>"SITE WORK/PCT#1"</f>
        <v>SITE WORK/PCT#1</v>
      </c>
      <c r="G508" s="2">
        <v>9100</v>
      </c>
      <c r="H508" t="str">
        <f>"SITE WORK/PCT#1"</f>
        <v>SITE WORK/PCT#1</v>
      </c>
    </row>
    <row r="509" spans="1:8" x14ac:dyDescent="0.25">
      <c r="A509" t="s">
        <v>129</v>
      </c>
      <c r="B509">
        <v>83340</v>
      </c>
      <c r="C509" s="2">
        <v>80</v>
      </c>
      <c r="D509" s="1">
        <v>43689</v>
      </c>
      <c r="E509" t="str">
        <f>"12783"</f>
        <v>12783</v>
      </c>
      <c r="F509" t="str">
        <f>"12783"</f>
        <v>12783</v>
      </c>
      <c r="G509" s="2">
        <v>80</v>
      </c>
      <c r="H509" t="str">
        <f>"12783"</f>
        <v>12783</v>
      </c>
    </row>
    <row r="510" spans="1:8" x14ac:dyDescent="0.25">
      <c r="A510" t="s">
        <v>129</v>
      </c>
      <c r="B510">
        <v>83564</v>
      </c>
      <c r="C510" s="2">
        <v>160</v>
      </c>
      <c r="D510" s="1">
        <v>43703</v>
      </c>
      <c r="E510" t="str">
        <f>"12900"</f>
        <v>12900</v>
      </c>
      <c r="F510" t="str">
        <f>"SERVICE"</f>
        <v>SERVICE</v>
      </c>
      <c r="G510" s="2">
        <v>80</v>
      </c>
      <c r="H510" t="str">
        <f>"SERVICE"</f>
        <v>SERVICE</v>
      </c>
    </row>
    <row r="511" spans="1:8" x14ac:dyDescent="0.25">
      <c r="E511" t="str">
        <f>"13119"</f>
        <v>13119</v>
      </c>
      <c r="F511" t="str">
        <f>"SERVICE"</f>
        <v>SERVICE</v>
      </c>
      <c r="G511" s="2">
        <v>80</v>
      </c>
      <c r="H511" t="str">
        <f>"SERVICE"</f>
        <v>SERVICE</v>
      </c>
    </row>
    <row r="512" spans="1:8" x14ac:dyDescent="0.25">
      <c r="A512" t="s">
        <v>130</v>
      </c>
      <c r="B512">
        <v>83341</v>
      </c>
      <c r="C512" s="2">
        <v>100</v>
      </c>
      <c r="D512" s="1">
        <v>43689</v>
      </c>
      <c r="E512" t="str">
        <f>"201908060916"</f>
        <v>201908060916</v>
      </c>
      <c r="F512" t="str">
        <f>"LEGAL CONSULT SVCS-JULY"</f>
        <v>LEGAL CONSULT SVCS-JULY</v>
      </c>
      <c r="G512" s="2">
        <v>100</v>
      </c>
      <c r="H512" t="str">
        <f>"LEGAL CONSULT SVCS-JULY"</f>
        <v>LEGAL CONSULT SVCS-JULY</v>
      </c>
    </row>
    <row r="513" spans="1:8" x14ac:dyDescent="0.25">
      <c r="A513" t="s">
        <v>131</v>
      </c>
      <c r="B513">
        <v>1159</v>
      </c>
      <c r="C513" s="2">
        <v>1462.5</v>
      </c>
      <c r="D513" s="1">
        <v>43690</v>
      </c>
      <c r="E513" t="str">
        <f>"201907310730"</f>
        <v>201907310730</v>
      </c>
      <c r="F513" t="str">
        <f>"19-19763"</f>
        <v>19-19763</v>
      </c>
      <c r="G513" s="2">
        <v>100</v>
      </c>
      <c r="H513" t="str">
        <f>"19-19763"</f>
        <v>19-19763</v>
      </c>
    </row>
    <row r="514" spans="1:8" x14ac:dyDescent="0.25">
      <c r="E514" t="str">
        <f>"201907310731"</f>
        <v>201907310731</v>
      </c>
      <c r="F514" t="str">
        <f>"15-17513"</f>
        <v>15-17513</v>
      </c>
      <c r="G514" s="2">
        <v>75</v>
      </c>
      <c r="H514" t="str">
        <f>"15-17513"</f>
        <v>15-17513</v>
      </c>
    </row>
    <row r="515" spans="1:8" x14ac:dyDescent="0.25">
      <c r="E515" t="str">
        <f>"201907310732"</f>
        <v>201907310732</v>
      </c>
      <c r="F515" t="str">
        <f>"18-19392"</f>
        <v>18-19392</v>
      </c>
      <c r="G515" s="2">
        <v>105</v>
      </c>
      <c r="H515" t="str">
        <f>"18-19392"</f>
        <v>18-19392</v>
      </c>
    </row>
    <row r="516" spans="1:8" x14ac:dyDescent="0.25">
      <c r="E516" t="str">
        <f>"201907310733"</f>
        <v>201907310733</v>
      </c>
      <c r="F516" t="str">
        <f>"19-19641"</f>
        <v>19-19641</v>
      </c>
      <c r="G516" s="2">
        <v>257.5</v>
      </c>
      <c r="H516" t="str">
        <f>"19-19641"</f>
        <v>19-19641</v>
      </c>
    </row>
    <row r="517" spans="1:8" x14ac:dyDescent="0.25">
      <c r="E517" t="str">
        <f>"201908060942"</f>
        <v>201908060942</v>
      </c>
      <c r="F517" t="str">
        <f>"423-5134"</f>
        <v>423-5134</v>
      </c>
      <c r="G517" s="2">
        <v>115</v>
      </c>
      <c r="H517" t="str">
        <f>"423-5134"</f>
        <v>423-5134</v>
      </c>
    </row>
    <row r="518" spans="1:8" x14ac:dyDescent="0.25">
      <c r="E518" t="str">
        <f>"201908060943"</f>
        <v>201908060943</v>
      </c>
      <c r="F518" t="str">
        <f>"423-2287"</f>
        <v>423-2287</v>
      </c>
      <c r="G518" s="2">
        <v>115</v>
      </c>
      <c r="H518" t="str">
        <f>"423-2287"</f>
        <v>423-2287</v>
      </c>
    </row>
    <row r="519" spans="1:8" x14ac:dyDescent="0.25">
      <c r="E519" t="str">
        <f>"201908060968"</f>
        <v>201908060968</v>
      </c>
      <c r="F519" t="str">
        <f>"J-3186"</f>
        <v>J-3186</v>
      </c>
      <c r="G519" s="2">
        <v>250</v>
      </c>
      <c r="H519" t="str">
        <f>"J-3186"</f>
        <v>J-3186</v>
      </c>
    </row>
    <row r="520" spans="1:8" x14ac:dyDescent="0.25">
      <c r="E520" t="str">
        <f>"201908060974"</f>
        <v>201908060974</v>
      </c>
      <c r="F520" t="str">
        <f>"18-19392"</f>
        <v>18-19392</v>
      </c>
      <c r="G520" s="2">
        <v>247.5</v>
      </c>
      <c r="H520" t="str">
        <f>"18-19392"</f>
        <v>18-19392</v>
      </c>
    </row>
    <row r="521" spans="1:8" x14ac:dyDescent="0.25">
      <c r="E521" t="str">
        <f>"201908060975"</f>
        <v>201908060975</v>
      </c>
      <c r="F521" t="str">
        <f>"18-19306"</f>
        <v>18-19306</v>
      </c>
      <c r="G521" s="2">
        <v>197.5</v>
      </c>
      <c r="H521" t="str">
        <f>"18-19306"</f>
        <v>18-19306</v>
      </c>
    </row>
    <row r="522" spans="1:8" x14ac:dyDescent="0.25">
      <c r="A522" t="s">
        <v>131</v>
      </c>
      <c r="B522">
        <v>1236</v>
      </c>
      <c r="C522" s="2">
        <v>175</v>
      </c>
      <c r="D522" s="1">
        <v>43704</v>
      </c>
      <c r="E522" t="str">
        <f>"201908201214"</f>
        <v>201908201214</v>
      </c>
      <c r="F522" t="str">
        <f>"07-12260"</f>
        <v>07-12260</v>
      </c>
      <c r="G522" s="2">
        <v>175</v>
      </c>
      <c r="H522" t="str">
        <f>"07-12260"</f>
        <v>07-12260</v>
      </c>
    </row>
    <row r="523" spans="1:8" x14ac:dyDescent="0.25">
      <c r="A523" t="s">
        <v>132</v>
      </c>
      <c r="B523">
        <v>83342</v>
      </c>
      <c r="C523" s="2">
        <v>37706.46</v>
      </c>
      <c r="D523" s="1">
        <v>43689</v>
      </c>
      <c r="E523" t="str">
        <f>"10317068287"</f>
        <v>10317068287</v>
      </c>
      <c r="F523" t="str">
        <f>"Speaker System for IT"</f>
        <v>Speaker System for IT</v>
      </c>
      <c r="G523" s="2">
        <v>43.11</v>
      </c>
      <c r="H523" t="str">
        <f>"Part# : 980-000382"</f>
        <v>Part# : 980-000382</v>
      </c>
    </row>
    <row r="524" spans="1:8" x14ac:dyDescent="0.25">
      <c r="E524" t="str">
        <f>""</f>
        <v/>
      </c>
      <c r="F524" t="str">
        <f>""</f>
        <v/>
      </c>
      <c r="H524" t="str">
        <f>"Discount"</f>
        <v>Discount</v>
      </c>
    </row>
    <row r="525" spans="1:8" x14ac:dyDescent="0.25">
      <c r="E525" t="str">
        <f>"10324407080"</f>
        <v>10324407080</v>
      </c>
      <c r="F525" t="str">
        <f>"Laptop Battery PCT 3 Cons"</f>
        <v>Laptop Battery PCT 3 Cons</v>
      </c>
      <c r="G525" s="2">
        <v>102.59</v>
      </c>
      <c r="H525" t="str">
        <f>"Dell 51 WHr 4-Cell P"</f>
        <v>Dell 51 WHr 4-Cell P</v>
      </c>
    </row>
    <row r="526" spans="1:8" x14ac:dyDescent="0.25">
      <c r="E526" t="str">
        <f>"10329100701"</f>
        <v>10329100701</v>
      </c>
      <c r="F526" t="str">
        <f>"Election Laptops"</f>
        <v>Election Laptops</v>
      </c>
      <c r="G526" s="2">
        <v>35264.75</v>
      </c>
      <c r="H526" t="str">
        <f>"Latitude 5500-BYO"</f>
        <v>Latitude 5500-BYO</v>
      </c>
    </row>
    <row r="527" spans="1:8" x14ac:dyDescent="0.25">
      <c r="E527" t="str">
        <f>""</f>
        <v/>
      </c>
      <c r="F527" t="str">
        <f>""</f>
        <v/>
      </c>
      <c r="H527" t="str">
        <f>"Premier Discount"</f>
        <v>Premier Discount</v>
      </c>
    </row>
    <row r="528" spans="1:8" x14ac:dyDescent="0.25">
      <c r="E528" t="str">
        <f>"10329826639"</f>
        <v>10329826639</v>
      </c>
      <c r="F528" t="str">
        <f>"Wireless Keyboard/Mouse f"</f>
        <v>Wireless Keyboard/Mouse f</v>
      </c>
      <c r="G528" s="2">
        <v>51.59</v>
      </c>
      <c r="H528" t="str">
        <f>"Logitech Wireless C"</f>
        <v>Logitech Wireless C</v>
      </c>
    </row>
    <row r="529" spans="1:8" x14ac:dyDescent="0.25">
      <c r="E529" t="str">
        <f>""</f>
        <v/>
      </c>
      <c r="F529" t="str">
        <f>""</f>
        <v/>
      </c>
      <c r="H529" t="str">
        <f>"Discount"</f>
        <v>Discount</v>
      </c>
    </row>
    <row r="530" spans="1:8" x14ac:dyDescent="0.25">
      <c r="E530" t="str">
        <f>"10329874262"</f>
        <v>10329874262</v>
      </c>
      <c r="F530" t="str">
        <f>"Dell Order"</f>
        <v>Dell Order</v>
      </c>
      <c r="G530" s="2">
        <v>599.94000000000005</v>
      </c>
      <c r="H530" t="str">
        <f>"P2419H"</f>
        <v>P2419H</v>
      </c>
    </row>
    <row r="531" spans="1:8" x14ac:dyDescent="0.25">
      <c r="E531" t="str">
        <f>""</f>
        <v/>
      </c>
      <c r="F531" t="str">
        <f>""</f>
        <v/>
      </c>
      <c r="H531" t="str">
        <f>"Premier Discount"</f>
        <v>Premier Discount</v>
      </c>
    </row>
    <row r="532" spans="1:8" x14ac:dyDescent="0.25">
      <c r="E532" t="str">
        <f>"10330008395"</f>
        <v>10330008395</v>
      </c>
      <c r="F532" t="str">
        <f>"Dell Order"</f>
        <v>Dell Order</v>
      </c>
      <c r="G532" s="2">
        <v>825</v>
      </c>
      <c r="H532" t="str">
        <f>"Dell Latitude 5500"</f>
        <v>Dell Latitude 5500</v>
      </c>
    </row>
    <row r="533" spans="1:8" x14ac:dyDescent="0.25">
      <c r="E533" t="str">
        <f>""</f>
        <v/>
      </c>
      <c r="F533" t="str">
        <f>""</f>
        <v/>
      </c>
      <c r="H533" t="str">
        <f>"Premier Discount"</f>
        <v>Premier Discount</v>
      </c>
    </row>
    <row r="534" spans="1:8" x14ac:dyDescent="0.25">
      <c r="E534" t="str">
        <f>"10330486172"</f>
        <v>10330486172</v>
      </c>
      <c r="F534" t="str">
        <f>"Dell Order"</f>
        <v>Dell Order</v>
      </c>
      <c r="G534" s="2">
        <v>731.3</v>
      </c>
      <c r="H534" t="str">
        <f>"Dell 128GB SSD"</f>
        <v>Dell 128GB SSD</v>
      </c>
    </row>
    <row r="535" spans="1:8" x14ac:dyDescent="0.25">
      <c r="E535" t="str">
        <f>"10331886114"</f>
        <v>10331886114</v>
      </c>
      <c r="F535" t="str">
        <f>"Dell Order"</f>
        <v>Dell Order</v>
      </c>
      <c r="G535" s="2">
        <v>88.18</v>
      </c>
      <c r="H535" t="str">
        <f>"DW881"</f>
        <v>DW881</v>
      </c>
    </row>
    <row r="536" spans="1:8" x14ac:dyDescent="0.25">
      <c r="E536" t="str">
        <f>""</f>
        <v/>
      </c>
      <c r="F536" t="str">
        <f>""</f>
        <v/>
      </c>
      <c r="H536" t="str">
        <f>"Premier Discount"</f>
        <v>Premier Discount</v>
      </c>
    </row>
    <row r="537" spans="1:8" x14ac:dyDescent="0.25">
      <c r="A537" t="s">
        <v>132</v>
      </c>
      <c r="B537">
        <v>83565</v>
      </c>
      <c r="C537" s="2">
        <v>2168.31</v>
      </c>
      <c r="D537" s="1">
        <v>43703</v>
      </c>
      <c r="E537" t="str">
        <f>"10333065306"</f>
        <v>10333065306</v>
      </c>
      <c r="F537" t="str">
        <f>"Computer for SHeriff's Of"</f>
        <v>Computer for SHeriff's Of</v>
      </c>
      <c r="G537" s="2">
        <v>1130.4000000000001</v>
      </c>
      <c r="H537" t="str">
        <f>"OptiPlex 7060 Tower"</f>
        <v>OptiPlex 7060 Tower</v>
      </c>
    </row>
    <row r="538" spans="1:8" x14ac:dyDescent="0.25">
      <c r="E538" t="str">
        <f>""</f>
        <v/>
      </c>
      <c r="F538" t="str">
        <f>""</f>
        <v/>
      </c>
      <c r="H538" t="str">
        <f>"discount"</f>
        <v>discount</v>
      </c>
    </row>
    <row r="539" spans="1:8" x14ac:dyDescent="0.25">
      <c r="E539" t="str">
        <f>"10333065314"</f>
        <v>10333065314</v>
      </c>
      <c r="F539" t="str">
        <f>"Dell Order"</f>
        <v>Dell Order</v>
      </c>
      <c r="G539" s="2">
        <v>1037.9100000000001</v>
      </c>
      <c r="H539" t="str">
        <f>"Optiplex7060 MFF"</f>
        <v>Optiplex7060 MFF</v>
      </c>
    </row>
    <row r="540" spans="1:8" x14ac:dyDescent="0.25">
      <c r="E540" t="str">
        <f>""</f>
        <v/>
      </c>
      <c r="F540" t="str">
        <f>""</f>
        <v/>
      </c>
      <c r="H540" t="str">
        <f>"Monitor- P2319H"</f>
        <v>Monitor- P2319H</v>
      </c>
    </row>
    <row r="541" spans="1:8" x14ac:dyDescent="0.25">
      <c r="E541" t="str">
        <f>""</f>
        <v/>
      </c>
      <c r="F541" t="str">
        <f>""</f>
        <v/>
      </c>
      <c r="H541" t="str">
        <f>"Premier Discount"</f>
        <v>Premier Discount</v>
      </c>
    </row>
    <row r="542" spans="1:8" x14ac:dyDescent="0.25">
      <c r="A542" t="s">
        <v>133</v>
      </c>
      <c r="B542">
        <v>83343</v>
      </c>
      <c r="C542" s="2">
        <v>822</v>
      </c>
      <c r="D542" s="1">
        <v>43689</v>
      </c>
      <c r="E542" t="str">
        <f>"201908071017"</f>
        <v>201908071017</v>
      </c>
      <c r="F542" t="str">
        <f>"ACCT#8075063068/CASE19-S-03519"</f>
        <v>ACCT#8075063068/CASE19-S-03519</v>
      </c>
      <c r="G542" s="2">
        <v>822</v>
      </c>
      <c r="H542" t="str">
        <f>"ACCT#8075063068/CASE19-S-03519"</f>
        <v>ACCT#8075063068/CASE19-S-03519</v>
      </c>
    </row>
    <row r="543" spans="1:8" x14ac:dyDescent="0.25">
      <c r="A543" t="s">
        <v>133</v>
      </c>
      <c r="B543">
        <v>83566</v>
      </c>
      <c r="C543" s="2">
        <v>2583</v>
      </c>
      <c r="D543" s="1">
        <v>43703</v>
      </c>
      <c r="E543" t="str">
        <f>"201908201218"</f>
        <v>201908201218</v>
      </c>
      <c r="F543" t="str">
        <f>"ACCT#8075209135/SANE EXAM"</f>
        <v>ACCT#8075209135/SANE EXAM</v>
      </c>
      <c r="G543" s="2">
        <v>1000</v>
      </c>
      <c r="H543" t="str">
        <f>"SANE EXAM 19-S-03966 M. VELASQ"</f>
        <v>SANE EXAM 19-S-03966 M. VELASQ</v>
      </c>
    </row>
    <row r="544" spans="1:8" x14ac:dyDescent="0.25">
      <c r="E544" t="str">
        <f>"201908201220"</f>
        <v>201908201220</v>
      </c>
      <c r="F544" t="str">
        <f>"ACCT#8075296461/SANE EXAM"</f>
        <v>ACCT#8075296461/SANE EXAM</v>
      </c>
      <c r="G544" s="2">
        <v>1000</v>
      </c>
      <c r="H544" t="str">
        <f>"ACCT#8075296461/SANE EXAM"</f>
        <v>ACCT#8075296461/SANE EXAM</v>
      </c>
    </row>
    <row r="545" spans="1:8" x14ac:dyDescent="0.25">
      <c r="E545" t="str">
        <f>"201908201221"</f>
        <v>201908201221</v>
      </c>
      <c r="F545" t="str">
        <f>"ACCT#8075209160/SANE EXAM"</f>
        <v>ACCT#8075209160/SANE EXAM</v>
      </c>
      <c r="G545" s="2">
        <v>583</v>
      </c>
      <c r="H545" t="str">
        <f>"ACCT#8075209160/SANE EXAM"</f>
        <v>ACCT#8075209160/SANE EXAM</v>
      </c>
    </row>
    <row r="546" spans="1:8" x14ac:dyDescent="0.25">
      <c r="A546" t="s">
        <v>134</v>
      </c>
      <c r="B546">
        <v>1189</v>
      </c>
      <c r="C546" s="2">
        <v>2150</v>
      </c>
      <c r="D546" s="1">
        <v>43690</v>
      </c>
      <c r="E546" t="str">
        <f>"BATX016253"</f>
        <v>BATX016253</v>
      </c>
      <c r="F546" t="str">
        <f>"INV BATX016253"</f>
        <v>INV BATX016253</v>
      </c>
      <c r="G546" s="2">
        <v>2150</v>
      </c>
      <c r="H546" t="str">
        <f>"INV BATX016253"</f>
        <v>INV BATX016253</v>
      </c>
    </row>
    <row r="547" spans="1:8" x14ac:dyDescent="0.25">
      <c r="A547" t="s">
        <v>135</v>
      </c>
      <c r="B547">
        <v>1283</v>
      </c>
      <c r="C547" s="2">
        <v>74.849999999999994</v>
      </c>
      <c r="D547" s="1">
        <v>43704</v>
      </c>
      <c r="E547" t="str">
        <f>"201908201184"</f>
        <v>201908201184</v>
      </c>
      <c r="F547" t="str">
        <f>"INDIGENT HEALTH"</f>
        <v>INDIGENT HEALTH</v>
      </c>
      <c r="G547" s="2">
        <v>74.849999999999994</v>
      </c>
      <c r="H547" t="str">
        <f>"INDIGENT HEALTH"</f>
        <v>INDIGENT HEALTH</v>
      </c>
    </row>
    <row r="548" spans="1:8" x14ac:dyDescent="0.25">
      <c r="E548" t="str">
        <f>""</f>
        <v/>
      </c>
      <c r="F548" t="str">
        <f>""</f>
        <v/>
      </c>
      <c r="H548" t="str">
        <f>"INDIGENT HEALTH"</f>
        <v>INDIGENT HEALTH</v>
      </c>
    </row>
    <row r="549" spans="1:8" x14ac:dyDescent="0.25">
      <c r="A549" t="s">
        <v>136</v>
      </c>
      <c r="B549">
        <v>83344</v>
      </c>
      <c r="C549" s="2">
        <v>575</v>
      </c>
      <c r="D549" s="1">
        <v>43689</v>
      </c>
      <c r="E549" t="str">
        <f>"25694"</f>
        <v>25694</v>
      </c>
      <c r="F549" t="str">
        <f>"TADS BATHROOM DOOR/GEN SVCS"</f>
        <v>TADS BATHROOM DOOR/GEN SVCS</v>
      </c>
      <c r="G549" s="2">
        <v>335</v>
      </c>
      <c r="H549" t="str">
        <f>"TADS BATHROOM DOOR/GEN SVCS"</f>
        <v>TADS BATHROOM DOOR/GEN SVCS</v>
      </c>
    </row>
    <row r="550" spans="1:8" x14ac:dyDescent="0.25">
      <c r="E550" t="str">
        <f>"25783"</f>
        <v>25783</v>
      </c>
      <c r="F550" t="str">
        <f>"INV 25783"</f>
        <v>INV 25783</v>
      </c>
      <c r="G550" s="2">
        <v>47.5</v>
      </c>
      <c r="H550" t="str">
        <f>"INV 25783"</f>
        <v>INV 25783</v>
      </c>
    </row>
    <row r="551" spans="1:8" x14ac:dyDescent="0.25">
      <c r="E551" t="str">
        <f>"25789"</f>
        <v>25789</v>
      </c>
      <c r="F551" t="str">
        <f>"SVC CALL/GEN SVCS"</f>
        <v>SVC CALL/GEN SVCS</v>
      </c>
      <c r="G551" s="2">
        <v>192.5</v>
      </c>
      <c r="H551" t="str">
        <f>"SVC CALL/GEN SVCS"</f>
        <v>SVC CALL/GEN SVCS</v>
      </c>
    </row>
    <row r="552" spans="1:8" x14ac:dyDescent="0.25">
      <c r="A552" t="s">
        <v>136</v>
      </c>
      <c r="B552">
        <v>83567</v>
      </c>
      <c r="C552" s="2">
        <v>875</v>
      </c>
      <c r="D552" s="1">
        <v>43703</v>
      </c>
      <c r="E552" t="str">
        <f>"25833"</f>
        <v>25833</v>
      </c>
      <c r="F552" t="str">
        <f>"PAD LOCKS"</f>
        <v>PAD LOCKS</v>
      </c>
      <c r="G552" s="2">
        <v>875</v>
      </c>
      <c r="H552" t="str">
        <f>"PAD LOCKS"</f>
        <v>PAD LOCKS</v>
      </c>
    </row>
    <row r="553" spans="1:8" x14ac:dyDescent="0.25">
      <c r="A553" t="s">
        <v>137</v>
      </c>
      <c r="B553">
        <v>83345</v>
      </c>
      <c r="C553" s="2">
        <v>2948.4</v>
      </c>
      <c r="D553" s="1">
        <v>43689</v>
      </c>
      <c r="E553" t="str">
        <f>"19061121N"</f>
        <v>19061121N</v>
      </c>
      <c r="F553" t="str">
        <f>"CUST#PKE5000/JUNE 2019"</f>
        <v>CUST#PKE5000/JUNE 2019</v>
      </c>
      <c r="G553" s="2">
        <v>2948.4</v>
      </c>
      <c r="H553" t="str">
        <f>"CUST#PKE5000/JUNE 2019"</f>
        <v>CUST#PKE5000/JUNE 2019</v>
      </c>
    </row>
    <row r="554" spans="1:8" x14ac:dyDescent="0.25">
      <c r="E554" t="str">
        <f>""</f>
        <v/>
      </c>
      <c r="F554" t="str">
        <f>""</f>
        <v/>
      </c>
      <c r="H554" t="str">
        <f>"CUST#PKE5000/JUNE 2019"</f>
        <v>CUST#PKE5000/JUNE 2019</v>
      </c>
    </row>
    <row r="555" spans="1:8" x14ac:dyDescent="0.25">
      <c r="A555" t="s">
        <v>138</v>
      </c>
      <c r="B555">
        <v>83568</v>
      </c>
      <c r="C555" s="2">
        <v>267.67</v>
      </c>
      <c r="D555" s="1">
        <v>43703</v>
      </c>
      <c r="E555" t="str">
        <f>"7622"</f>
        <v>7622</v>
      </c>
      <c r="F555" t="str">
        <f>"ACCT#6483/WELD PLATE/PCT#4"</f>
        <v>ACCT#6483/WELD PLATE/PCT#4</v>
      </c>
      <c r="G555" s="2">
        <v>267.67</v>
      </c>
      <c r="H555" t="str">
        <f>"ACCT#6483/WELD PLATE/PCT#4"</f>
        <v>ACCT#6483/WELD PLATE/PCT#4</v>
      </c>
    </row>
    <row r="556" spans="1:8" x14ac:dyDescent="0.25">
      <c r="A556" t="s">
        <v>139</v>
      </c>
      <c r="B556">
        <v>83569</v>
      </c>
      <c r="C556" s="2">
        <v>150.75</v>
      </c>
      <c r="D556" s="1">
        <v>43703</v>
      </c>
      <c r="E556" t="str">
        <f>"2802335"</f>
        <v>2802335</v>
      </c>
      <c r="F556" t="str">
        <f>"ACCT#27917/2018 RAM"</f>
        <v>ACCT#27917/2018 RAM</v>
      </c>
      <c r="G556" s="2">
        <v>150.75</v>
      </c>
      <c r="H556" t="str">
        <f>"ACCT#27917/2018 RAM"</f>
        <v>ACCT#27917/2018 RAM</v>
      </c>
    </row>
    <row r="557" spans="1:8" x14ac:dyDescent="0.25">
      <c r="A557" t="s">
        <v>140</v>
      </c>
      <c r="B557">
        <v>83515</v>
      </c>
      <c r="C557" s="2">
        <v>749.4</v>
      </c>
      <c r="D557" s="1">
        <v>43699</v>
      </c>
      <c r="E557" t="str">
        <f>"201908221242"</f>
        <v>201908221242</v>
      </c>
      <c r="F557" t="str">
        <f>"ACCT#405900029213/09012019"</f>
        <v>ACCT#405900029213/09012019</v>
      </c>
      <c r="G557" s="2">
        <v>374.7</v>
      </c>
      <c r="H557" t="str">
        <f>"ACCT#405900029213/09012019"</f>
        <v>ACCT#405900029213/09012019</v>
      </c>
    </row>
    <row r="558" spans="1:8" x14ac:dyDescent="0.25">
      <c r="E558" t="str">
        <f>"201908221243"</f>
        <v>201908221243</v>
      </c>
      <c r="F558" t="str">
        <f>"ACCT#405900029225/09012019"</f>
        <v>ACCT#405900029225/09012019</v>
      </c>
      <c r="G558" s="2">
        <v>187.35</v>
      </c>
      <c r="H558" t="str">
        <f>"ACCT#405900029225/09012019"</f>
        <v>ACCT#405900029225/09012019</v>
      </c>
    </row>
    <row r="559" spans="1:8" x14ac:dyDescent="0.25">
      <c r="E559" t="str">
        <f>"201908221244"</f>
        <v>201908221244</v>
      </c>
      <c r="F559" t="str">
        <f>"ACCT#405900028789/09012019"</f>
        <v>ACCT#405900028789/09012019</v>
      </c>
      <c r="G559" s="2">
        <v>187.35</v>
      </c>
      <c r="H559" t="str">
        <f>"ACCT#405900028789/09012019"</f>
        <v>ACCT#405900028789/09012019</v>
      </c>
    </row>
    <row r="560" spans="1:8" x14ac:dyDescent="0.25">
      <c r="A560" t="s">
        <v>141</v>
      </c>
      <c r="B560">
        <v>1175</v>
      </c>
      <c r="C560" s="2">
        <v>1277.5</v>
      </c>
      <c r="D560" s="1">
        <v>43690</v>
      </c>
      <c r="E560" t="str">
        <f>"29106B"</f>
        <v>29106B</v>
      </c>
      <c r="F560" t="str">
        <f>"INV 29106B"</f>
        <v>INV 29106B</v>
      </c>
      <c r="G560" s="2">
        <v>1277.5</v>
      </c>
      <c r="H560" t="str">
        <f>"INV 29106B"</f>
        <v>INV 29106B</v>
      </c>
    </row>
    <row r="561" spans="1:8" x14ac:dyDescent="0.25">
      <c r="A561" t="s">
        <v>141</v>
      </c>
      <c r="B561">
        <v>1249</v>
      </c>
      <c r="C561" s="2">
        <v>4124.3999999999996</v>
      </c>
      <c r="D561" s="1">
        <v>43704</v>
      </c>
      <c r="E561" t="str">
        <f>"29106B 29143A"</f>
        <v>29106B 29143A</v>
      </c>
      <c r="F561" t="str">
        <f>"INV 29106B"</f>
        <v>INV 29106B</v>
      </c>
      <c r="G561" s="2">
        <v>4124.3999999999996</v>
      </c>
      <c r="H561" t="str">
        <f>"INV 29106B"</f>
        <v>INV 29106B</v>
      </c>
    </row>
    <row r="562" spans="1:8" x14ac:dyDescent="0.25">
      <c r="E562" t="str">
        <f>""</f>
        <v/>
      </c>
      <c r="F562" t="str">
        <f>""</f>
        <v/>
      </c>
      <c r="H562" t="str">
        <f>"INV 29143A"</f>
        <v>INV 29143A</v>
      </c>
    </row>
    <row r="563" spans="1:8" x14ac:dyDescent="0.25">
      <c r="A563" t="s">
        <v>142</v>
      </c>
      <c r="B563">
        <v>83346</v>
      </c>
      <c r="C563" s="2">
        <v>1472.54</v>
      </c>
      <c r="D563" s="1">
        <v>43689</v>
      </c>
      <c r="E563" t="str">
        <f>"35519"</f>
        <v>35519</v>
      </c>
      <c r="F563" t="str">
        <f>"PARTS/PCT#2"</f>
        <v>PARTS/PCT#2</v>
      </c>
      <c r="G563" s="2">
        <v>915.64</v>
      </c>
      <c r="H563" t="str">
        <f>"PARTS/PCT#2"</f>
        <v>PARTS/PCT#2</v>
      </c>
    </row>
    <row r="564" spans="1:8" x14ac:dyDescent="0.25">
      <c r="E564" t="str">
        <f>"35537"</f>
        <v>35537</v>
      </c>
      <c r="F564" t="str">
        <f>"MESS TARPS/PCT#1"</f>
        <v>MESS TARPS/PCT#1</v>
      </c>
      <c r="G564" s="2">
        <v>556.9</v>
      </c>
      <c r="H564" t="str">
        <f>"MESS TARPS/PCT#1"</f>
        <v>MESS TARPS/PCT#1</v>
      </c>
    </row>
    <row r="565" spans="1:8" x14ac:dyDescent="0.25">
      <c r="A565" t="s">
        <v>142</v>
      </c>
      <c r="B565">
        <v>83570</v>
      </c>
      <c r="C565" s="2">
        <v>238.63</v>
      </c>
      <c r="D565" s="1">
        <v>43703</v>
      </c>
      <c r="E565" t="str">
        <f>"35652"</f>
        <v>35652</v>
      </c>
      <c r="F565" t="str">
        <f>"REPAIRS/LABOR/PCT#4"</f>
        <v>REPAIRS/LABOR/PCT#4</v>
      </c>
      <c r="G565" s="2">
        <v>238.63</v>
      </c>
      <c r="H565" t="str">
        <f>"REPAIRS/LABOR/PCT#4"</f>
        <v>REPAIRS/LABOR/PCT#4</v>
      </c>
    </row>
    <row r="566" spans="1:8" x14ac:dyDescent="0.25">
      <c r="A566" t="s">
        <v>143</v>
      </c>
      <c r="B566">
        <v>83347</v>
      </c>
      <c r="C566" s="2">
        <v>51</v>
      </c>
      <c r="D566" s="1">
        <v>43689</v>
      </c>
      <c r="E566" t="str">
        <f>"201908010794"</f>
        <v>201908010794</v>
      </c>
      <c r="F566" t="str">
        <f>"REIMBURSE POSTAGE"</f>
        <v>REIMBURSE POSTAGE</v>
      </c>
      <c r="G566" s="2">
        <v>51</v>
      </c>
      <c r="H566" t="str">
        <f>"REIMBURSE POSTAGE"</f>
        <v>REIMBURSE POSTAGE</v>
      </c>
    </row>
    <row r="567" spans="1:8" x14ac:dyDescent="0.25">
      <c r="A567" t="s">
        <v>144</v>
      </c>
      <c r="B567">
        <v>1218</v>
      </c>
      <c r="C567" s="2">
        <v>6922.5</v>
      </c>
      <c r="D567" s="1">
        <v>43690</v>
      </c>
      <c r="E567" t="str">
        <f>"201907230623"</f>
        <v>201907230623</v>
      </c>
      <c r="F567" t="str">
        <f>"16892"</f>
        <v>16892</v>
      </c>
      <c r="G567" s="2">
        <v>400</v>
      </c>
      <c r="H567" t="str">
        <f>"16892"</f>
        <v>16892</v>
      </c>
    </row>
    <row r="568" spans="1:8" x14ac:dyDescent="0.25">
      <c r="E568" t="str">
        <f>"201907230624"</f>
        <v>201907230624</v>
      </c>
      <c r="F568" t="str">
        <f>"AC-2018-0802B"</f>
        <v>AC-2018-0802B</v>
      </c>
      <c r="G568" s="2">
        <v>400</v>
      </c>
      <c r="H568" t="str">
        <f>"AC-2018-0802B"</f>
        <v>AC-2018-0802B</v>
      </c>
    </row>
    <row r="569" spans="1:8" x14ac:dyDescent="0.25">
      <c r="E569" t="str">
        <f>"201907230625"</f>
        <v>201907230625</v>
      </c>
      <c r="F569" t="str">
        <f>"16282"</f>
        <v>16282</v>
      </c>
      <c r="G569" s="2">
        <v>400</v>
      </c>
      <c r="H569" t="str">
        <f>"16282"</f>
        <v>16282</v>
      </c>
    </row>
    <row r="570" spans="1:8" x14ac:dyDescent="0.25">
      <c r="E570" t="str">
        <f>"201907230626"</f>
        <v>201907230626</v>
      </c>
      <c r="F570" t="str">
        <f>"16226"</f>
        <v>16226</v>
      </c>
      <c r="G570" s="2">
        <v>400</v>
      </c>
      <c r="H570" t="str">
        <f>"16226"</f>
        <v>16226</v>
      </c>
    </row>
    <row r="571" spans="1:8" x14ac:dyDescent="0.25">
      <c r="E571" t="str">
        <f>"201907230628"</f>
        <v>201907230628</v>
      </c>
      <c r="F571" t="str">
        <f>"16519"</f>
        <v>16519</v>
      </c>
      <c r="G571" s="2">
        <v>400</v>
      </c>
      <c r="H571" t="str">
        <f>"16519"</f>
        <v>16519</v>
      </c>
    </row>
    <row r="572" spans="1:8" x14ac:dyDescent="0.25">
      <c r="E572" t="str">
        <f>"201907230629"</f>
        <v>201907230629</v>
      </c>
      <c r="F572" t="str">
        <f>"16858"</f>
        <v>16858</v>
      </c>
      <c r="G572" s="2">
        <v>400</v>
      </c>
      <c r="H572" t="str">
        <f>"16858"</f>
        <v>16858</v>
      </c>
    </row>
    <row r="573" spans="1:8" x14ac:dyDescent="0.25">
      <c r="E573" t="str">
        <f>"201907230630"</f>
        <v>201907230630</v>
      </c>
      <c r="F573" t="str">
        <f>"16890  02-0629-1-18"</f>
        <v>16890  02-0629-1-18</v>
      </c>
      <c r="G573" s="2">
        <v>600</v>
      </c>
      <c r="H573" t="str">
        <f>"16890  02-0629-1-18"</f>
        <v>16890  02-0629-1-18</v>
      </c>
    </row>
    <row r="574" spans="1:8" x14ac:dyDescent="0.25">
      <c r="E574" t="str">
        <f>"201907230646"</f>
        <v>201907230646</v>
      </c>
      <c r="F574" t="str">
        <f>"1214-335  423-6657"</f>
        <v>1214-335  423-6657</v>
      </c>
      <c r="G574" s="2">
        <v>200</v>
      </c>
      <c r="H574" t="str">
        <f>"1214-335  423-6657"</f>
        <v>1214-335  423-6657</v>
      </c>
    </row>
    <row r="575" spans="1:8" x14ac:dyDescent="0.25">
      <c r="E575" t="str">
        <f>"201907310736"</f>
        <v>201907310736</v>
      </c>
      <c r="F575" t="str">
        <f>"19-19628"</f>
        <v>19-19628</v>
      </c>
      <c r="G575" s="2">
        <v>250</v>
      </c>
      <c r="H575" t="str">
        <f>"19-19628"</f>
        <v>19-19628</v>
      </c>
    </row>
    <row r="576" spans="1:8" x14ac:dyDescent="0.25">
      <c r="E576" t="str">
        <f>"201907310738"</f>
        <v>201907310738</v>
      </c>
      <c r="F576" t="str">
        <f>"19-19597"</f>
        <v>19-19597</v>
      </c>
      <c r="G576" s="2">
        <v>137.5</v>
      </c>
      <c r="H576" t="str">
        <f>"19-19597"</f>
        <v>19-19597</v>
      </c>
    </row>
    <row r="577" spans="1:8" x14ac:dyDescent="0.25">
      <c r="E577" t="str">
        <f>"201907310739"</f>
        <v>201907310739</v>
      </c>
      <c r="F577" t="str">
        <f>"19-19414"</f>
        <v>19-19414</v>
      </c>
      <c r="G577" s="2">
        <v>100</v>
      </c>
      <c r="H577" t="str">
        <f>"19-19414"</f>
        <v>19-19414</v>
      </c>
    </row>
    <row r="578" spans="1:8" x14ac:dyDescent="0.25">
      <c r="E578" t="str">
        <f>"201907310740"</f>
        <v>201907310740</v>
      </c>
      <c r="F578" t="str">
        <f>"19-19739"</f>
        <v>19-19739</v>
      </c>
      <c r="G578" s="2">
        <v>362.5</v>
      </c>
      <c r="H578" t="str">
        <f>"19-19739"</f>
        <v>19-19739</v>
      </c>
    </row>
    <row r="579" spans="1:8" x14ac:dyDescent="0.25">
      <c r="E579" t="str">
        <f>"201908010769"</f>
        <v>201908010769</v>
      </c>
      <c r="F579" t="str">
        <f>"16148"</f>
        <v>16148</v>
      </c>
      <c r="G579" s="2">
        <v>400</v>
      </c>
      <c r="H579" t="str">
        <f>"16148"</f>
        <v>16148</v>
      </c>
    </row>
    <row r="580" spans="1:8" x14ac:dyDescent="0.25">
      <c r="E580" t="str">
        <f>"201908010770"</f>
        <v>201908010770</v>
      </c>
      <c r="F580" t="str">
        <f>"1222-21  423-6684"</f>
        <v>1222-21  423-6684</v>
      </c>
      <c r="G580" s="2">
        <v>200</v>
      </c>
      <c r="H580" t="str">
        <f>"1222-21  423-6684"</f>
        <v>1222-21  423-6684</v>
      </c>
    </row>
    <row r="581" spans="1:8" x14ac:dyDescent="0.25">
      <c r="E581" t="str">
        <f>"201908010771"</f>
        <v>201908010771</v>
      </c>
      <c r="F581" t="str">
        <f>"EDWARDS"</f>
        <v>EDWARDS</v>
      </c>
      <c r="G581" s="2">
        <v>100</v>
      </c>
      <c r="H581" t="str">
        <f>"EDWARDS"</f>
        <v>EDWARDS</v>
      </c>
    </row>
    <row r="582" spans="1:8" x14ac:dyDescent="0.25">
      <c r="E582" t="str">
        <f>"201908060983"</f>
        <v>201908060983</v>
      </c>
      <c r="F582" t="str">
        <f>"18-19299"</f>
        <v>18-19299</v>
      </c>
      <c r="G582" s="2">
        <v>297.5</v>
      </c>
      <c r="H582" t="str">
        <f>"18-19299"</f>
        <v>18-19299</v>
      </c>
    </row>
    <row r="583" spans="1:8" x14ac:dyDescent="0.25">
      <c r="E583" t="str">
        <f>"201908070988"</f>
        <v>201908070988</v>
      </c>
      <c r="F583" t="str">
        <f>"19-19684"</f>
        <v>19-19684</v>
      </c>
      <c r="G583" s="2">
        <v>187.5</v>
      </c>
      <c r="H583" t="str">
        <f>"19-19684"</f>
        <v>19-19684</v>
      </c>
    </row>
    <row r="584" spans="1:8" x14ac:dyDescent="0.25">
      <c r="E584" t="str">
        <f>"201908070990"</f>
        <v>201908070990</v>
      </c>
      <c r="F584" t="str">
        <f>"17-18617"</f>
        <v>17-18617</v>
      </c>
      <c r="G584" s="2">
        <v>587.5</v>
      </c>
      <c r="H584" t="str">
        <f>"17-18617"</f>
        <v>17-18617</v>
      </c>
    </row>
    <row r="585" spans="1:8" x14ac:dyDescent="0.25">
      <c r="E585" t="str">
        <f>"201908070991"</f>
        <v>201908070991</v>
      </c>
      <c r="F585" t="str">
        <f>"04-8662"</f>
        <v>04-8662</v>
      </c>
      <c r="G585" s="2">
        <v>100</v>
      </c>
      <c r="H585" t="str">
        <f>"04-8662"</f>
        <v>04-8662</v>
      </c>
    </row>
    <row r="586" spans="1:8" x14ac:dyDescent="0.25">
      <c r="E586" t="str">
        <f>"201908070999"</f>
        <v>201908070999</v>
      </c>
      <c r="F586" t="str">
        <f>"20170367A"</f>
        <v>20170367A</v>
      </c>
      <c r="G586" s="2">
        <v>500</v>
      </c>
      <c r="H586" t="str">
        <f>"20170367A"</f>
        <v>20170367A</v>
      </c>
    </row>
    <row r="587" spans="1:8" x14ac:dyDescent="0.25">
      <c r="E587" t="str">
        <f>"201908071009"</f>
        <v>201908071009</v>
      </c>
      <c r="F587" t="str">
        <f>"55 610"</f>
        <v>55 610</v>
      </c>
      <c r="G587" s="2">
        <v>250</v>
      </c>
      <c r="H587" t="str">
        <f>"55 610"</f>
        <v>55 610</v>
      </c>
    </row>
    <row r="588" spans="1:8" x14ac:dyDescent="0.25">
      <c r="E588" t="str">
        <f>"201908071010"</f>
        <v>201908071010</v>
      </c>
      <c r="F588" t="str">
        <f>"56826"</f>
        <v>56826</v>
      </c>
      <c r="G588" s="2">
        <v>250</v>
      </c>
      <c r="H588" t="str">
        <f>"56826"</f>
        <v>56826</v>
      </c>
    </row>
    <row r="589" spans="1:8" x14ac:dyDescent="0.25">
      <c r="A589" t="s">
        <v>144</v>
      </c>
      <c r="B589">
        <v>1290</v>
      </c>
      <c r="C589" s="2">
        <v>2000</v>
      </c>
      <c r="D589" s="1">
        <v>43704</v>
      </c>
      <c r="E589" t="str">
        <f>"201908141064"</f>
        <v>201908141064</v>
      </c>
      <c r="F589" t="str">
        <f>"1226-335"</f>
        <v>1226-335</v>
      </c>
      <c r="G589" s="2">
        <v>100</v>
      </c>
      <c r="H589" t="str">
        <f>"1226-335"</f>
        <v>1226-335</v>
      </c>
    </row>
    <row r="590" spans="1:8" x14ac:dyDescent="0.25">
      <c r="E590" t="str">
        <f>"201908141065"</f>
        <v>201908141065</v>
      </c>
      <c r="F590" t="str">
        <f>"423-767"</f>
        <v>423-767</v>
      </c>
      <c r="G590" s="2">
        <v>100</v>
      </c>
      <c r="H590" t="str">
        <f>"423-767"</f>
        <v>423-767</v>
      </c>
    </row>
    <row r="591" spans="1:8" x14ac:dyDescent="0.25">
      <c r="E591" t="str">
        <f>"201908141068"</f>
        <v>201908141068</v>
      </c>
      <c r="F591" t="str">
        <f>"JP10424 2019A"</f>
        <v>JP10424 2019A</v>
      </c>
      <c r="G591" s="2">
        <v>400</v>
      </c>
      <c r="H591" t="str">
        <f>"JP10424 2019A"</f>
        <v>JP10424 2019A</v>
      </c>
    </row>
    <row r="592" spans="1:8" x14ac:dyDescent="0.25">
      <c r="E592" t="str">
        <f>"201908151102"</f>
        <v>201908151102</v>
      </c>
      <c r="F592" t="str">
        <f>"10339"</f>
        <v>10339</v>
      </c>
      <c r="G592" s="2">
        <v>400</v>
      </c>
      <c r="H592" t="str">
        <f>"10339"</f>
        <v>10339</v>
      </c>
    </row>
    <row r="593" spans="1:8" x14ac:dyDescent="0.25">
      <c r="E593" t="str">
        <f>"201908151103"</f>
        <v>201908151103</v>
      </c>
      <c r="F593" t="str">
        <f>"15507"</f>
        <v>15507</v>
      </c>
      <c r="G593" s="2">
        <v>400</v>
      </c>
      <c r="H593" t="str">
        <f>"15507"</f>
        <v>15507</v>
      </c>
    </row>
    <row r="594" spans="1:8" x14ac:dyDescent="0.25">
      <c r="E594" t="str">
        <f>"201908201141"</f>
        <v>201908201141</v>
      </c>
      <c r="F594" t="str">
        <f>"57060"</f>
        <v>57060</v>
      </c>
      <c r="G594" s="2">
        <v>250</v>
      </c>
      <c r="H594" t="str">
        <f>"57060"</f>
        <v>57060</v>
      </c>
    </row>
    <row r="595" spans="1:8" x14ac:dyDescent="0.25">
      <c r="E595" t="str">
        <f>"201908201142"</f>
        <v>201908201142</v>
      </c>
      <c r="F595" t="str">
        <f>"56890"</f>
        <v>56890</v>
      </c>
      <c r="G595" s="2">
        <v>250</v>
      </c>
      <c r="H595" t="str">
        <f>"56890"</f>
        <v>56890</v>
      </c>
    </row>
    <row r="596" spans="1:8" x14ac:dyDescent="0.25">
      <c r="E596" t="str">
        <f>"201908201207"</f>
        <v>201908201207</v>
      </c>
      <c r="F596" t="str">
        <f>"18-19239"</f>
        <v>18-19239</v>
      </c>
      <c r="G596" s="2">
        <v>100</v>
      </c>
      <c r="H596" t="str">
        <f>"18-19239"</f>
        <v>18-19239</v>
      </c>
    </row>
    <row r="597" spans="1:8" x14ac:dyDescent="0.25">
      <c r="A597" t="s">
        <v>145</v>
      </c>
      <c r="B597">
        <v>83348</v>
      </c>
      <c r="C597" s="2">
        <v>1728</v>
      </c>
      <c r="D597" s="1">
        <v>43689</v>
      </c>
      <c r="E597" t="str">
        <f>"15-2245"</f>
        <v>15-2245</v>
      </c>
      <c r="F597" t="str">
        <f>"SCREENED BASE/PCT#3"</f>
        <v>SCREENED BASE/PCT#3</v>
      </c>
      <c r="G597" s="2">
        <v>1728</v>
      </c>
      <c r="H597" t="str">
        <f>"SCREENED BASE/PCT#3"</f>
        <v>SCREENED BASE/PCT#3</v>
      </c>
    </row>
    <row r="598" spans="1:8" x14ac:dyDescent="0.25">
      <c r="A598" t="s">
        <v>146</v>
      </c>
      <c r="B598">
        <v>1191</v>
      </c>
      <c r="C598" s="2">
        <v>2677.04</v>
      </c>
      <c r="D598" s="1">
        <v>43690</v>
      </c>
      <c r="E598" t="str">
        <f>"6250943384"</f>
        <v>6250943384</v>
      </c>
      <c r="F598" t="str">
        <f>"INV 6250943384"</f>
        <v>INV 6250943384</v>
      </c>
      <c r="G598" s="2">
        <v>1549.49</v>
      </c>
      <c r="H598" t="str">
        <f>"INV 6250943384"</f>
        <v>INV 6250943384</v>
      </c>
    </row>
    <row r="599" spans="1:8" x14ac:dyDescent="0.25">
      <c r="E599" t="str">
        <f>"6251043146"</f>
        <v>6251043146</v>
      </c>
      <c r="F599" t="str">
        <f>"INV 6251043146"</f>
        <v>INV 6251043146</v>
      </c>
      <c r="G599" s="2">
        <v>1127.55</v>
      </c>
      <c r="H599" t="str">
        <f>"INV 6251043146"</f>
        <v>INV 6251043146</v>
      </c>
    </row>
    <row r="600" spans="1:8" x14ac:dyDescent="0.25">
      <c r="A600" t="s">
        <v>147</v>
      </c>
      <c r="B600">
        <v>1190</v>
      </c>
      <c r="C600" s="2">
        <v>573</v>
      </c>
      <c r="D600" s="1">
        <v>43690</v>
      </c>
      <c r="E600" t="str">
        <f>"52421-18105"</f>
        <v>52421-18105</v>
      </c>
      <c r="F600" t="str">
        <f>"replat Freddie Wallace Wi"</f>
        <v>replat Freddie Wallace Wi</v>
      </c>
      <c r="G600" s="2">
        <v>38</v>
      </c>
      <c r="H600" t="str">
        <f>"replat Freddie Wallace Wi"</f>
        <v>replat Freddie Wallace Wi</v>
      </c>
    </row>
    <row r="601" spans="1:8" x14ac:dyDescent="0.25">
      <c r="E601" t="str">
        <f>"52421-18299 -18302"</f>
        <v>52421-18299 -18302</v>
      </c>
      <c r="F601" t="str">
        <f>"AD# 19BCP06J &amp; 19BCP06K"</f>
        <v>AD# 19BCP06J &amp; 19BCP06K</v>
      </c>
      <c r="G601" s="2">
        <v>380</v>
      </c>
      <c r="H601" t="str">
        <f>"AD# 19BCP06J"</f>
        <v>AD# 19BCP06J</v>
      </c>
    </row>
    <row r="602" spans="1:8" x14ac:dyDescent="0.25">
      <c r="E602" t="str">
        <f>""</f>
        <v/>
      </c>
      <c r="F602" t="str">
        <f>""</f>
        <v/>
      </c>
      <c r="H602" t="str">
        <f>"AD# 19BCP06K"</f>
        <v>AD# 19BCP06K</v>
      </c>
    </row>
    <row r="603" spans="1:8" x14ac:dyDescent="0.25">
      <c r="E603" t="str">
        <f>"52421-18481"</f>
        <v>52421-18481</v>
      </c>
      <c r="F603" t="str">
        <f>"Newspaper Ad"</f>
        <v>Newspaper Ad</v>
      </c>
      <c r="G603" s="2">
        <v>155</v>
      </c>
      <c r="H603" t="str">
        <f>"Newspaper Ad"</f>
        <v>Newspaper Ad</v>
      </c>
    </row>
    <row r="604" spans="1:8" x14ac:dyDescent="0.25">
      <c r="A604" t="s">
        <v>148</v>
      </c>
      <c r="B604">
        <v>83349</v>
      </c>
      <c r="C604" s="2">
        <v>32.81</v>
      </c>
      <c r="D604" s="1">
        <v>43689</v>
      </c>
      <c r="E604" t="str">
        <f>"201907240662"</f>
        <v>201907240662</v>
      </c>
      <c r="F604" t="str">
        <f>"ARREST FEES 04/01/19-06/30/19"</f>
        <v>ARREST FEES 04/01/19-06/30/19</v>
      </c>
      <c r="G604" s="2">
        <v>32.81</v>
      </c>
      <c r="H604" t="str">
        <f>"ARREST FEES 04/01/19-06/30/19"</f>
        <v>ARREST FEES 04/01/19-06/30/19</v>
      </c>
    </row>
    <row r="605" spans="1:8" x14ac:dyDescent="0.25">
      <c r="A605" t="s">
        <v>149</v>
      </c>
      <c r="B605">
        <v>83350</v>
      </c>
      <c r="C605" s="2">
        <v>3248.42</v>
      </c>
      <c r="D605" s="1">
        <v>43689</v>
      </c>
      <c r="E605" t="str">
        <f>"201907300699"</f>
        <v>201907300699</v>
      </c>
      <c r="F605" t="str">
        <f>"FY18/19 DELINQUENT PROPERTIES"</f>
        <v>FY18/19 DELINQUENT PROPERTIES</v>
      </c>
      <c r="G605" s="2">
        <v>3248.42</v>
      </c>
      <c r="H605" t="str">
        <f>"FY18/19 DELINQUENT PROPERTIES"</f>
        <v>FY18/19 DELINQUENT PROPERTIES</v>
      </c>
    </row>
    <row r="606" spans="1:8" x14ac:dyDescent="0.25">
      <c r="A606" t="s">
        <v>150</v>
      </c>
      <c r="B606">
        <v>83285</v>
      </c>
      <c r="C606" s="2">
        <v>1590.36</v>
      </c>
      <c r="D606" s="1">
        <v>43685</v>
      </c>
      <c r="E606" t="str">
        <f>"201908081054"</f>
        <v>201908081054</v>
      </c>
      <c r="F606" t="str">
        <f>"ACCT#007-0008410-002/07312019"</f>
        <v>ACCT#007-0008410-002/07312019</v>
      </c>
      <c r="G606" s="2">
        <v>207.49</v>
      </c>
      <c r="H606" t="str">
        <f>"ACCT#007-0008410-002/07312019"</f>
        <v>ACCT#007-0008410-002/07312019</v>
      </c>
    </row>
    <row r="607" spans="1:8" x14ac:dyDescent="0.25">
      <c r="E607" t="str">
        <f>"201908081055"</f>
        <v>201908081055</v>
      </c>
      <c r="F607" t="str">
        <f>"ACCT#007-0011501-000/07312019"</f>
        <v>ACCT#007-0011501-000/07312019</v>
      </c>
      <c r="G607" s="2">
        <v>559.96</v>
      </c>
      <c r="H607" t="str">
        <f>"ACCT#007-0011501-000/07312019"</f>
        <v>ACCT#007-0011501-000/07312019</v>
      </c>
    </row>
    <row r="608" spans="1:8" x14ac:dyDescent="0.25">
      <c r="E608" t="str">
        <f>"201908081056"</f>
        <v>201908081056</v>
      </c>
      <c r="F608" t="str">
        <f>"ACCT#007-0011510-000/07312019"</f>
        <v>ACCT#007-0011510-000/07312019</v>
      </c>
      <c r="G608" s="2">
        <v>235.91</v>
      </c>
      <c r="H608" t="str">
        <f>"ACCT#007-0011510-000/07312019"</f>
        <v>ACCT#007-0011510-000/07312019</v>
      </c>
    </row>
    <row r="609" spans="1:8" x14ac:dyDescent="0.25">
      <c r="E609" t="str">
        <f>"201908081057"</f>
        <v>201908081057</v>
      </c>
      <c r="F609" t="str">
        <f>"ACCT#007-0011530-000/07312019"</f>
        <v>ACCT#007-0011530-000/07312019</v>
      </c>
      <c r="G609" s="2">
        <v>97.4</v>
      </c>
      <c r="H609" t="str">
        <f>"ACCT#007-0011530-000/07312019"</f>
        <v>ACCT#007-0011530-000/07312019</v>
      </c>
    </row>
    <row r="610" spans="1:8" x14ac:dyDescent="0.25">
      <c r="E610" t="str">
        <f>"201908081058"</f>
        <v>201908081058</v>
      </c>
      <c r="F610" t="str">
        <f>"ACCT#007-0011534-001/07312019"</f>
        <v>ACCT#007-0011534-001/07312019</v>
      </c>
      <c r="G610" s="2">
        <v>166.88</v>
      </c>
      <c r="H610" t="str">
        <f>"ACCT#007-0011534-001/07312019"</f>
        <v>ACCT#007-0011534-001/07312019</v>
      </c>
    </row>
    <row r="611" spans="1:8" x14ac:dyDescent="0.25">
      <c r="E611" t="str">
        <f>"201908081059"</f>
        <v>201908081059</v>
      </c>
      <c r="F611" t="str">
        <f>"ACCT#007-0011535-000/07312019"</f>
        <v>ACCT#007-0011535-000/07312019</v>
      </c>
      <c r="G611" s="2">
        <v>143.69</v>
      </c>
      <c r="H611" t="str">
        <f>"ACCT#007-0011535-000/07312019"</f>
        <v>ACCT#007-0011535-000/07312019</v>
      </c>
    </row>
    <row r="612" spans="1:8" x14ac:dyDescent="0.25">
      <c r="E612" t="str">
        <f>"201908081060"</f>
        <v>201908081060</v>
      </c>
      <c r="F612" t="str">
        <f>"ACCT#007-0011544-001/07312019"</f>
        <v>ACCT#007-0011544-001/07312019</v>
      </c>
      <c r="G612" s="2">
        <v>129.66999999999999</v>
      </c>
      <c r="H612" t="str">
        <f>"ACCT#007-0011544-001/07312019"</f>
        <v>ACCT#007-0011544-001/07312019</v>
      </c>
    </row>
    <row r="613" spans="1:8" x14ac:dyDescent="0.25">
      <c r="E613" t="str">
        <f>"201908081061"</f>
        <v>201908081061</v>
      </c>
      <c r="F613" t="str">
        <f>"ACCT#007-0071128-001/07312019"</f>
        <v>ACCT#007-0071128-001/07312019</v>
      </c>
      <c r="G613" s="2">
        <v>49.36</v>
      </c>
      <c r="H613" t="str">
        <f>"ACCT#007-0071128-001/07312019"</f>
        <v>ACCT#007-0071128-001/07312019</v>
      </c>
    </row>
    <row r="614" spans="1:8" x14ac:dyDescent="0.25">
      <c r="A614" t="s">
        <v>151</v>
      </c>
      <c r="B614">
        <v>83351</v>
      </c>
      <c r="C614" s="2">
        <v>384.02</v>
      </c>
      <c r="D614" s="1">
        <v>43689</v>
      </c>
      <c r="E614" t="str">
        <f>"209261"</f>
        <v>209261</v>
      </c>
      <c r="F614" t="str">
        <f>"FOR 19-S-03807 (#209261)"</f>
        <v>FOR 19-S-03807 (#209261)</v>
      </c>
      <c r="G614" s="2">
        <v>384.02</v>
      </c>
      <c r="H614" t="str">
        <f>"FOR 19-S-03807 (#209261)"</f>
        <v>FOR 19-S-03807 (#209261)</v>
      </c>
    </row>
    <row r="615" spans="1:8" x14ac:dyDescent="0.25">
      <c r="A615" t="s">
        <v>152</v>
      </c>
      <c r="B615">
        <v>83352</v>
      </c>
      <c r="C615" s="2">
        <v>2482.17</v>
      </c>
      <c r="D615" s="1">
        <v>43689</v>
      </c>
      <c r="E615" t="str">
        <f>"145-29400-01"</f>
        <v>145-29400-01</v>
      </c>
      <c r="F615" t="str">
        <f>"CUST#0888336/GEN SVCS"</f>
        <v>CUST#0888336/GEN SVCS</v>
      </c>
      <c r="G615" s="2">
        <v>503.61</v>
      </c>
      <c r="H615" t="str">
        <f>"CUST#0888336/GEN SVCS"</f>
        <v>CUST#0888336/GEN SVCS</v>
      </c>
    </row>
    <row r="616" spans="1:8" x14ac:dyDescent="0.25">
      <c r="E616" t="str">
        <f>"145-29615-01"</f>
        <v>145-29615-01</v>
      </c>
      <c r="F616" t="str">
        <f>"CUST#0888336/GEN SVCS"</f>
        <v>CUST#0888336/GEN SVCS</v>
      </c>
      <c r="G616" s="2">
        <v>306.8</v>
      </c>
      <c r="H616" t="str">
        <f>"CUST#0888336/GEN SVCS"</f>
        <v>CUST#0888336/GEN SVCS</v>
      </c>
    </row>
    <row r="617" spans="1:8" x14ac:dyDescent="0.25">
      <c r="E617" t="str">
        <f>"145-29615-02"</f>
        <v>145-29615-02</v>
      </c>
      <c r="F617" t="str">
        <f>"CUST#0888336/GEN SVCS"</f>
        <v>CUST#0888336/GEN SVCS</v>
      </c>
      <c r="G617" s="2">
        <v>1306.33</v>
      </c>
      <c r="H617" t="str">
        <f>"CUST#0888336/GEN SVCS"</f>
        <v>CUST#0888336/GEN SVCS</v>
      </c>
    </row>
    <row r="618" spans="1:8" x14ac:dyDescent="0.25">
      <c r="E618" t="str">
        <f>"145-29615-03"</f>
        <v>145-29615-03</v>
      </c>
      <c r="F618" t="str">
        <f>"CUST#0888336/GEN SVCS"</f>
        <v>CUST#0888336/GEN SVCS</v>
      </c>
      <c r="G618" s="2">
        <v>7.67</v>
      </c>
      <c r="H618" t="str">
        <f>"CUST#0888336/GEN SVCS"</f>
        <v>CUST#0888336/GEN SVCS</v>
      </c>
    </row>
    <row r="619" spans="1:8" x14ac:dyDescent="0.25">
      <c r="E619" t="str">
        <f>"145-29615-04"</f>
        <v>145-29615-04</v>
      </c>
      <c r="F619" t="str">
        <f>"CUST#0888336/GEN SVCS"</f>
        <v>CUST#0888336/GEN SVCS</v>
      </c>
      <c r="G619" s="2">
        <v>352</v>
      </c>
      <c r="H619" t="str">
        <f>"CUST#0888336/GEN SVCS"</f>
        <v>CUST#0888336/GEN SVCS</v>
      </c>
    </row>
    <row r="620" spans="1:8" x14ac:dyDescent="0.25">
      <c r="E620" t="str">
        <f>"145-29815-01"</f>
        <v>145-29815-01</v>
      </c>
      <c r="F620" t="str">
        <f>"CUST#0888336/FISHER BLDG"</f>
        <v>CUST#0888336/FISHER BLDG</v>
      </c>
      <c r="G620" s="2">
        <v>5.76</v>
      </c>
      <c r="H620" t="str">
        <f>"CUST#0888336/FISHER BLDG"</f>
        <v>CUST#0888336/FISHER BLDG</v>
      </c>
    </row>
    <row r="621" spans="1:8" x14ac:dyDescent="0.25">
      <c r="A621" t="s">
        <v>152</v>
      </c>
      <c r="B621">
        <v>83571</v>
      </c>
      <c r="C621" s="2">
        <v>332.13</v>
      </c>
      <c r="D621" s="1">
        <v>43703</v>
      </c>
      <c r="E621" t="str">
        <f>"145-30000-02"</f>
        <v>145-30000-02</v>
      </c>
      <c r="F621" t="str">
        <f>"CUST#0888336"</f>
        <v>CUST#0888336</v>
      </c>
      <c r="G621" s="2">
        <v>-106.2</v>
      </c>
      <c r="H621" t="str">
        <f>"CUST#0888336"</f>
        <v>CUST#0888336</v>
      </c>
    </row>
    <row r="622" spans="1:8" x14ac:dyDescent="0.25">
      <c r="E622" t="str">
        <f>"145-29708-01"</f>
        <v>145-29708-01</v>
      </c>
      <c r="F622" t="str">
        <f>"INV 145-29708-01"</f>
        <v>INV 145-29708-01</v>
      </c>
      <c r="G622" s="2">
        <v>154</v>
      </c>
      <c r="H622" t="str">
        <f>"INV 145-29708-01"</f>
        <v>INV 145-29708-01</v>
      </c>
    </row>
    <row r="623" spans="1:8" x14ac:dyDescent="0.25">
      <c r="E623" t="str">
        <f>"145-30000-01"</f>
        <v>145-30000-01</v>
      </c>
      <c r="F623" t="str">
        <f>"CUST#0888336/TADS BLDG"</f>
        <v>CUST#0888336/TADS BLDG</v>
      </c>
      <c r="G623" s="2">
        <v>212.4</v>
      </c>
      <c r="H623" t="str">
        <f>"CUST#0888336/TADS BLDG"</f>
        <v>CUST#0888336/TADS BLDG</v>
      </c>
    </row>
    <row r="624" spans="1:8" x14ac:dyDescent="0.25">
      <c r="E624" t="str">
        <f>"145-30125-01"</f>
        <v>145-30125-01</v>
      </c>
      <c r="F624" t="str">
        <f>"CUST#0888336/ELGIN RADIO"</f>
        <v>CUST#0888336/ELGIN RADIO</v>
      </c>
      <c r="G624" s="2">
        <v>70.39</v>
      </c>
      <c r="H624" t="str">
        <f>"CUST#0888336/ELGIN RADIO"</f>
        <v>CUST#0888336/ELGIN RADIO</v>
      </c>
    </row>
    <row r="625" spans="1:8" x14ac:dyDescent="0.25">
      <c r="E625" t="str">
        <f>"145-30307-01"</f>
        <v>145-30307-01</v>
      </c>
      <c r="F625" t="str">
        <f>"CUST#0888336/ELGIN TOWER"</f>
        <v>CUST#0888336/ELGIN TOWER</v>
      </c>
      <c r="G625" s="2">
        <v>1.54</v>
      </c>
      <c r="H625" t="str">
        <f>"CUST#0888336/ELGIN TOWER"</f>
        <v>CUST#0888336/ELGIN TOWER</v>
      </c>
    </row>
    <row r="626" spans="1:8" x14ac:dyDescent="0.25">
      <c r="A626" t="s">
        <v>153</v>
      </c>
      <c r="B626">
        <v>83353</v>
      </c>
      <c r="C626" s="2">
        <v>175819.15</v>
      </c>
      <c r="D626" s="1">
        <v>43689</v>
      </c>
      <c r="E626" t="str">
        <f>"9402078937"</f>
        <v>9402078937</v>
      </c>
      <c r="F626" t="str">
        <f>"ACCT#912897/BOL#24926/PCT#3"</f>
        <v>ACCT#912897/BOL#24926/PCT#3</v>
      </c>
      <c r="G626" s="2">
        <v>17192.41</v>
      </c>
      <c r="H626" t="str">
        <f>"ACCT#912897/BOL#24926/PCT#3"</f>
        <v>ACCT#912897/BOL#24926/PCT#3</v>
      </c>
    </row>
    <row r="627" spans="1:8" x14ac:dyDescent="0.25">
      <c r="E627" t="str">
        <f>"9402079817"</f>
        <v>9402079817</v>
      </c>
      <c r="F627" t="str">
        <f>"ACCT#912922/BOL#24930/PCT#1"</f>
        <v>ACCT#912922/BOL#24930/PCT#1</v>
      </c>
      <c r="G627" s="2">
        <v>4643.8599999999997</v>
      </c>
      <c r="H627" t="str">
        <f>"ACCT#912922/BOL#24930/PCT#1"</f>
        <v>ACCT#912922/BOL#24930/PCT#1</v>
      </c>
    </row>
    <row r="628" spans="1:8" x14ac:dyDescent="0.25">
      <c r="E628" t="str">
        <f>"9402082943"</f>
        <v>9402082943</v>
      </c>
      <c r="F628" t="str">
        <f>"ACCT#912922/BOL#24972/PCT#1"</f>
        <v>ACCT#912922/BOL#24972/PCT#1</v>
      </c>
      <c r="G628" s="2">
        <v>14754</v>
      </c>
      <c r="H628" t="str">
        <f>"ACCT#912922/BOL#24972/PCT#1"</f>
        <v>ACCT#912922/BOL#24972/PCT#1</v>
      </c>
    </row>
    <row r="629" spans="1:8" x14ac:dyDescent="0.25">
      <c r="E629" t="str">
        <f>"9402084143"</f>
        <v>9402084143</v>
      </c>
      <c r="F629" t="str">
        <f>"ACCT#912897/BOL#24992/PCT#3"</f>
        <v>ACCT#912897/BOL#24992/PCT#3</v>
      </c>
      <c r="G629" s="2">
        <v>16197.8</v>
      </c>
      <c r="H629" t="str">
        <f>"ACCT#912897/BOL#24992/PCT#3"</f>
        <v>ACCT#912897/BOL#24992/PCT#3</v>
      </c>
    </row>
    <row r="630" spans="1:8" x14ac:dyDescent="0.25">
      <c r="E630" t="str">
        <f>"9402085816"</f>
        <v>9402085816</v>
      </c>
      <c r="F630" t="str">
        <f>"ACCT#912904/BOL#25006/PCT#2"</f>
        <v>ACCT#912904/BOL#25006/PCT#2</v>
      </c>
      <c r="G630" s="2">
        <v>17564.54</v>
      </c>
      <c r="H630" t="str">
        <f>"ACCT#912904/BOL#25006/PCT#2"</f>
        <v>ACCT#912904/BOL#25006/PCT#2</v>
      </c>
    </row>
    <row r="631" spans="1:8" x14ac:dyDescent="0.25">
      <c r="E631" t="str">
        <f>"9402085817"</f>
        <v>9402085817</v>
      </c>
      <c r="F631" t="str">
        <f>"ACCT#912904/BOL#25007/PCT#2"</f>
        <v>ACCT#912904/BOL#25007/PCT#2</v>
      </c>
      <c r="G631" s="2">
        <v>12079.79</v>
      </c>
      <c r="H631" t="str">
        <f>"ACCT#912904/BOL#25007/PCT#2"</f>
        <v>ACCT#912904/BOL#25007/PCT#2</v>
      </c>
    </row>
    <row r="632" spans="1:8" x14ac:dyDescent="0.25">
      <c r="E632" t="str">
        <f>"9402085818"</f>
        <v>9402085818</v>
      </c>
      <c r="F632" t="str">
        <f>"ACCT#912904/BOL#25011/PCT#2"</f>
        <v>ACCT#912904/BOL#25011/PCT#2</v>
      </c>
      <c r="G632" s="2">
        <v>17862.240000000002</v>
      </c>
      <c r="H632" t="str">
        <f>"ACCT#912904/BOL#25011/PCT#2"</f>
        <v>ACCT#912904/BOL#25011/PCT#2</v>
      </c>
    </row>
    <row r="633" spans="1:8" x14ac:dyDescent="0.25">
      <c r="E633" t="str">
        <f>"9402085970"</f>
        <v>9402085970</v>
      </c>
      <c r="F633" t="str">
        <f>"ACCT#912897/BOL#25005/PCT#3"</f>
        <v>ACCT#912897/BOL#25005/PCT#3</v>
      </c>
      <c r="G633" s="2">
        <v>16069.25</v>
      </c>
      <c r="H633" t="str">
        <f>"ACCT#912897/BOL#25005/PCT#3"</f>
        <v>ACCT#912897/BOL#25005/PCT#3</v>
      </c>
    </row>
    <row r="634" spans="1:8" x14ac:dyDescent="0.25">
      <c r="E634" t="str">
        <f>"9402088322"</f>
        <v>9402088322</v>
      </c>
      <c r="F634" t="str">
        <f>"ACCT#912904/BOL#25051/PCT#2"</f>
        <v>ACCT#912904/BOL#25051/PCT#2</v>
      </c>
      <c r="G634" s="2">
        <v>16597</v>
      </c>
      <c r="H634" t="str">
        <f>"ACCT#912904/BOL#25051/PCT#2"</f>
        <v>ACCT#912904/BOL#25051/PCT#2</v>
      </c>
    </row>
    <row r="635" spans="1:8" x14ac:dyDescent="0.25">
      <c r="E635" t="str">
        <f>"9402089001"</f>
        <v>9402089001</v>
      </c>
      <c r="F635" t="str">
        <f>"ACCT#912904/BOL#25058/PCT#2"</f>
        <v>ACCT#912904/BOL#25058/PCT#2</v>
      </c>
      <c r="G635" s="2">
        <v>16306.06</v>
      </c>
      <c r="H635" t="str">
        <f>"ACCT#912904/BOL#25058/PCT#2"</f>
        <v>ACCT#912904/BOL#25058/PCT#2</v>
      </c>
    </row>
    <row r="636" spans="1:8" x14ac:dyDescent="0.25">
      <c r="E636" t="str">
        <f>"9402089002"</f>
        <v>9402089002</v>
      </c>
      <c r="F636" t="str">
        <f>"ACCT#912904/BOL#25058/PCT#2"</f>
        <v>ACCT#912904/BOL#25058/PCT#2</v>
      </c>
      <c r="G636" s="2">
        <v>16921.77</v>
      </c>
      <c r="H636" t="str">
        <f>"ACCT#912904/BOL#25058/PCT#2"</f>
        <v>ACCT#912904/BOL#25058/PCT#2</v>
      </c>
    </row>
    <row r="637" spans="1:8" x14ac:dyDescent="0.25">
      <c r="E637" t="str">
        <f>"9402089190"</f>
        <v>9402089190</v>
      </c>
      <c r="F637" t="str">
        <f>"ACCT#912922/BOL#25056/PCT#1"</f>
        <v>ACCT#912922/BOL#25056/PCT#1</v>
      </c>
      <c r="G637" s="2">
        <v>4963.7299999999996</v>
      </c>
      <c r="H637" t="str">
        <f>"ACCT#912922/BOL#25056/PCT#1"</f>
        <v>ACCT#912922/BOL#25056/PCT#1</v>
      </c>
    </row>
    <row r="638" spans="1:8" x14ac:dyDescent="0.25">
      <c r="E638" t="str">
        <f>"9402090304"</f>
        <v>9402090304</v>
      </c>
      <c r="F638" t="str">
        <f>"ACCT#912922/BOL#25081/PCT#1"</f>
        <v>ACCT#912922/BOL#25081/PCT#1</v>
      </c>
      <c r="G638" s="2">
        <v>4666.7</v>
      </c>
      <c r="H638" t="str">
        <f>"ACCT#912922/BOL#25081/PCT#1"</f>
        <v>ACCT#912922/BOL#25081/PCT#1</v>
      </c>
    </row>
    <row r="639" spans="1:8" x14ac:dyDescent="0.25">
      <c r="A639" t="s">
        <v>153</v>
      </c>
      <c r="B639">
        <v>83572</v>
      </c>
      <c r="C639" s="2">
        <v>96465.14</v>
      </c>
      <c r="D639" s="1">
        <v>43703</v>
      </c>
      <c r="E639" t="str">
        <f>"9402086936"</f>
        <v>9402086936</v>
      </c>
      <c r="F639" t="str">
        <f>"ACCT#912897/BOL#10022/PCT#3"</f>
        <v>ACCT#912897/BOL#10022/PCT#3</v>
      </c>
      <c r="G639" s="2">
        <v>15758.01</v>
      </c>
      <c r="H639" t="str">
        <f>"ACCT#912897/BOL#10022/PCT#3"</f>
        <v>ACCT#912897/BOL#10022/PCT#3</v>
      </c>
    </row>
    <row r="640" spans="1:8" x14ac:dyDescent="0.25">
      <c r="E640" t="str">
        <f>"9402096046"</f>
        <v>9402096046</v>
      </c>
      <c r="F640" t="str">
        <f>"ACCT#912904/BOL#25161/PCT#2"</f>
        <v>ACCT#912904/BOL#25161/PCT#2</v>
      </c>
      <c r="G640" s="2">
        <v>14391.28</v>
      </c>
      <c r="H640" t="str">
        <f>"ACCT#912904/BOL#25161/PCT#2"</f>
        <v>ACCT#912904/BOL#25161/PCT#2</v>
      </c>
    </row>
    <row r="641" spans="1:8" x14ac:dyDescent="0.25">
      <c r="E641" t="str">
        <f>"9402096047"</f>
        <v>9402096047</v>
      </c>
      <c r="F641" t="str">
        <f>"ACCT#912922/BOL#25163/PCT#1"</f>
        <v>ACCT#912922/BOL#25163/PCT#1</v>
      </c>
      <c r="G641" s="2">
        <v>15286.57</v>
      </c>
      <c r="H641" t="str">
        <f>"ACCT#912922/BOL#25163/PCT#1"</f>
        <v>ACCT#912922/BOL#25163/PCT#1</v>
      </c>
    </row>
    <row r="642" spans="1:8" x14ac:dyDescent="0.25">
      <c r="E642" t="str">
        <f>"9402096799"</f>
        <v>9402096799</v>
      </c>
      <c r="F642" t="str">
        <f>"ACCT#912897/BOL#25170/PCT#3"</f>
        <v>ACCT#912897/BOL#25170/PCT#3</v>
      </c>
      <c r="G642" s="2">
        <v>15965.18</v>
      </c>
      <c r="H642" t="str">
        <f>"ACCT#912897/BOL#25170/PCT#3"</f>
        <v>ACCT#912897/BOL#25170/PCT#3</v>
      </c>
    </row>
    <row r="643" spans="1:8" x14ac:dyDescent="0.25">
      <c r="E643" t="str">
        <f>"9402101320"</f>
        <v>9402101320</v>
      </c>
      <c r="F643" t="str">
        <f>"ACCT#912923/BOL#25227/PCT#4"</f>
        <v>ACCT#912923/BOL#25227/PCT#4</v>
      </c>
      <c r="G643" s="2">
        <v>6475.64</v>
      </c>
      <c r="H643" t="str">
        <f>"ACCT#912923/BOL#25227/PCT#4"</f>
        <v>ACCT#912923/BOL#25227/PCT#4</v>
      </c>
    </row>
    <row r="644" spans="1:8" x14ac:dyDescent="0.25">
      <c r="E644" t="str">
        <f>"9402102113"</f>
        <v>9402102113</v>
      </c>
      <c r="F644" t="str">
        <f>"ACCT#912922/BOL#25233/PCT#1"</f>
        <v>ACCT#912922/BOL#25233/PCT#1</v>
      </c>
      <c r="G644" s="2">
        <v>4735.25</v>
      </c>
      <c r="H644" t="str">
        <f>"ACCT#912922/BOL#25233/PCT#1"</f>
        <v>ACCT#912922/BOL#25233/PCT#1</v>
      </c>
    </row>
    <row r="645" spans="1:8" x14ac:dyDescent="0.25">
      <c r="E645" t="str">
        <f>"9402104076"</f>
        <v>9402104076</v>
      </c>
      <c r="F645" t="str">
        <f>"ACCT#912922/BOL#25267/PCT#1"</f>
        <v>ACCT#912922/BOL#25267/PCT#1</v>
      </c>
      <c r="G645" s="2">
        <v>3918.43</v>
      </c>
      <c r="H645" t="str">
        <f>"ACCT#912922/BOL#25267/PCT#1"</f>
        <v>ACCT#912922/BOL#25267/PCT#1</v>
      </c>
    </row>
    <row r="646" spans="1:8" x14ac:dyDescent="0.25">
      <c r="E646" t="str">
        <f>"9402104077"</f>
        <v>9402104077</v>
      </c>
      <c r="F646" t="str">
        <f>"ACCT#912922/BOL#25268/PCT#1"</f>
        <v>ACCT#912922/BOL#25268/PCT#1</v>
      </c>
      <c r="G646" s="2">
        <v>15262.36</v>
      </c>
      <c r="H646" t="str">
        <f>"ACCT#912922/BOL#25268/PCT#1"</f>
        <v>ACCT#912922/BOL#25268/PCT#1</v>
      </c>
    </row>
    <row r="647" spans="1:8" x14ac:dyDescent="0.25">
      <c r="E647" t="str">
        <f>"9402104447"</f>
        <v>9402104447</v>
      </c>
      <c r="F647" t="str">
        <f>"ACCT#912923/BOL#25261/PCT#4"</f>
        <v>ACCT#912923/BOL#25261/PCT#4</v>
      </c>
      <c r="G647" s="2">
        <v>4672.42</v>
      </c>
      <c r="H647" t="str">
        <f>"ACCT#912923/BOL#25261/PCT#4"</f>
        <v>ACCT#912923/BOL#25261/PCT#4</v>
      </c>
    </row>
    <row r="648" spans="1:8" x14ac:dyDescent="0.25">
      <c r="A648" t="s">
        <v>154</v>
      </c>
      <c r="B648">
        <v>1182</v>
      </c>
      <c r="C648" s="2">
        <v>1999.9</v>
      </c>
      <c r="D648" s="1">
        <v>43690</v>
      </c>
      <c r="E648" t="str">
        <f>"201907230645"</f>
        <v>201907230645</v>
      </c>
      <c r="F648" t="str">
        <f>"WORK WITH CT MEMBERS/STAFF"</f>
        <v>WORK WITH CT MEMBERS/STAFF</v>
      </c>
      <c r="G648" s="2">
        <v>1999.9</v>
      </c>
      <c r="H648" t="str">
        <f>"WORK WITH CT MEMBERS/STAFF"</f>
        <v>WORK WITH CT MEMBERS/STAFF</v>
      </c>
    </row>
    <row r="649" spans="1:8" x14ac:dyDescent="0.25">
      <c r="A649" t="s">
        <v>155</v>
      </c>
      <c r="B649">
        <v>1192</v>
      </c>
      <c r="C649" s="2">
        <v>9696.36</v>
      </c>
      <c r="D649" s="1">
        <v>43690</v>
      </c>
      <c r="E649" t="str">
        <f>"201907240660"</f>
        <v>201907240660</v>
      </c>
      <c r="F649" t="str">
        <f>"GRANT REIMBURSEMENT-JUNE 2019"</f>
        <v>GRANT REIMBURSEMENT-JUNE 2019</v>
      </c>
      <c r="G649" s="2">
        <v>8229.36</v>
      </c>
      <c r="H649" t="str">
        <f>"GRANT REIMBURSEMENT-JUNE 2019"</f>
        <v>GRANT REIMBURSEMENT-JUNE 2019</v>
      </c>
    </row>
    <row r="650" spans="1:8" x14ac:dyDescent="0.25">
      <c r="E650" t="str">
        <f>"201908071018"</f>
        <v>201908071018</v>
      </c>
      <c r="F650" t="str">
        <f>"SANE EXAM/19-S-03931"</f>
        <v>SANE EXAM/19-S-03931</v>
      </c>
      <c r="G650" s="2">
        <v>489</v>
      </c>
      <c r="H650" t="str">
        <f>"SANE EXAM/19-S-03931"</f>
        <v>SANE EXAM/19-S-03931</v>
      </c>
    </row>
    <row r="651" spans="1:8" x14ac:dyDescent="0.25">
      <c r="E651" t="str">
        <f>"201908071019"</f>
        <v>201908071019</v>
      </c>
      <c r="F651" t="str">
        <f>"SANE EXAM/19-S-03977"</f>
        <v>SANE EXAM/19-S-03977</v>
      </c>
      <c r="G651" s="2">
        <v>489</v>
      </c>
      <c r="H651" t="str">
        <f>"SANE EXAM/19-S-03977"</f>
        <v>SANE EXAM/19-S-03977</v>
      </c>
    </row>
    <row r="652" spans="1:8" x14ac:dyDescent="0.25">
      <c r="E652" t="str">
        <f>"201908071020"</f>
        <v>201908071020</v>
      </c>
      <c r="F652" t="str">
        <f>"SANE EXAM/19-S-03656"</f>
        <v>SANE EXAM/19-S-03656</v>
      </c>
      <c r="G652" s="2">
        <v>489</v>
      </c>
      <c r="H652" t="str">
        <f>"SANE EXAM/19-S-03656"</f>
        <v>SANE EXAM/19-S-03656</v>
      </c>
    </row>
    <row r="653" spans="1:8" x14ac:dyDescent="0.25">
      <c r="A653" t="s">
        <v>156</v>
      </c>
      <c r="B653">
        <v>83354</v>
      </c>
      <c r="C653" s="2">
        <v>100</v>
      </c>
      <c r="D653" s="1">
        <v>43689</v>
      </c>
      <c r="E653" t="str">
        <f>"13006"</f>
        <v>13006</v>
      </c>
      <c r="F653" t="str">
        <f>"SERVICE"</f>
        <v>SERVICE</v>
      </c>
      <c r="G653" s="2">
        <v>100</v>
      </c>
      <c r="H653" t="str">
        <f>"SERVICE"</f>
        <v>SERVICE</v>
      </c>
    </row>
    <row r="654" spans="1:8" x14ac:dyDescent="0.25">
      <c r="A654" t="s">
        <v>157</v>
      </c>
      <c r="B654">
        <v>83355</v>
      </c>
      <c r="C654" s="2">
        <v>94.58</v>
      </c>
      <c r="D654" s="1">
        <v>43689</v>
      </c>
      <c r="E654" t="str">
        <f>"6-616-12676"</f>
        <v>6-616-12676</v>
      </c>
      <c r="F654" t="str">
        <f>"INV 6-616-12676"</f>
        <v>INV 6-616-12676</v>
      </c>
      <c r="G654" s="2">
        <v>68.78</v>
      </c>
      <c r="H654" t="str">
        <f>"INV 6-616-12676"</f>
        <v>INV 6-616-12676</v>
      </c>
    </row>
    <row r="655" spans="1:8" x14ac:dyDescent="0.25">
      <c r="E655" t="str">
        <f>"6-630-69115"</f>
        <v>6-630-69115</v>
      </c>
      <c r="F655" t="str">
        <f>"ACCT#1305-8295-8/SHIPPING"</f>
        <v>ACCT#1305-8295-8/SHIPPING</v>
      </c>
      <c r="G655" s="2">
        <v>25.8</v>
      </c>
      <c r="H655" t="str">
        <f>"ACCT#1305-8295-8/SHIPPING"</f>
        <v>ACCT#1305-8295-8/SHIPPING</v>
      </c>
    </row>
    <row r="656" spans="1:8" x14ac:dyDescent="0.25">
      <c r="A656" t="s">
        <v>157</v>
      </c>
      <c r="B656">
        <v>83573</v>
      </c>
      <c r="C656" s="2">
        <v>48.92</v>
      </c>
      <c r="D656" s="1">
        <v>43703</v>
      </c>
      <c r="E656" t="str">
        <f>"6-707-96459"</f>
        <v>6-707-96459</v>
      </c>
      <c r="F656" t="str">
        <f>"INV 6-707-96459"</f>
        <v>INV 6-707-96459</v>
      </c>
      <c r="G656" s="2">
        <v>48.92</v>
      </c>
      <c r="H656" t="str">
        <f>"INV 6-707-96459"</f>
        <v>INV 6-707-96459</v>
      </c>
    </row>
    <row r="657" spans="1:8" x14ac:dyDescent="0.25">
      <c r="A657" t="s">
        <v>158</v>
      </c>
      <c r="B657">
        <v>83356</v>
      </c>
      <c r="C657" s="2">
        <v>418.48</v>
      </c>
      <c r="D657" s="1">
        <v>43689</v>
      </c>
      <c r="E657" t="str">
        <f>"31117877"</f>
        <v>31117877</v>
      </c>
      <c r="F657" t="str">
        <f>"ACCT#80975-001/PCT#3"</f>
        <v>ACCT#80975-001/PCT#3</v>
      </c>
      <c r="G657" s="2">
        <v>59.36</v>
      </c>
      <c r="H657" t="str">
        <f>"ACCT#80975-001/PCT#3"</f>
        <v>ACCT#80975-001/PCT#3</v>
      </c>
    </row>
    <row r="658" spans="1:8" x14ac:dyDescent="0.25">
      <c r="E658" t="str">
        <f>"31769375"</f>
        <v>31769375</v>
      </c>
      <c r="F658" t="str">
        <f>"ACCT#80975-001/PARTS/PCT#3"</f>
        <v>ACCT#80975-001/PARTS/PCT#3</v>
      </c>
      <c r="G658" s="2">
        <v>359.12</v>
      </c>
      <c r="H658" t="str">
        <f>"ACCT#80975-001/PARTS/PCT#3"</f>
        <v>ACCT#80975-001/PARTS/PCT#3</v>
      </c>
    </row>
    <row r="659" spans="1:8" x14ac:dyDescent="0.25">
      <c r="A659" t="s">
        <v>158</v>
      </c>
      <c r="B659">
        <v>83574</v>
      </c>
      <c r="C659" s="2">
        <v>1075.53</v>
      </c>
      <c r="D659" s="1">
        <v>43703</v>
      </c>
      <c r="E659" t="str">
        <f>"33037380"</f>
        <v>33037380</v>
      </c>
      <c r="F659" t="str">
        <f>"ACCT#80975-001/PCT#3"</f>
        <v>ACCT#80975-001/PCT#3</v>
      </c>
      <c r="G659" s="2">
        <v>98.62</v>
      </c>
      <c r="H659" t="str">
        <f>"ACCT#80975-001/PCT#3"</f>
        <v>ACCT#80975-001/PCT#3</v>
      </c>
    </row>
    <row r="660" spans="1:8" x14ac:dyDescent="0.25">
      <c r="E660" t="str">
        <f>"33436264"</f>
        <v>33436264</v>
      </c>
      <c r="F660" t="str">
        <f>"ACCT#80975/PCT#1"</f>
        <v>ACCT#80975/PCT#1</v>
      </c>
      <c r="G660" s="2">
        <v>182.4</v>
      </c>
      <c r="H660" t="str">
        <f>"ACCT#80975/PCT#1"</f>
        <v>ACCT#80975/PCT#1</v>
      </c>
    </row>
    <row r="661" spans="1:8" x14ac:dyDescent="0.25">
      <c r="E661" t="str">
        <f>"33455003"</f>
        <v>33455003</v>
      </c>
      <c r="F661" t="str">
        <f>"ACCT#80975-001/PCT#3"</f>
        <v>ACCT#80975-001/PCT#3</v>
      </c>
      <c r="G661" s="2">
        <v>794.51</v>
      </c>
      <c r="H661" t="str">
        <f>"ACCT#80975-001/PCT#3"</f>
        <v>ACCT#80975-001/PCT#3</v>
      </c>
    </row>
    <row r="662" spans="1:8" x14ac:dyDescent="0.25">
      <c r="A662" t="s">
        <v>159</v>
      </c>
      <c r="B662">
        <v>1148</v>
      </c>
      <c r="C662" s="2">
        <v>420</v>
      </c>
      <c r="D662" s="1">
        <v>43690</v>
      </c>
      <c r="E662" t="str">
        <f>"201908020817"</f>
        <v>201908020817</v>
      </c>
      <c r="F662" t="str">
        <f>"REFUND BAIL BOND COUPONS"</f>
        <v>REFUND BAIL BOND COUPONS</v>
      </c>
      <c r="G662" s="2">
        <v>420</v>
      </c>
      <c r="H662" t="str">
        <f>"REFUND BAIL BOND COUPONS"</f>
        <v>REFUND BAIL BOND COUPONS</v>
      </c>
    </row>
    <row r="663" spans="1:8" x14ac:dyDescent="0.25">
      <c r="A663" t="s">
        <v>160</v>
      </c>
      <c r="B663">
        <v>83575</v>
      </c>
      <c r="C663" s="2">
        <v>5752.5</v>
      </c>
      <c r="D663" s="1">
        <v>43703</v>
      </c>
      <c r="E663" t="str">
        <f>"71152"</f>
        <v>71152</v>
      </c>
      <c r="F663" t="str">
        <f>"20180202:KSW-TX"</f>
        <v>20180202:KSW-TX</v>
      </c>
      <c r="G663" s="2">
        <v>5752.5</v>
      </c>
      <c r="H663" t="str">
        <f>"20180202:KSW-TX"</f>
        <v>20180202:KSW-TX</v>
      </c>
    </row>
    <row r="664" spans="1:8" x14ac:dyDescent="0.25">
      <c r="A664" t="s">
        <v>161</v>
      </c>
      <c r="B664">
        <v>1193</v>
      </c>
      <c r="C664" s="2">
        <v>250</v>
      </c>
      <c r="D664" s="1">
        <v>43690</v>
      </c>
      <c r="E664" t="str">
        <f>"201907310726"</f>
        <v>201907310726</v>
      </c>
      <c r="F664" t="str">
        <f>"55 746"</f>
        <v>55 746</v>
      </c>
      <c r="G664" s="2">
        <v>250</v>
      </c>
      <c r="H664" t="str">
        <f>"55 746"</f>
        <v>55 746</v>
      </c>
    </row>
    <row r="665" spans="1:8" x14ac:dyDescent="0.25">
      <c r="A665" t="s">
        <v>161</v>
      </c>
      <c r="B665">
        <v>1263</v>
      </c>
      <c r="C665" s="2">
        <v>1450</v>
      </c>
      <c r="D665" s="1">
        <v>43704</v>
      </c>
      <c r="E665" t="str">
        <f>"201908141069"</f>
        <v>201908141069</v>
      </c>
      <c r="F665" t="str">
        <f>"16 584"</f>
        <v>16 584</v>
      </c>
      <c r="G665" s="2">
        <v>1200</v>
      </c>
      <c r="H665" t="str">
        <f>"16 584"</f>
        <v>16 584</v>
      </c>
    </row>
    <row r="666" spans="1:8" x14ac:dyDescent="0.25">
      <c r="E666" t="str">
        <f>"201908201149"</f>
        <v>201908201149</v>
      </c>
      <c r="F666" t="str">
        <f>"020122.2"</f>
        <v>020122.2</v>
      </c>
      <c r="G666" s="2">
        <v>250</v>
      </c>
      <c r="H666" t="str">
        <f>"020122.2"</f>
        <v>020122.2</v>
      </c>
    </row>
    <row r="667" spans="1:8" x14ac:dyDescent="0.25">
      <c r="A667" t="s">
        <v>162</v>
      </c>
      <c r="B667">
        <v>83576</v>
      </c>
      <c r="C667" s="2">
        <v>80</v>
      </c>
      <c r="D667" s="1">
        <v>43703</v>
      </c>
      <c r="E667" t="str">
        <f>"13025"</f>
        <v>13025</v>
      </c>
      <c r="F667" t="str">
        <f>"SERVICE"</f>
        <v>SERVICE</v>
      </c>
      <c r="G667" s="2">
        <v>80</v>
      </c>
      <c r="H667" t="str">
        <f>"SERVICE"</f>
        <v>SERVICE</v>
      </c>
    </row>
    <row r="668" spans="1:8" x14ac:dyDescent="0.25">
      <c r="A668" t="s">
        <v>163</v>
      </c>
      <c r="B668">
        <v>1180</v>
      </c>
      <c r="C668" s="2">
        <v>214.12</v>
      </c>
      <c r="D668" s="1">
        <v>43690</v>
      </c>
      <c r="E668" t="str">
        <f>"201907300700"</f>
        <v>201907300700</v>
      </c>
      <c r="F668" t="str">
        <f>"MILEAGE REIMBURSEMENT"</f>
        <v>MILEAGE REIMBURSEMENT</v>
      </c>
      <c r="G668" s="2">
        <v>129.91999999999999</v>
      </c>
      <c r="H668" t="str">
        <f>"MILEAGE REIMBURSEMENT"</f>
        <v>MILEAGE REIMBURSEMENT</v>
      </c>
    </row>
    <row r="669" spans="1:8" x14ac:dyDescent="0.25">
      <c r="E669" t="str">
        <f>"201907300701"</f>
        <v>201907300701</v>
      </c>
      <c r="F669" t="str">
        <f>"REIMBURSE-MAIL/PARKING"</f>
        <v>REIMBURSE-MAIL/PARKING</v>
      </c>
      <c r="G669" s="2">
        <v>84.2</v>
      </c>
      <c r="H669" t="str">
        <f>"REIMBURSE-MAIL/PARKING"</f>
        <v>REIMBURSE-MAIL/PARKING</v>
      </c>
    </row>
    <row r="670" spans="1:8" x14ac:dyDescent="0.25">
      <c r="A670" t="s">
        <v>164</v>
      </c>
      <c r="B670">
        <v>83577</v>
      </c>
      <c r="C670" s="2">
        <v>85</v>
      </c>
      <c r="D670" s="1">
        <v>43703</v>
      </c>
      <c r="E670" t="str">
        <f>"201908141096"</f>
        <v>201908141096</v>
      </c>
      <c r="F670" t="str">
        <f>"PER DIEM"</f>
        <v>PER DIEM</v>
      </c>
      <c r="G670" s="2">
        <v>85</v>
      </c>
      <c r="H670" t="str">
        <f>"PER DIEM"</f>
        <v>PER DIEM</v>
      </c>
    </row>
    <row r="671" spans="1:8" x14ac:dyDescent="0.25">
      <c r="A671" t="s">
        <v>165</v>
      </c>
      <c r="B671">
        <v>83357</v>
      </c>
      <c r="C671" s="2">
        <v>165</v>
      </c>
      <c r="D671" s="1">
        <v>43689</v>
      </c>
      <c r="E671" t="str">
        <f>"3456"</f>
        <v>3456</v>
      </c>
      <c r="F671" t="str">
        <f>"INV 3456"</f>
        <v>INV 3456</v>
      </c>
      <c r="G671" s="2">
        <v>165</v>
      </c>
      <c r="H671" t="str">
        <f>"INV 3456"</f>
        <v>INV 3456</v>
      </c>
    </row>
    <row r="672" spans="1:8" x14ac:dyDescent="0.25">
      <c r="A672" t="s">
        <v>166</v>
      </c>
      <c r="B672">
        <v>1184</v>
      </c>
      <c r="C672" s="2">
        <v>1117.29</v>
      </c>
      <c r="D672" s="1">
        <v>43690</v>
      </c>
      <c r="E672" t="str">
        <f>"AP404941"</f>
        <v>AP404941</v>
      </c>
      <c r="F672" t="str">
        <f>"ACCT#3324/JUMPER/PCT#3"</f>
        <v>ACCT#3324/JUMPER/PCT#3</v>
      </c>
      <c r="G672" s="2">
        <v>203.51</v>
      </c>
      <c r="H672" t="str">
        <f>"ACCT#3324/JUMPER/PCT#3"</f>
        <v>ACCT#3324/JUMPER/PCT#3</v>
      </c>
    </row>
    <row r="673" spans="1:8" x14ac:dyDescent="0.25">
      <c r="E673" t="str">
        <f>"AP404985"</f>
        <v>AP404985</v>
      </c>
      <c r="F673" t="str">
        <f>"ACCT#3324/ASSY-COVER/PCT#3"</f>
        <v>ACCT#3324/ASSY-COVER/PCT#3</v>
      </c>
      <c r="G673" s="2">
        <v>127.7</v>
      </c>
      <c r="H673" t="str">
        <f>"ACCT#3324/ASSY-COVER/PCT#3"</f>
        <v>ACCT#3324/ASSY-COVER/PCT#3</v>
      </c>
    </row>
    <row r="674" spans="1:8" x14ac:dyDescent="0.25">
      <c r="E674" t="str">
        <f>"AP406255"</f>
        <v>AP406255</v>
      </c>
      <c r="F674" t="str">
        <f>"ACCT#3326/PCT#4"</f>
        <v>ACCT#3326/PCT#4</v>
      </c>
      <c r="G674" s="2">
        <v>223.42</v>
      </c>
      <c r="H674" t="str">
        <f>"ACCT#3326/PCT#4"</f>
        <v>ACCT#3326/PCT#4</v>
      </c>
    </row>
    <row r="675" spans="1:8" x14ac:dyDescent="0.25">
      <c r="E675" t="str">
        <f>"AP406256"</f>
        <v>AP406256</v>
      </c>
      <c r="F675" t="str">
        <f>"ACCT#3326/PCT#4"</f>
        <v>ACCT#3326/PCT#4</v>
      </c>
      <c r="G675" s="2">
        <v>493.34</v>
      </c>
      <c r="H675" t="str">
        <f>"ACCT#3326/PCT#4"</f>
        <v>ACCT#3326/PCT#4</v>
      </c>
    </row>
    <row r="676" spans="1:8" x14ac:dyDescent="0.25">
      <c r="E676" t="str">
        <f>"AP406596"</f>
        <v>AP406596</v>
      </c>
      <c r="F676" t="str">
        <f>"ACCT#3326/PCT#4"</f>
        <v>ACCT#3326/PCT#4</v>
      </c>
      <c r="G676" s="2">
        <v>69.319999999999993</v>
      </c>
      <c r="H676" t="str">
        <f>"ACCT#3326/PCT#4"</f>
        <v>ACCT#3326/PCT#4</v>
      </c>
    </row>
    <row r="677" spans="1:8" x14ac:dyDescent="0.25">
      <c r="A677" t="s">
        <v>166</v>
      </c>
      <c r="B677">
        <v>1259</v>
      </c>
      <c r="C677" s="2">
        <v>668.3</v>
      </c>
      <c r="D677" s="1">
        <v>43704</v>
      </c>
      <c r="E677" t="str">
        <f>"AP407316"</f>
        <v>AP407316</v>
      </c>
      <c r="F677" t="str">
        <f>"ACCT#3325/PCT#2"</f>
        <v>ACCT#3325/PCT#2</v>
      </c>
      <c r="G677" s="2">
        <v>153.28</v>
      </c>
      <c r="H677" t="str">
        <f>"ACCT#3325/PCT#2"</f>
        <v>ACCT#3325/PCT#2</v>
      </c>
    </row>
    <row r="678" spans="1:8" x14ac:dyDescent="0.25">
      <c r="E678" t="str">
        <f>"AP407380"</f>
        <v>AP407380</v>
      </c>
      <c r="F678" t="str">
        <f>"ACCT#3325/PCT#2"</f>
        <v>ACCT#3325/PCT#2</v>
      </c>
      <c r="G678" s="2">
        <v>41.72</v>
      </c>
      <c r="H678" t="str">
        <f>"ACCT#3325/PCT#2"</f>
        <v>ACCT#3325/PCT#2</v>
      </c>
    </row>
    <row r="679" spans="1:8" x14ac:dyDescent="0.25">
      <c r="E679" t="str">
        <f>"AP407417"</f>
        <v>AP407417</v>
      </c>
      <c r="F679" t="str">
        <f>"ACCT#3325/PCT#2"</f>
        <v>ACCT#3325/PCT#2</v>
      </c>
      <c r="G679" s="2">
        <v>220.96</v>
      </c>
      <c r="H679" t="str">
        <f>"ACCT#3325/PCT#2"</f>
        <v>ACCT#3325/PCT#2</v>
      </c>
    </row>
    <row r="680" spans="1:8" x14ac:dyDescent="0.25">
      <c r="E680" t="str">
        <f>"AP408007"</f>
        <v>AP408007</v>
      </c>
      <c r="F680" t="str">
        <f>"ACCT#3324/PCT#3"</f>
        <v>ACCT#3324/PCT#3</v>
      </c>
      <c r="G680" s="2">
        <v>137.72</v>
      </c>
      <c r="H680" t="str">
        <f>"ACCT#3324/PCT#3"</f>
        <v>ACCT#3324/PCT#3</v>
      </c>
    </row>
    <row r="681" spans="1:8" x14ac:dyDescent="0.25">
      <c r="E681" t="str">
        <f>"RP184331"</f>
        <v>RP184331</v>
      </c>
      <c r="F681" t="str">
        <f>"ACCT#3326/PCT#4"</f>
        <v>ACCT#3326/PCT#4</v>
      </c>
      <c r="G681" s="2">
        <v>114.62</v>
      </c>
      <c r="H681" t="str">
        <f>"ACCT#3326/PCT#4"</f>
        <v>ACCT#3326/PCT#4</v>
      </c>
    </row>
    <row r="682" spans="1:8" x14ac:dyDescent="0.25">
      <c r="A682" t="s">
        <v>167</v>
      </c>
      <c r="B682">
        <v>1194</v>
      </c>
      <c r="C682" s="2">
        <v>61.44</v>
      </c>
      <c r="D682" s="1">
        <v>43690</v>
      </c>
      <c r="E682" t="str">
        <f>"109304"</f>
        <v>109304</v>
      </c>
      <c r="F682" t="str">
        <f>"BUSINESS CARDS/DEV SVCS"</f>
        <v>BUSINESS CARDS/DEV SVCS</v>
      </c>
      <c r="G682" s="2">
        <v>30.72</v>
      </c>
      <c r="H682" t="str">
        <f>"BUSINESS CARDS/DEV SVCS"</f>
        <v>BUSINESS CARDS/DEV SVCS</v>
      </c>
    </row>
    <row r="683" spans="1:8" x14ac:dyDescent="0.25">
      <c r="E683" t="str">
        <f>"109343"</f>
        <v>109343</v>
      </c>
      <c r="F683" t="str">
        <f>"BUSINESS CARDS"</f>
        <v>BUSINESS CARDS</v>
      </c>
      <c r="G683" s="2">
        <v>30.72</v>
      </c>
      <c r="H683" t="str">
        <f>"BUSINESS CARDS"</f>
        <v>BUSINESS CARDS</v>
      </c>
    </row>
    <row r="684" spans="1:8" x14ac:dyDescent="0.25">
      <c r="A684" t="s">
        <v>167</v>
      </c>
      <c r="B684">
        <v>1264</v>
      </c>
      <c r="C684" s="2">
        <v>40.96</v>
      </c>
      <c r="D684" s="1">
        <v>43704</v>
      </c>
      <c r="E684" t="str">
        <f>"109503"</f>
        <v>109503</v>
      </c>
      <c r="F684" t="str">
        <f>"INV 109503"</f>
        <v>INV 109503</v>
      </c>
      <c r="G684" s="2">
        <v>40.96</v>
      </c>
      <c r="H684" t="str">
        <f>"INV 109503"</f>
        <v>INV 109503</v>
      </c>
    </row>
    <row r="685" spans="1:8" x14ac:dyDescent="0.25">
      <c r="A685" t="s">
        <v>168</v>
      </c>
      <c r="B685">
        <v>83358</v>
      </c>
      <c r="C685" s="2">
        <v>3446.51</v>
      </c>
      <c r="D685" s="1">
        <v>43689</v>
      </c>
      <c r="E685" t="str">
        <f>"012748024"</f>
        <v>012748024</v>
      </c>
      <c r="F685" t="str">
        <f>"INV 012748024"</f>
        <v>INV 012748024</v>
      </c>
      <c r="G685" s="2">
        <v>12</v>
      </c>
      <c r="H685" t="str">
        <f>"INV 012748024"</f>
        <v>INV 012748024</v>
      </c>
    </row>
    <row r="686" spans="1:8" x14ac:dyDescent="0.25">
      <c r="E686" t="str">
        <f>"013070647 01315842"</f>
        <v>013070647 01315842</v>
      </c>
      <c r="F686" t="str">
        <f>"INV 013070647"</f>
        <v>INV 013070647</v>
      </c>
      <c r="G686" s="2">
        <v>2919</v>
      </c>
      <c r="H686" t="str">
        <f>"INV 013070647"</f>
        <v>INV 013070647</v>
      </c>
    </row>
    <row r="687" spans="1:8" x14ac:dyDescent="0.25">
      <c r="E687" t="str">
        <f>""</f>
        <v/>
      </c>
      <c r="F687" t="str">
        <f>""</f>
        <v/>
      </c>
      <c r="H687" t="str">
        <f>"INV 013158429"</f>
        <v>INV 013158429</v>
      </c>
    </row>
    <row r="688" spans="1:8" x14ac:dyDescent="0.25">
      <c r="E688" t="str">
        <f>"013070685/80/01316"</f>
        <v>013070685/80/01316</v>
      </c>
      <c r="F688" t="str">
        <f>"INV 013070685"</f>
        <v>INV 013070685</v>
      </c>
      <c r="G688" s="2">
        <v>371.51</v>
      </c>
      <c r="H688" t="str">
        <f>"INV 013070685"</f>
        <v>INV 013070685</v>
      </c>
    </row>
    <row r="689" spans="1:8" x14ac:dyDescent="0.25">
      <c r="E689" t="str">
        <f>""</f>
        <v/>
      </c>
      <c r="F689" t="str">
        <f>""</f>
        <v/>
      </c>
      <c r="H689" t="str">
        <f>"INV 013070680"</f>
        <v>INV 013070680</v>
      </c>
    </row>
    <row r="690" spans="1:8" x14ac:dyDescent="0.25">
      <c r="E690" t="str">
        <f>""</f>
        <v/>
      </c>
      <c r="F690" t="str">
        <f>""</f>
        <v/>
      </c>
      <c r="H690" t="str">
        <f>"INV 013168319"</f>
        <v>INV 013168319</v>
      </c>
    </row>
    <row r="691" spans="1:8" x14ac:dyDescent="0.25">
      <c r="E691" t="str">
        <f>"013125384"</f>
        <v>013125384</v>
      </c>
      <c r="F691" t="str">
        <f>"INV 013125384"</f>
        <v>INV 013125384</v>
      </c>
      <c r="G691" s="2">
        <v>12</v>
      </c>
      <c r="H691" t="str">
        <f>"INV 013125384"</f>
        <v>INV 013125384</v>
      </c>
    </row>
    <row r="692" spans="1:8" x14ac:dyDescent="0.25">
      <c r="E692" t="str">
        <f>"013133652"</f>
        <v>013133652</v>
      </c>
      <c r="F692" t="str">
        <f>"INV 013133652"</f>
        <v>INV 013133652</v>
      </c>
      <c r="G692" s="2">
        <v>96</v>
      </c>
      <c r="H692" t="str">
        <f>"INV 013133652"</f>
        <v>INV 013133652</v>
      </c>
    </row>
    <row r="693" spans="1:8" x14ac:dyDescent="0.25">
      <c r="E693" t="str">
        <f>"013178076"</f>
        <v>013178076</v>
      </c>
      <c r="F693" t="str">
        <f>"INV 013178076"</f>
        <v>INV 013178076</v>
      </c>
      <c r="G693" s="2">
        <v>12</v>
      </c>
      <c r="H693" t="str">
        <f>"INV 013178076"</f>
        <v>INV 013178076</v>
      </c>
    </row>
    <row r="694" spans="1:8" x14ac:dyDescent="0.25">
      <c r="E694" t="str">
        <f>"013202898"</f>
        <v>013202898</v>
      </c>
      <c r="F694" t="str">
        <f>"INV 013202898"</f>
        <v>INV 013202898</v>
      </c>
      <c r="G694" s="2">
        <v>12</v>
      </c>
      <c r="H694" t="str">
        <f>"INV 013202898"</f>
        <v>INV 013202898</v>
      </c>
    </row>
    <row r="695" spans="1:8" x14ac:dyDescent="0.25">
      <c r="E695" t="str">
        <f>"013300919"</f>
        <v>013300919</v>
      </c>
      <c r="F695" t="str">
        <f>"INV 013300919"</f>
        <v>INV 013300919</v>
      </c>
      <c r="G695" s="2">
        <v>12</v>
      </c>
      <c r="H695" t="str">
        <f>"INV 013300919"</f>
        <v>INV 013300919</v>
      </c>
    </row>
    <row r="696" spans="1:8" x14ac:dyDescent="0.25">
      <c r="A696" t="s">
        <v>168</v>
      </c>
      <c r="B696">
        <v>83578</v>
      </c>
      <c r="C696" s="2">
        <v>961.61</v>
      </c>
      <c r="D696" s="1">
        <v>43703</v>
      </c>
      <c r="E696" t="str">
        <f>"012195425"</f>
        <v>012195425</v>
      </c>
      <c r="F696" t="str">
        <f>"INV 012195425"</f>
        <v>INV 012195425</v>
      </c>
      <c r="G696" s="2">
        <v>146</v>
      </c>
      <c r="H696" t="str">
        <f>"INV 012195425"</f>
        <v>INV 012195425</v>
      </c>
    </row>
    <row r="697" spans="1:8" x14ac:dyDescent="0.25">
      <c r="E697" t="str">
        <f>"013326110"</f>
        <v>013326110</v>
      </c>
      <c r="F697" t="str">
        <f>"INV 013326110"</f>
        <v>INV 013326110</v>
      </c>
      <c r="G697" s="2">
        <v>27.75</v>
      </c>
      <c r="H697" t="str">
        <f>"INV 013326110"</f>
        <v>INV 013326110</v>
      </c>
    </row>
    <row r="698" spans="1:8" x14ac:dyDescent="0.25">
      <c r="E698" t="str">
        <f>"013347668"</f>
        <v>013347668</v>
      </c>
      <c r="F698" t="str">
        <f>"INV 013347668"</f>
        <v>INV 013347668</v>
      </c>
      <c r="G698" s="2">
        <v>12</v>
      </c>
      <c r="H698" t="str">
        <f>"INV 013347668"</f>
        <v>INV 013347668</v>
      </c>
    </row>
    <row r="699" spans="1:8" x14ac:dyDescent="0.25">
      <c r="E699" t="str">
        <f>"013362059"</f>
        <v>013362059</v>
      </c>
      <c r="F699" t="str">
        <f>"INV 013362059"</f>
        <v>INV 013362059</v>
      </c>
      <c r="G699" s="2">
        <v>295</v>
      </c>
      <c r="H699" t="str">
        <f>"INV 013362059"</f>
        <v>INV 013362059</v>
      </c>
    </row>
    <row r="700" spans="1:8" x14ac:dyDescent="0.25">
      <c r="E700" t="str">
        <f>"013362152"</f>
        <v>013362152</v>
      </c>
      <c r="F700" t="str">
        <f>"INV 013362152"</f>
        <v>INV 013362152</v>
      </c>
      <c r="G700" s="2">
        <v>278</v>
      </c>
      <c r="H700" t="str">
        <f>"INV 013362152"</f>
        <v>INV 013362152</v>
      </c>
    </row>
    <row r="701" spans="1:8" x14ac:dyDescent="0.25">
      <c r="E701" t="str">
        <f>"013373130"</f>
        <v>013373130</v>
      </c>
      <c r="F701" t="str">
        <f>"INV 013373130"</f>
        <v>INV 013373130</v>
      </c>
      <c r="G701" s="2">
        <v>8.5</v>
      </c>
      <c r="H701" t="str">
        <f>"INV 013373130"</f>
        <v>INV 013373130</v>
      </c>
    </row>
    <row r="702" spans="1:8" x14ac:dyDescent="0.25">
      <c r="E702" t="str">
        <f>"12195344 12910884"</f>
        <v>12195344 12910884</v>
      </c>
      <c r="F702" t="str">
        <f>"INV 12195344/12910884"</f>
        <v>INV 12195344/12910884</v>
      </c>
      <c r="G702" s="2">
        <v>194.36</v>
      </c>
      <c r="H702" t="str">
        <f>"INV 12195344"</f>
        <v>INV 12195344</v>
      </c>
    </row>
    <row r="703" spans="1:8" x14ac:dyDescent="0.25">
      <c r="E703" t="str">
        <f>""</f>
        <v/>
      </c>
      <c r="F703" t="str">
        <f>""</f>
        <v/>
      </c>
      <c r="H703" t="str">
        <f>"INV 12910884"</f>
        <v>INV 12910884</v>
      </c>
    </row>
    <row r="704" spans="1:8" x14ac:dyDescent="0.25">
      <c r="A704" t="s">
        <v>169</v>
      </c>
      <c r="B704">
        <v>1173</v>
      </c>
      <c r="C704" s="2">
        <v>7808</v>
      </c>
      <c r="D704" s="1">
        <v>43690</v>
      </c>
      <c r="E704" t="str">
        <f>"42785229819"</f>
        <v>42785229819</v>
      </c>
      <c r="F704" t="str">
        <f>"Cedar Creek building"</f>
        <v>Cedar Creek building</v>
      </c>
      <c r="G704" s="2">
        <v>7808</v>
      </c>
      <c r="H704" t="str">
        <f>"labor and materials"</f>
        <v>labor and materials</v>
      </c>
    </row>
    <row r="705" spans="1:8" x14ac:dyDescent="0.25">
      <c r="E705" t="str">
        <f>""</f>
        <v/>
      </c>
      <c r="F705" t="str">
        <f>""</f>
        <v/>
      </c>
      <c r="H705" t="str">
        <f>"additional repair"</f>
        <v>additional repair</v>
      </c>
    </row>
    <row r="706" spans="1:8" x14ac:dyDescent="0.25">
      <c r="A706" t="s">
        <v>170</v>
      </c>
      <c r="B706">
        <v>1211</v>
      </c>
      <c r="C706" s="2">
        <v>829.42</v>
      </c>
      <c r="D706" s="1">
        <v>43690</v>
      </c>
      <c r="E706" t="str">
        <f>"N59681"</f>
        <v>N59681</v>
      </c>
      <c r="F706" t="str">
        <f>"CUST#02141/ORD#S52192"</f>
        <v>CUST#02141/ORD#S52192</v>
      </c>
      <c r="G706" s="2">
        <v>475.9</v>
      </c>
      <c r="H706" t="str">
        <f>"CUST#02141/ORD#S52192"</f>
        <v>CUST#02141/ORD#S52192</v>
      </c>
    </row>
    <row r="707" spans="1:8" x14ac:dyDescent="0.25">
      <c r="E707" t="str">
        <f>"N59766"</f>
        <v>N59766</v>
      </c>
      <c r="F707" t="str">
        <f>"ACCT#004/ORD#S52242/ANIMAL SVC"</f>
        <v>ACCT#004/ORD#S52242/ANIMAL SVC</v>
      </c>
      <c r="G707" s="2">
        <v>353.52</v>
      </c>
      <c r="H707" t="str">
        <f>"ACCT#004/ORD#S52242/ANIMAL SVC"</f>
        <v>ACCT#004/ORD#S52242/ANIMAL SVC</v>
      </c>
    </row>
    <row r="708" spans="1:8" x14ac:dyDescent="0.25">
      <c r="A708" t="s">
        <v>170</v>
      </c>
      <c r="B708">
        <v>1282</v>
      </c>
      <c r="C708" s="2">
        <v>150</v>
      </c>
      <c r="D708" s="1">
        <v>43704</v>
      </c>
      <c r="E708" t="str">
        <f>"N60017"</f>
        <v>N60017</v>
      </c>
      <c r="F708" t="str">
        <f>"inv# N60017"</f>
        <v>inv# N60017</v>
      </c>
      <c r="G708" s="2">
        <v>150</v>
      </c>
      <c r="H708" t="str">
        <f>"Hr"</f>
        <v>Hr</v>
      </c>
    </row>
    <row r="709" spans="1:8" x14ac:dyDescent="0.25">
      <c r="E709" t="str">
        <f>""</f>
        <v/>
      </c>
      <c r="F709" t="str">
        <f>""</f>
        <v/>
      </c>
      <c r="H709" t="str">
        <f>"Purchasing"</f>
        <v>Purchasing</v>
      </c>
    </row>
    <row r="710" spans="1:8" x14ac:dyDescent="0.25">
      <c r="A710" t="s">
        <v>171</v>
      </c>
      <c r="B710">
        <v>83359</v>
      </c>
      <c r="C710" s="2">
        <v>10486.56</v>
      </c>
      <c r="D710" s="1">
        <v>43689</v>
      </c>
      <c r="E710" t="str">
        <f>"7"</f>
        <v>7</v>
      </c>
      <c r="F710" t="str">
        <f>"15 914  12/10/18-07/13/19"</f>
        <v>15 914  12/10/18-07/13/19</v>
      </c>
      <c r="G710" s="2">
        <v>10486.56</v>
      </c>
      <c r="H710" t="str">
        <f>"15 914  12/10/18-07/13/19"</f>
        <v>15 914  12/10/18-07/13/19</v>
      </c>
    </row>
    <row r="711" spans="1:8" x14ac:dyDescent="0.25">
      <c r="A711" t="s">
        <v>172</v>
      </c>
      <c r="B711">
        <v>83360</v>
      </c>
      <c r="C711" s="2">
        <v>5869.88</v>
      </c>
      <c r="D711" s="1">
        <v>43689</v>
      </c>
      <c r="E711" t="str">
        <f>"56951549"</f>
        <v>56951549</v>
      </c>
      <c r="F711" t="str">
        <f>"Industry Weapon Renewal"</f>
        <v>Industry Weapon Renewal</v>
      </c>
      <c r="G711" s="2">
        <v>5869.88</v>
      </c>
      <c r="H711" t="str">
        <f>"industrial weapon"</f>
        <v>industrial weapon</v>
      </c>
    </row>
    <row r="712" spans="1:8" x14ac:dyDescent="0.25">
      <c r="E712" t="str">
        <f>""</f>
        <v/>
      </c>
      <c r="F712" t="str">
        <f>""</f>
        <v/>
      </c>
      <c r="H712" t="str">
        <f>"Split"</f>
        <v>Split</v>
      </c>
    </row>
    <row r="713" spans="1:8" x14ac:dyDescent="0.25">
      <c r="A713" t="s">
        <v>173</v>
      </c>
      <c r="B713">
        <v>83579</v>
      </c>
      <c r="C713" s="2">
        <v>1289.7</v>
      </c>
      <c r="D713" s="1">
        <v>43703</v>
      </c>
      <c r="E713" t="str">
        <f>"9250629855"</f>
        <v>9250629855</v>
      </c>
      <c r="F713" t="str">
        <f>"INV 9250629855"</f>
        <v>INV 9250629855</v>
      </c>
      <c r="G713" s="2">
        <v>143</v>
      </c>
      <c r="H713" t="str">
        <f>"INV 9250629855"</f>
        <v>INV 9250629855</v>
      </c>
    </row>
    <row r="714" spans="1:8" x14ac:dyDescent="0.25">
      <c r="E714" t="str">
        <f>"9257534645"</f>
        <v>9257534645</v>
      </c>
      <c r="F714" t="str">
        <f>"INV 9257534645"</f>
        <v>INV 9257534645</v>
      </c>
      <c r="G714" s="2">
        <v>1117.2</v>
      </c>
      <c r="H714" t="str">
        <f>"INV 9257534645"</f>
        <v>INV 9257534645</v>
      </c>
    </row>
    <row r="715" spans="1:8" x14ac:dyDescent="0.25">
      <c r="E715" t="str">
        <f>"9258645226"</f>
        <v>9258645226</v>
      </c>
      <c r="F715" t="str">
        <f>"INV 9258645226"</f>
        <v>INV 9258645226</v>
      </c>
      <c r="G715" s="2">
        <v>29.5</v>
      </c>
      <c r="H715" t="str">
        <f>"INV 9258645226"</f>
        <v>INV 9258645226</v>
      </c>
    </row>
    <row r="716" spans="1:8" x14ac:dyDescent="0.25">
      <c r="A716" t="s">
        <v>174</v>
      </c>
      <c r="B716">
        <v>83361</v>
      </c>
      <c r="C716" s="2">
        <v>401.7</v>
      </c>
      <c r="D716" s="1">
        <v>43689</v>
      </c>
      <c r="E716" t="str">
        <f>"201907240664"</f>
        <v>201907240664</v>
      </c>
      <c r="F716" t="str">
        <f>"REIMBURSE - STATE BAR DUES"</f>
        <v>REIMBURSE - STATE BAR DUES</v>
      </c>
      <c r="G716" s="2">
        <v>240</v>
      </c>
      <c r="H716" t="str">
        <f>"REIMBURSE - STATE BAR DUES"</f>
        <v>REIMBURSE - STATE BAR DUES</v>
      </c>
    </row>
    <row r="717" spans="1:8" x14ac:dyDescent="0.25">
      <c r="E717" t="str">
        <f>"201907240665"</f>
        <v>201907240665</v>
      </c>
      <c r="F717" t="str">
        <f>"REIMBURSE - MILEAGE"</f>
        <v>REIMBURSE - MILEAGE</v>
      </c>
      <c r="G717" s="2">
        <v>161.69999999999999</v>
      </c>
      <c r="H717" t="str">
        <f>"REIMBURSE - MILEAGE"</f>
        <v>REIMBURSE - MILEAGE</v>
      </c>
    </row>
    <row r="718" spans="1:8" x14ac:dyDescent="0.25">
      <c r="A718" t="s">
        <v>175</v>
      </c>
      <c r="B718">
        <v>83362</v>
      </c>
      <c r="C718" s="2">
        <v>11287.5</v>
      </c>
      <c r="D718" s="1">
        <v>43689</v>
      </c>
      <c r="E718" t="str">
        <f>"8"</f>
        <v>8</v>
      </c>
      <c r="F718" t="str">
        <f>"EXPERT SVCS 06/01-06/03"</f>
        <v>EXPERT SVCS 06/01-06/03</v>
      </c>
      <c r="G718" s="2">
        <v>11287.5</v>
      </c>
      <c r="H718" t="str">
        <f>"EXPERT SVCS 06/01-06/03"</f>
        <v>EXPERT SVCS 06/01-06/03</v>
      </c>
    </row>
    <row r="719" spans="1:8" x14ac:dyDescent="0.25">
      <c r="A719" t="s">
        <v>176</v>
      </c>
      <c r="B719">
        <v>1195</v>
      </c>
      <c r="C719" s="2">
        <v>3405.37</v>
      </c>
      <c r="D719" s="1">
        <v>43690</v>
      </c>
      <c r="E719" t="str">
        <f>"0716956 0716742 07"</f>
        <v>0716956 0716742 07</v>
      </c>
      <c r="F719" t="str">
        <f>"INV 0716956/0716742/07200"</f>
        <v>INV 0716956/0716742/07200</v>
      </c>
      <c r="G719" s="2">
        <v>182.35</v>
      </c>
      <c r="H719" t="str">
        <f>"INV 0716956"</f>
        <v>INV 0716956</v>
      </c>
    </row>
    <row r="720" spans="1:8" x14ac:dyDescent="0.25">
      <c r="E720" t="str">
        <f>""</f>
        <v/>
      </c>
      <c r="F720" t="str">
        <f>""</f>
        <v/>
      </c>
      <c r="H720" t="str">
        <f>"INV 0716742"</f>
        <v>INV 0716742</v>
      </c>
    </row>
    <row r="721" spans="1:8" x14ac:dyDescent="0.25">
      <c r="E721" t="str">
        <f>""</f>
        <v/>
      </c>
      <c r="F721" t="str">
        <f>""</f>
        <v/>
      </c>
      <c r="H721" t="str">
        <f>"INV 0720044"</f>
        <v>INV 0720044</v>
      </c>
    </row>
    <row r="722" spans="1:8" x14ac:dyDescent="0.25">
      <c r="E722" t="str">
        <f>"0719172"</f>
        <v>0719172</v>
      </c>
      <c r="F722" t="str">
        <f>"INV 0719172"</f>
        <v>INV 0719172</v>
      </c>
      <c r="G722" s="2">
        <v>409.88</v>
      </c>
      <c r="H722" t="str">
        <f>"INV 0719172"</f>
        <v>INV 0719172</v>
      </c>
    </row>
    <row r="723" spans="1:8" x14ac:dyDescent="0.25">
      <c r="E723" t="str">
        <f>"0720103"</f>
        <v>0720103</v>
      </c>
      <c r="F723" t="str">
        <f>"INV 0720103"</f>
        <v>INV 0720103</v>
      </c>
      <c r="G723" s="2">
        <v>977.69</v>
      </c>
      <c r="H723" t="str">
        <f>"INV 0720103"</f>
        <v>INV 0720103</v>
      </c>
    </row>
    <row r="724" spans="1:8" x14ac:dyDescent="0.25">
      <c r="E724" t="str">
        <f>"0720652"</f>
        <v>0720652</v>
      </c>
      <c r="F724" t="str">
        <f>"INV 0720652"</f>
        <v>INV 0720652</v>
      </c>
      <c r="G724" s="2">
        <v>850</v>
      </c>
      <c r="H724" t="str">
        <f>"INV 0720652"</f>
        <v>INV 0720652</v>
      </c>
    </row>
    <row r="725" spans="1:8" x14ac:dyDescent="0.25">
      <c r="E725" t="str">
        <f>""</f>
        <v/>
      </c>
      <c r="F725" t="str">
        <f>""</f>
        <v/>
      </c>
      <c r="H725" t="str">
        <f>"INV 0720652"</f>
        <v>INV 0720652</v>
      </c>
    </row>
    <row r="726" spans="1:8" x14ac:dyDescent="0.25">
      <c r="E726" t="str">
        <f>"0720714"</f>
        <v>0720714</v>
      </c>
      <c r="F726" t="str">
        <f>"INV 0720714"</f>
        <v>INV 0720714</v>
      </c>
      <c r="G726" s="2">
        <v>850</v>
      </c>
      <c r="H726" t="str">
        <f>"INV 0720714"</f>
        <v>INV 0720714</v>
      </c>
    </row>
    <row r="727" spans="1:8" x14ac:dyDescent="0.25">
      <c r="E727" t="str">
        <f>""</f>
        <v/>
      </c>
      <c r="F727" t="str">
        <f>""</f>
        <v/>
      </c>
      <c r="H727" t="str">
        <f>"INV 0720714"</f>
        <v>INV 0720714</v>
      </c>
    </row>
    <row r="728" spans="1:8" x14ac:dyDescent="0.25">
      <c r="E728" t="str">
        <f>"INV0720394"</f>
        <v>INV0720394</v>
      </c>
      <c r="F728" t="str">
        <f>"INV0720394"</f>
        <v>INV0720394</v>
      </c>
      <c r="G728" s="2">
        <v>135.44999999999999</v>
      </c>
      <c r="H728" t="str">
        <f>"INV0720394"</f>
        <v>INV0720394</v>
      </c>
    </row>
    <row r="729" spans="1:8" x14ac:dyDescent="0.25">
      <c r="A729" t="s">
        <v>176</v>
      </c>
      <c r="B729">
        <v>1265</v>
      </c>
      <c r="C729" s="2">
        <v>18700</v>
      </c>
      <c r="D729" s="1">
        <v>43704</v>
      </c>
      <c r="E729" t="str">
        <f>"0721199"</f>
        <v>0721199</v>
      </c>
      <c r="F729" t="str">
        <f>"INV 0721199"</f>
        <v>INV 0721199</v>
      </c>
      <c r="G729" s="2">
        <v>850</v>
      </c>
      <c r="H729" t="str">
        <f>"INV 0721199"</f>
        <v>INV 0721199</v>
      </c>
    </row>
    <row r="730" spans="1:8" x14ac:dyDescent="0.25">
      <c r="E730" t="str">
        <f>""</f>
        <v/>
      </c>
      <c r="F730" t="str">
        <f>""</f>
        <v/>
      </c>
      <c r="H730" t="str">
        <f>"INV 0721199"</f>
        <v>INV 0721199</v>
      </c>
    </row>
    <row r="731" spans="1:8" x14ac:dyDescent="0.25">
      <c r="E731" t="str">
        <f>"0721406"</f>
        <v>0721406</v>
      </c>
      <c r="F731" t="str">
        <f>"INV 0721406"</f>
        <v>INV 0721406</v>
      </c>
      <c r="G731" s="2">
        <v>850</v>
      </c>
      <c r="H731" t="str">
        <f>"INV 0721406"</f>
        <v>INV 0721406</v>
      </c>
    </row>
    <row r="732" spans="1:8" x14ac:dyDescent="0.25">
      <c r="E732" t="str">
        <f>""</f>
        <v/>
      </c>
      <c r="F732" t="str">
        <f>""</f>
        <v/>
      </c>
      <c r="H732" t="str">
        <f>"INV 0721406"</f>
        <v>INV 0721406</v>
      </c>
    </row>
    <row r="733" spans="1:8" x14ac:dyDescent="0.25">
      <c r="E733" t="str">
        <f>"0721461"</f>
        <v>0721461</v>
      </c>
      <c r="F733" t="str">
        <f>"INV 0721461"</f>
        <v>INV 0721461</v>
      </c>
      <c r="G733" s="2">
        <v>16150</v>
      </c>
      <c r="H733" t="str">
        <f>"INV 0721461"</f>
        <v>INV 0721461</v>
      </c>
    </row>
    <row r="734" spans="1:8" x14ac:dyDescent="0.25">
      <c r="E734" t="str">
        <f>""</f>
        <v/>
      </c>
      <c r="F734" t="str">
        <f>""</f>
        <v/>
      </c>
      <c r="H734" t="str">
        <f>"INV 0721461"</f>
        <v>INV 0721461</v>
      </c>
    </row>
    <row r="735" spans="1:8" x14ac:dyDescent="0.25">
      <c r="E735" t="str">
        <f>""</f>
        <v/>
      </c>
      <c r="F735" t="str">
        <f>""</f>
        <v/>
      </c>
      <c r="H735" t="str">
        <f>"INV 0721461"</f>
        <v>INV 0721461</v>
      </c>
    </row>
    <row r="736" spans="1:8" x14ac:dyDescent="0.25">
      <c r="E736" t="str">
        <f>"0722541"</f>
        <v>0722541</v>
      </c>
      <c r="F736" t="str">
        <f>"INV 0722541"</f>
        <v>INV 0722541</v>
      </c>
      <c r="G736" s="2">
        <v>850</v>
      </c>
      <c r="H736" t="str">
        <f>"INV 0722541"</f>
        <v>INV 0722541</v>
      </c>
    </row>
    <row r="737" spans="1:8" x14ac:dyDescent="0.25">
      <c r="E737" t="str">
        <f>""</f>
        <v/>
      </c>
      <c r="F737" t="str">
        <f>""</f>
        <v/>
      </c>
      <c r="H737" t="str">
        <f>"INV 0722541"</f>
        <v>INV 0722541</v>
      </c>
    </row>
    <row r="738" spans="1:8" x14ac:dyDescent="0.25">
      <c r="A738" t="s">
        <v>177</v>
      </c>
      <c r="B738">
        <v>1209</v>
      </c>
      <c r="C738" s="2">
        <v>7366.78</v>
      </c>
      <c r="D738" s="1">
        <v>43690</v>
      </c>
      <c r="E738" t="str">
        <f>"1701250 1704167 17"</f>
        <v>1701250 1704167 17</v>
      </c>
      <c r="F738" t="str">
        <f>"INV 1701250"</f>
        <v>INV 1701250</v>
      </c>
      <c r="G738" s="2">
        <v>566.67999999999995</v>
      </c>
      <c r="H738" t="str">
        <f>"INV 1701250"</f>
        <v>INV 1701250</v>
      </c>
    </row>
    <row r="739" spans="1:8" x14ac:dyDescent="0.25">
      <c r="E739" t="str">
        <f>""</f>
        <v/>
      </c>
      <c r="F739" t="str">
        <f>""</f>
        <v/>
      </c>
      <c r="H739" t="str">
        <f>"INV 1704167"</f>
        <v>INV 1704167</v>
      </c>
    </row>
    <row r="740" spans="1:8" x14ac:dyDescent="0.25">
      <c r="E740" t="str">
        <f>""</f>
        <v/>
      </c>
      <c r="F740" t="str">
        <f>""</f>
        <v/>
      </c>
      <c r="H740" t="str">
        <f>"INV 1709947"</f>
        <v>INV 1709947</v>
      </c>
    </row>
    <row r="741" spans="1:8" x14ac:dyDescent="0.25">
      <c r="E741" t="str">
        <f>"1707029  1709948"</f>
        <v>1707029  1709948</v>
      </c>
      <c r="F741" t="str">
        <f>"Gulf Coast Order"</f>
        <v>Gulf Coast Order</v>
      </c>
      <c r="G741" s="2">
        <v>1033.74</v>
      </c>
      <c r="H741" t="str">
        <f>"GP89480"</f>
        <v>GP89480</v>
      </c>
    </row>
    <row r="742" spans="1:8" x14ac:dyDescent="0.25">
      <c r="E742" t="str">
        <f>""</f>
        <v/>
      </c>
      <c r="F742" t="str">
        <f>""</f>
        <v/>
      </c>
      <c r="H742" t="str">
        <f>"GP19371"</f>
        <v>GP19371</v>
      </c>
    </row>
    <row r="743" spans="1:8" x14ac:dyDescent="0.25">
      <c r="E743" t="str">
        <f>""</f>
        <v/>
      </c>
      <c r="F743" t="str">
        <f>""</f>
        <v/>
      </c>
      <c r="H743" t="str">
        <f>"GP42714"</f>
        <v>GP42714</v>
      </c>
    </row>
    <row r="744" spans="1:8" x14ac:dyDescent="0.25">
      <c r="E744" t="str">
        <f>""</f>
        <v/>
      </c>
      <c r="F744" t="str">
        <f>""</f>
        <v/>
      </c>
      <c r="H744" t="str">
        <f>"63CL"</f>
        <v>63CL</v>
      </c>
    </row>
    <row r="745" spans="1:8" x14ac:dyDescent="0.25">
      <c r="E745" t="str">
        <f>""</f>
        <v/>
      </c>
      <c r="F745" t="str">
        <f>""</f>
        <v/>
      </c>
      <c r="H745" t="str">
        <f>"GP12798"</f>
        <v>GP12798</v>
      </c>
    </row>
    <row r="746" spans="1:8" x14ac:dyDescent="0.25">
      <c r="E746" t="str">
        <f>""</f>
        <v/>
      </c>
      <c r="F746" t="str">
        <f>""</f>
        <v/>
      </c>
      <c r="H746" t="str">
        <f>"GP20398"</f>
        <v>GP20398</v>
      </c>
    </row>
    <row r="747" spans="1:8" x14ac:dyDescent="0.25">
      <c r="E747" t="str">
        <f>""</f>
        <v/>
      </c>
      <c r="F747" t="str">
        <f>""</f>
        <v/>
      </c>
      <c r="H747" t="str">
        <f>"DS5000"</f>
        <v>DS5000</v>
      </c>
    </row>
    <row r="748" spans="1:8" x14ac:dyDescent="0.25">
      <c r="E748" t="str">
        <f>""</f>
        <v/>
      </c>
      <c r="F748" t="str">
        <f>""</f>
        <v/>
      </c>
      <c r="H748" t="str">
        <f>"NABC"</f>
        <v>NABC</v>
      </c>
    </row>
    <row r="749" spans="1:8" x14ac:dyDescent="0.25">
      <c r="E749" t="str">
        <f>""</f>
        <v/>
      </c>
      <c r="F749" t="str">
        <f>""</f>
        <v/>
      </c>
      <c r="H749" t="str">
        <f>"CREWBOWLCLN"</f>
        <v>CREWBOWLCLN</v>
      </c>
    </row>
    <row r="750" spans="1:8" x14ac:dyDescent="0.25">
      <c r="E750" t="str">
        <f>""</f>
        <v/>
      </c>
      <c r="F750" t="str">
        <f>""</f>
        <v/>
      </c>
      <c r="H750" t="str">
        <f>"HS6141"</f>
        <v>HS6141</v>
      </c>
    </row>
    <row r="751" spans="1:8" x14ac:dyDescent="0.25">
      <c r="E751" t="str">
        <f>"201908060935"</f>
        <v>201908060935</v>
      </c>
      <c r="F751" t="str">
        <f>"Janitorial Supplies"</f>
        <v>Janitorial Supplies</v>
      </c>
      <c r="G751" s="2">
        <v>3395.26</v>
      </c>
      <c r="H751" t="str">
        <f>"GP89480"</f>
        <v>GP89480</v>
      </c>
    </row>
    <row r="752" spans="1:8" x14ac:dyDescent="0.25">
      <c r="E752" t="str">
        <f>""</f>
        <v/>
      </c>
      <c r="F752" t="str">
        <f>""</f>
        <v/>
      </c>
      <c r="H752" t="str">
        <f>"GP8942"</f>
        <v>GP8942</v>
      </c>
    </row>
    <row r="753" spans="5:8" x14ac:dyDescent="0.25">
      <c r="E753" t="str">
        <f>""</f>
        <v/>
      </c>
      <c r="F753" t="str">
        <f>""</f>
        <v/>
      </c>
      <c r="H753" t="str">
        <f>"GP19375"</f>
        <v>GP19375</v>
      </c>
    </row>
    <row r="754" spans="5:8" x14ac:dyDescent="0.25">
      <c r="E754" t="str">
        <f>""</f>
        <v/>
      </c>
      <c r="F754" t="str">
        <f>""</f>
        <v/>
      </c>
      <c r="H754" t="str">
        <f>"GP42714"</f>
        <v>GP42714</v>
      </c>
    </row>
    <row r="755" spans="5:8" x14ac:dyDescent="0.25">
      <c r="E755" t="str">
        <f>""</f>
        <v/>
      </c>
      <c r="F755" t="str">
        <f>""</f>
        <v/>
      </c>
      <c r="H755" t="str">
        <f>"63CL"</f>
        <v>63CL</v>
      </c>
    </row>
    <row r="756" spans="5:8" x14ac:dyDescent="0.25">
      <c r="E756" t="str">
        <f>""</f>
        <v/>
      </c>
      <c r="F756" t="str">
        <f>""</f>
        <v/>
      </c>
      <c r="H756" t="str">
        <f>"32ROUNDC"</f>
        <v>32ROUNDC</v>
      </c>
    </row>
    <row r="757" spans="5:8" x14ac:dyDescent="0.25">
      <c r="E757" t="str">
        <f>""</f>
        <v/>
      </c>
      <c r="F757" t="str">
        <f>""</f>
        <v/>
      </c>
      <c r="H757" t="str">
        <f>"13TOFFC"</f>
        <v>13TOFFC</v>
      </c>
    </row>
    <row r="758" spans="5:8" x14ac:dyDescent="0.25">
      <c r="E758" t="str">
        <f>""</f>
        <v/>
      </c>
      <c r="F758" t="str">
        <f>""</f>
        <v/>
      </c>
      <c r="H758" t="str">
        <f>"9T18"</f>
        <v>9T18</v>
      </c>
    </row>
    <row r="759" spans="5:8" x14ac:dyDescent="0.25">
      <c r="E759" t="str">
        <f>""</f>
        <v/>
      </c>
      <c r="F759" t="str">
        <f>""</f>
        <v/>
      </c>
      <c r="H759" t="str">
        <f>"GP20389"</f>
        <v>GP20389</v>
      </c>
    </row>
    <row r="760" spans="5:8" x14ac:dyDescent="0.25">
      <c r="E760" t="str">
        <f>""</f>
        <v/>
      </c>
      <c r="F760" t="str">
        <f>""</f>
        <v/>
      </c>
      <c r="H760" t="str">
        <f>"NABC"</f>
        <v>NABC</v>
      </c>
    </row>
    <row r="761" spans="5:8" x14ac:dyDescent="0.25">
      <c r="E761" t="str">
        <f>""</f>
        <v/>
      </c>
      <c r="F761" t="str">
        <f>""</f>
        <v/>
      </c>
      <c r="H761" t="str">
        <f>"CREWBOWLCLN"</f>
        <v>CREWBOWLCLN</v>
      </c>
    </row>
    <row r="762" spans="5:8" x14ac:dyDescent="0.25">
      <c r="E762" t="str">
        <f>""</f>
        <v/>
      </c>
      <c r="F762" t="str">
        <f>""</f>
        <v/>
      </c>
      <c r="H762" t="str">
        <f>"BCCB"</f>
        <v>BCCB</v>
      </c>
    </row>
    <row r="763" spans="5:8" x14ac:dyDescent="0.25">
      <c r="E763" t="str">
        <f>""</f>
        <v/>
      </c>
      <c r="F763" t="str">
        <f>""</f>
        <v/>
      </c>
      <c r="H763" t="str">
        <f>"BCCM"</f>
        <v>BCCM</v>
      </c>
    </row>
    <row r="764" spans="5:8" x14ac:dyDescent="0.25">
      <c r="E764" t="str">
        <f>""</f>
        <v/>
      </c>
      <c r="F764" t="str">
        <f>""</f>
        <v/>
      </c>
      <c r="H764" t="str">
        <f>"BCFAB"</f>
        <v>BCFAB</v>
      </c>
    </row>
    <row r="765" spans="5:8" x14ac:dyDescent="0.25">
      <c r="E765" t="str">
        <f>""</f>
        <v/>
      </c>
      <c r="F765" t="str">
        <f>""</f>
        <v/>
      </c>
      <c r="H765" t="str">
        <f>"BCM"</f>
        <v>BCM</v>
      </c>
    </row>
    <row r="766" spans="5:8" x14ac:dyDescent="0.25">
      <c r="E766" t="str">
        <f>""</f>
        <v/>
      </c>
      <c r="F766" t="str">
        <f>""</f>
        <v/>
      </c>
      <c r="H766" t="str">
        <f>"N105FXL"</f>
        <v>N105FXL</v>
      </c>
    </row>
    <row r="767" spans="5:8" x14ac:dyDescent="0.25">
      <c r="E767" t="str">
        <f>""</f>
        <v/>
      </c>
      <c r="F767" t="str">
        <f>""</f>
        <v/>
      </c>
      <c r="H767" t="str">
        <f>"N105FL"</f>
        <v>N105FL</v>
      </c>
    </row>
    <row r="768" spans="5:8" x14ac:dyDescent="0.25">
      <c r="E768" t="str">
        <f>"INV1707027"</f>
        <v>INV1707027</v>
      </c>
      <c r="F768" t="str">
        <f>"INV1707027"</f>
        <v>INV1707027</v>
      </c>
      <c r="G768" s="2">
        <v>2371.1</v>
      </c>
      <c r="H768" t="str">
        <f>"INV1707027"</f>
        <v>INV1707027</v>
      </c>
    </row>
    <row r="769" spans="1:8" x14ac:dyDescent="0.25">
      <c r="A769" t="s">
        <v>177</v>
      </c>
      <c r="B769">
        <v>1279</v>
      </c>
      <c r="C769" s="2">
        <v>1030.24</v>
      </c>
      <c r="D769" s="1">
        <v>43704</v>
      </c>
      <c r="E769" t="str">
        <f>"1707026 1713379"</f>
        <v>1707026 1713379</v>
      </c>
      <c r="F769" t="str">
        <f>"INV 1707026"</f>
        <v>INV 1707026</v>
      </c>
      <c r="G769" s="2">
        <v>393.46</v>
      </c>
      <c r="H769" t="str">
        <f>"INV 1707026"</f>
        <v>INV 1707026</v>
      </c>
    </row>
    <row r="770" spans="1:8" x14ac:dyDescent="0.25">
      <c r="E770" t="str">
        <f>""</f>
        <v/>
      </c>
      <c r="F770" t="str">
        <f>""</f>
        <v/>
      </c>
      <c r="H770" t="str">
        <f>"INV 1713379"</f>
        <v>INV 1713379</v>
      </c>
    </row>
    <row r="771" spans="1:8" x14ac:dyDescent="0.25">
      <c r="E771" t="str">
        <f>"1716965"</f>
        <v>1716965</v>
      </c>
      <c r="F771" t="str">
        <f>"Gulf Coast"</f>
        <v>Gulf Coast</v>
      </c>
      <c r="G771" s="2">
        <v>636.78</v>
      </c>
      <c r="H771" t="str">
        <f>"GP19371"</f>
        <v>GP19371</v>
      </c>
    </row>
    <row r="772" spans="1:8" x14ac:dyDescent="0.25">
      <c r="E772" t="str">
        <f>""</f>
        <v/>
      </c>
      <c r="F772" t="str">
        <f>""</f>
        <v/>
      </c>
      <c r="H772" t="str">
        <f>"63CL"</f>
        <v>63CL</v>
      </c>
    </row>
    <row r="773" spans="1:8" x14ac:dyDescent="0.25">
      <c r="A773" t="s">
        <v>178</v>
      </c>
      <c r="B773">
        <v>1231</v>
      </c>
      <c r="C773" s="2">
        <v>1111.3</v>
      </c>
      <c r="D773" s="1">
        <v>43704</v>
      </c>
      <c r="E773" t="str">
        <f>"0094519868"</f>
        <v>0094519868</v>
      </c>
      <c r="F773" t="str">
        <f>"CUST#1206923/STONEY POINT PA"</f>
        <v>CUST#1206923/STONEY POINT PA</v>
      </c>
      <c r="G773" s="2">
        <v>1111.3</v>
      </c>
      <c r="H773" t="str">
        <f>"CUST#1206923/STONEY POINT PA"</f>
        <v>CUST#1206923/STONEY POINT PA</v>
      </c>
    </row>
    <row r="774" spans="1:8" x14ac:dyDescent="0.25">
      <c r="A774" t="s">
        <v>179</v>
      </c>
      <c r="B774">
        <v>1206</v>
      </c>
      <c r="C774" s="2">
        <v>104871.95</v>
      </c>
      <c r="D774" s="1">
        <v>43690</v>
      </c>
      <c r="E774" t="str">
        <f>"00026158"</f>
        <v>00026158</v>
      </c>
      <c r="F774" t="str">
        <f>"PROJ#032318.003/PROF SVCS 6/30"</f>
        <v>PROJ#032318.003/PROF SVCS 6/30</v>
      </c>
      <c r="G774" s="2">
        <v>6994.45</v>
      </c>
      <c r="H774" t="str">
        <f>"PROJ#032318.003/PROF SVCS 6/30"</f>
        <v>PROJ#032318.003/PROF SVCS 6/30</v>
      </c>
    </row>
    <row r="775" spans="1:8" x14ac:dyDescent="0.25">
      <c r="E775" t="str">
        <f>"00026383"</f>
        <v>00026383</v>
      </c>
      <c r="F775" t="str">
        <f>"TWDB CONTRACT#1800012308"</f>
        <v>TWDB CONTRACT#1800012308</v>
      </c>
      <c r="G775" s="2">
        <v>97877.5</v>
      </c>
      <c r="H775" t="str">
        <f>"TWDB CONTRACT#1800012308"</f>
        <v>TWDB CONTRACT#1800012308</v>
      </c>
    </row>
    <row r="776" spans="1:8" x14ac:dyDescent="0.25">
      <c r="A776" t="s">
        <v>179</v>
      </c>
      <c r="B776">
        <v>1276</v>
      </c>
      <c r="C776" s="2">
        <v>105957.15</v>
      </c>
      <c r="D776" s="1">
        <v>43704</v>
      </c>
      <c r="E776" t="str">
        <f>"00027388"</f>
        <v>00027388</v>
      </c>
      <c r="F776" t="str">
        <f>"PROJ:032285.007/PROF SVCS"</f>
        <v>PROJ:032285.007/PROF SVCS</v>
      </c>
      <c r="G776" s="2">
        <v>12287.15</v>
      </c>
      <c r="H776" t="str">
        <f>"PROJ:032285.007/PROF SVCS"</f>
        <v>PROJ:032285.007/PROF SVCS</v>
      </c>
    </row>
    <row r="777" spans="1:8" x14ac:dyDescent="0.25">
      <c r="E777" t="str">
        <f>"00027389"</f>
        <v>00027389</v>
      </c>
      <c r="F777" t="str">
        <f>"PROJ#032285.009/ENGINEERING SV"</f>
        <v>PROJ#032285.009/ENGINEERING SV</v>
      </c>
      <c r="G777" s="2">
        <v>4000</v>
      </c>
      <c r="H777" t="str">
        <f>"PROJ#032285.009/ENGINEERING SV"</f>
        <v>PROJ#032285.009/ENGINEERING SV</v>
      </c>
    </row>
    <row r="778" spans="1:8" x14ac:dyDescent="0.25">
      <c r="E778" t="str">
        <f>"00027411"</f>
        <v>00027411</v>
      </c>
      <c r="F778" t="str">
        <f>"PROJ#035837.001-TWDB FLOOD PRO"</f>
        <v>PROJ#035837.001-TWDB FLOOD PRO</v>
      </c>
      <c r="G778" s="2">
        <v>89670</v>
      </c>
      <c r="H778" t="str">
        <f>"PROJ#035837.001-TWDB FLOOD PRO"</f>
        <v>PROJ#035837.001-TWDB FLOOD PRO</v>
      </c>
    </row>
    <row r="779" spans="1:8" x14ac:dyDescent="0.25">
      <c r="A779" t="s">
        <v>180</v>
      </c>
      <c r="B779">
        <v>83363</v>
      </c>
      <c r="C779" s="2">
        <v>150</v>
      </c>
      <c r="D779" s="1">
        <v>43689</v>
      </c>
      <c r="E779" t="str">
        <f>"13018"</f>
        <v>13018</v>
      </c>
      <c r="F779" t="str">
        <f>"SERVICE"</f>
        <v>SERVICE</v>
      </c>
      <c r="G779" s="2">
        <v>75</v>
      </c>
      <c r="H779" t="str">
        <f>"SERVICE"</f>
        <v>SERVICE</v>
      </c>
    </row>
    <row r="780" spans="1:8" x14ac:dyDescent="0.25">
      <c r="E780" t="str">
        <f>"13167"</f>
        <v>13167</v>
      </c>
      <c r="F780" t="str">
        <f>"SERVICE"</f>
        <v>SERVICE</v>
      </c>
      <c r="G780" s="2">
        <v>75</v>
      </c>
      <c r="H780" t="str">
        <f>"SERVICE"</f>
        <v>SERVICE</v>
      </c>
    </row>
    <row r="781" spans="1:8" x14ac:dyDescent="0.25">
      <c r="A781" t="s">
        <v>180</v>
      </c>
      <c r="B781">
        <v>83580</v>
      </c>
      <c r="C781" s="2">
        <v>75</v>
      </c>
      <c r="D781" s="1">
        <v>43703</v>
      </c>
      <c r="E781" t="str">
        <f>"13104"</f>
        <v>13104</v>
      </c>
      <c r="F781" t="str">
        <f>"SERVICE"</f>
        <v>SERVICE</v>
      </c>
      <c r="G781" s="2">
        <v>75</v>
      </c>
      <c r="H781" t="str">
        <f>"SERVICE"</f>
        <v>SERVICE</v>
      </c>
    </row>
    <row r="782" spans="1:8" x14ac:dyDescent="0.25">
      <c r="A782" t="s">
        <v>181</v>
      </c>
      <c r="B782">
        <v>83581</v>
      </c>
      <c r="C782" s="2">
        <v>12.14</v>
      </c>
      <c r="D782" s="1">
        <v>43703</v>
      </c>
      <c r="E782" t="str">
        <f>"INV814300"</f>
        <v>INV814300</v>
      </c>
      <c r="F782" t="str">
        <f>"INV814300"</f>
        <v>INV814300</v>
      </c>
      <c r="G782" s="2">
        <v>12.14</v>
      </c>
      <c r="H782" t="str">
        <f>"INV814300"</f>
        <v>INV814300</v>
      </c>
    </row>
    <row r="783" spans="1:8" x14ac:dyDescent="0.25">
      <c r="A783" t="s">
        <v>182</v>
      </c>
      <c r="B783">
        <v>83364</v>
      </c>
      <c r="C783" s="2">
        <v>585</v>
      </c>
      <c r="D783" s="1">
        <v>43689</v>
      </c>
      <c r="E783" t="str">
        <f>"3120"</f>
        <v>3120</v>
      </c>
      <c r="F783" t="str">
        <f>"INV 3120"</f>
        <v>INV 3120</v>
      </c>
      <c r="G783" s="2">
        <v>585</v>
      </c>
      <c r="H783" t="str">
        <f>"INV 3120"</f>
        <v>INV 3120</v>
      </c>
    </row>
    <row r="784" spans="1:8" x14ac:dyDescent="0.25">
      <c r="A784" t="s">
        <v>183</v>
      </c>
      <c r="B784">
        <v>83582</v>
      </c>
      <c r="C784" s="2">
        <v>1382.5</v>
      </c>
      <c r="D784" s="1">
        <v>43703</v>
      </c>
      <c r="E784" t="str">
        <f>"566216-01"</f>
        <v>566216-01</v>
      </c>
      <c r="F784" t="str">
        <f>"CUST#180474-C/PCT#3"</f>
        <v>CUST#180474-C/PCT#3</v>
      </c>
      <c r="G784" s="2">
        <v>1382.5</v>
      </c>
      <c r="H784" t="str">
        <f>"CUST#180474-C/PCT#3"</f>
        <v>CUST#180474-C/PCT#3</v>
      </c>
    </row>
    <row r="785" spans="1:8" x14ac:dyDescent="0.25">
      <c r="A785" t="s">
        <v>184</v>
      </c>
      <c r="B785">
        <v>83365</v>
      </c>
      <c r="C785" s="2">
        <v>45</v>
      </c>
      <c r="D785" s="1">
        <v>43689</v>
      </c>
      <c r="E785" t="str">
        <f>"44119"</f>
        <v>44119</v>
      </c>
      <c r="F785" t="str">
        <f>"SELF INKING STAMPS/JP4"</f>
        <v>SELF INKING STAMPS/JP4</v>
      </c>
      <c r="G785" s="2">
        <v>45</v>
      </c>
      <c r="H785" t="str">
        <f>"SELF INKING STAMPS/JP4"</f>
        <v>SELF INKING STAMPS/JP4</v>
      </c>
    </row>
    <row r="786" spans="1:8" x14ac:dyDescent="0.25">
      <c r="A786" t="s">
        <v>185</v>
      </c>
      <c r="B786">
        <v>83367</v>
      </c>
      <c r="C786" s="2">
        <v>236.3</v>
      </c>
      <c r="D786" s="1">
        <v>43689</v>
      </c>
      <c r="E786" t="str">
        <f>"10718858"</f>
        <v>10718858</v>
      </c>
      <c r="F786" t="str">
        <f>"ACCT#0083705/PCT#4"</f>
        <v>ACCT#0083705/PCT#4</v>
      </c>
      <c r="G786" s="2">
        <v>236.3</v>
      </c>
      <c r="H786" t="str">
        <f>"ACCT#0083705/PCT#4"</f>
        <v>ACCT#0083705/PCT#4</v>
      </c>
    </row>
    <row r="787" spans="1:8" x14ac:dyDescent="0.25">
      <c r="A787" t="s">
        <v>186</v>
      </c>
      <c r="B787">
        <v>83368</v>
      </c>
      <c r="C787" s="2">
        <v>216</v>
      </c>
      <c r="D787" s="1">
        <v>43689</v>
      </c>
      <c r="E787" t="str">
        <f>"S101949796.001"</f>
        <v>S101949796.001</v>
      </c>
      <c r="F787" t="str">
        <f>"INV S101949796.001"</f>
        <v>INV S101949796.001</v>
      </c>
      <c r="G787" s="2">
        <v>216</v>
      </c>
      <c r="H787" t="str">
        <f>"INV S101949796.001"</f>
        <v>INV S101949796.001</v>
      </c>
    </row>
    <row r="788" spans="1:8" x14ac:dyDescent="0.25">
      <c r="A788" t="s">
        <v>187</v>
      </c>
      <c r="B788">
        <v>83369</v>
      </c>
      <c r="C788" s="2">
        <v>85</v>
      </c>
      <c r="D788" s="1">
        <v>43689</v>
      </c>
      <c r="E788" t="str">
        <f>"12959"</f>
        <v>12959</v>
      </c>
      <c r="F788" t="str">
        <f>"SERVICE"</f>
        <v>SERVICE</v>
      </c>
      <c r="G788" s="2">
        <v>85</v>
      </c>
      <c r="H788" t="str">
        <f>"SERVICE"</f>
        <v>SERVICE</v>
      </c>
    </row>
    <row r="789" spans="1:8" x14ac:dyDescent="0.25">
      <c r="A789" t="s">
        <v>188</v>
      </c>
      <c r="B789">
        <v>83370</v>
      </c>
      <c r="C789" s="2">
        <v>966</v>
      </c>
      <c r="D789" s="1">
        <v>43689</v>
      </c>
      <c r="E789" t="str">
        <f>"201908071022"</f>
        <v>201908071022</v>
      </c>
      <c r="F789" t="str">
        <f>"LODGING"</f>
        <v>LODGING</v>
      </c>
      <c r="G789" s="2">
        <v>966</v>
      </c>
      <c r="H789" t="str">
        <f>"LODGING"</f>
        <v>LODGING</v>
      </c>
    </row>
    <row r="790" spans="1:8" x14ac:dyDescent="0.25">
      <c r="A790" t="s">
        <v>189</v>
      </c>
      <c r="B790">
        <v>1266</v>
      </c>
      <c r="C790" s="2">
        <v>650</v>
      </c>
      <c r="D790" s="1">
        <v>43704</v>
      </c>
      <c r="E790" t="str">
        <f>"201908211228"</f>
        <v>201908211228</v>
      </c>
      <c r="F790" t="str">
        <f>"BASCOM L HODGES JR"</f>
        <v>BASCOM L HODGES JR</v>
      </c>
      <c r="G790" s="2">
        <v>650</v>
      </c>
      <c r="H790" t="str">
        <f>""</f>
        <v/>
      </c>
    </row>
    <row r="791" spans="1:8" x14ac:dyDescent="0.25">
      <c r="A791" t="s">
        <v>190</v>
      </c>
      <c r="B791">
        <v>83371</v>
      </c>
      <c r="C791" s="2">
        <v>1075</v>
      </c>
      <c r="D791" s="1">
        <v>43689</v>
      </c>
      <c r="E791" t="str">
        <f>"201907310712"</f>
        <v>201907310712</v>
      </c>
      <c r="F791" t="str">
        <f>"19-19456"</f>
        <v>19-19456</v>
      </c>
      <c r="G791" s="2">
        <v>175</v>
      </c>
      <c r="H791" t="str">
        <f>"19-19456"</f>
        <v>19-19456</v>
      </c>
    </row>
    <row r="792" spans="1:8" x14ac:dyDescent="0.25">
      <c r="E792" t="str">
        <f>"201907310713"</f>
        <v>201907310713</v>
      </c>
      <c r="F792" t="str">
        <f>"18-19011"</f>
        <v>18-19011</v>
      </c>
      <c r="G792" s="2">
        <v>225</v>
      </c>
      <c r="H792" t="str">
        <f>"18-19011"</f>
        <v>18-19011</v>
      </c>
    </row>
    <row r="793" spans="1:8" x14ac:dyDescent="0.25">
      <c r="E793" t="str">
        <f>"201907310735"</f>
        <v>201907310735</v>
      </c>
      <c r="F793" t="str">
        <f>"18-19299"</f>
        <v>18-19299</v>
      </c>
      <c r="G793" s="2">
        <v>175</v>
      </c>
      <c r="H793" t="str">
        <f>"18-19299"</f>
        <v>18-19299</v>
      </c>
    </row>
    <row r="794" spans="1:8" x14ac:dyDescent="0.25">
      <c r="E794" t="str">
        <f>"201908071011"</f>
        <v>201908071011</v>
      </c>
      <c r="F794" t="str">
        <f>"55 807"</f>
        <v>55 807</v>
      </c>
      <c r="G794" s="2">
        <v>250</v>
      </c>
      <c r="H794" t="str">
        <f>"55 807"</f>
        <v>55 807</v>
      </c>
    </row>
    <row r="795" spans="1:8" x14ac:dyDescent="0.25">
      <c r="E795" t="str">
        <f>"201908071012"</f>
        <v>201908071012</v>
      </c>
      <c r="F795" t="str">
        <f>"56 391"</f>
        <v>56 391</v>
      </c>
      <c r="G795" s="2">
        <v>250</v>
      </c>
      <c r="H795" t="str">
        <f>"56 391"</f>
        <v>56 391</v>
      </c>
    </row>
    <row r="796" spans="1:8" x14ac:dyDescent="0.25">
      <c r="A796" t="s">
        <v>190</v>
      </c>
      <c r="B796">
        <v>83583</v>
      </c>
      <c r="C796" s="2">
        <v>425</v>
      </c>
      <c r="D796" s="1">
        <v>43703</v>
      </c>
      <c r="E796" t="str">
        <f>"201908201210"</f>
        <v>201908201210</v>
      </c>
      <c r="F796" t="str">
        <f>"19-19718"</f>
        <v>19-19718</v>
      </c>
      <c r="G796" s="2">
        <v>150</v>
      </c>
      <c r="H796" t="str">
        <f>"19-19718"</f>
        <v>19-19718</v>
      </c>
    </row>
    <row r="797" spans="1:8" x14ac:dyDescent="0.25">
      <c r="E797" t="str">
        <f>"201908201211"</f>
        <v>201908201211</v>
      </c>
      <c r="F797" t="str">
        <f>"05-9623"</f>
        <v>05-9623</v>
      </c>
      <c r="G797" s="2">
        <v>100</v>
      </c>
      <c r="H797" t="str">
        <f>"05-9623"</f>
        <v>05-9623</v>
      </c>
    </row>
    <row r="798" spans="1:8" x14ac:dyDescent="0.25">
      <c r="E798" t="str">
        <f>"201908201212"</f>
        <v>201908201212</v>
      </c>
      <c r="F798" t="str">
        <f>"19-19703"</f>
        <v>19-19703</v>
      </c>
      <c r="G798" s="2">
        <v>175</v>
      </c>
      <c r="H798" t="str">
        <f>"19-19703"</f>
        <v>19-19703</v>
      </c>
    </row>
    <row r="799" spans="1:8" x14ac:dyDescent="0.25">
      <c r="A799" t="s">
        <v>191</v>
      </c>
      <c r="B799">
        <v>83372</v>
      </c>
      <c r="C799" s="2">
        <v>105</v>
      </c>
      <c r="D799" s="1">
        <v>43689</v>
      </c>
      <c r="E799" t="str">
        <f>"201908071033"</f>
        <v>201908071033</v>
      </c>
      <c r="F799" t="str">
        <f>"PER DIEM"</f>
        <v>PER DIEM</v>
      </c>
      <c r="G799" s="2">
        <v>105</v>
      </c>
      <c r="H799" t="str">
        <f>"PER DIEM"</f>
        <v>PER DIEM</v>
      </c>
    </row>
    <row r="800" spans="1:8" x14ac:dyDescent="0.25">
      <c r="A800" t="s">
        <v>192</v>
      </c>
      <c r="B800">
        <v>83373</v>
      </c>
      <c r="C800" s="2">
        <v>485.96</v>
      </c>
      <c r="D800" s="1">
        <v>43689</v>
      </c>
      <c r="E800" t="str">
        <f>"PIMP0312199"</f>
        <v>PIMP0312199</v>
      </c>
      <c r="F800" t="str">
        <f>"CUST#0129200/PCT#4"</f>
        <v>CUST#0129200/PCT#4</v>
      </c>
      <c r="G800" s="2">
        <v>193.46</v>
      </c>
      <c r="H800" t="str">
        <f>"CUST#0129200/PCT#4"</f>
        <v>CUST#0129200/PCT#4</v>
      </c>
    </row>
    <row r="801" spans="1:8" x14ac:dyDescent="0.25">
      <c r="E801" t="str">
        <f>"PIMP0312315"</f>
        <v>PIMP0312315</v>
      </c>
      <c r="F801" t="str">
        <f>"CUST#0129200/PCT#4"</f>
        <v>CUST#0129200/PCT#4</v>
      </c>
      <c r="G801" s="2">
        <v>292.5</v>
      </c>
      <c r="H801" t="str">
        <f>"CUST#0129200/PCT#4"</f>
        <v>CUST#0129200/PCT#4</v>
      </c>
    </row>
    <row r="802" spans="1:8" x14ac:dyDescent="0.25">
      <c r="A802" t="s">
        <v>192</v>
      </c>
      <c r="B802">
        <v>83584</v>
      </c>
      <c r="C802" s="2">
        <v>1232.67</v>
      </c>
      <c r="D802" s="1">
        <v>43703</v>
      </c>
      <c r="E802" t="str">
        <f>"PIGX0010850"</f>
        <v>PIGX0010850</v>
      </c>
      <c r="F802" t="str">
        <f>"CUST#0129050/PCT#1"</f>
        <v>CUST#0129050/PCT#1</v>
      </c>
      <c r="G802" s="2">
        <v>122.51</v>
      </c>
      <c r="H802" t="str">
        <f>"CUST#0129050/PCT#1"</f>
        <v>CUST#0129050/PCT#1</v>
      </c>
    </row>
    <row r="803" spans="1:8" x14ac:dyDescent="0.25">
      <c r="E803" t="str">
        <f>"PIGX0010852"</f>
        <v>PIGX0010852</v>
      </c>
      <c r="F803" t="str">
        <f>"CUST#0129050/CABLE/PCT#1"</f>
        <v>CUST#0129050/CABLE/PCT#1</v>
      </c>
      <c r="G803" s="2">
        <v>573.70000000000005</v>
      </c>
      <c r="H803" t="str">
        <f>"CUST#0129050/CABLE/PCT#1"</f>
        <v>CUST#0129050/CABLE/PCT#1</v>
      </c>
    </row>
    <row r="804" spans="1:8" x14ac:dyDescent="0.25">
      <c r="E804" t="str">
        <f>"WIMA0122950"</f>
        <v>WIMA0122950</v>
      </c>
      <c r="F804" t="str">
        <f>"CUST#0129200/PCT#4"</f>
        <v>CUST#0129200/PCT#4</v>
      </c>
      <c r="G804" s="2">
        <v>536.46</v>
      </c>
      <c r="H804" t="str">
        <f>"CUST#0129200/PCT#4"</f>
        <v>CUST#0129200/PCT#4</v>
      </c>
    </row>
    <row r="805" spans="1:8" x14ac:dyDescent="0.25">
      <c r="A805" t="s">
        <v>193</v>
      </c>
      <c r="B805">
        <v>83374</v>
      </c>
      <c r="C805" s="2">
        <v>8029.01</v>
      </c>
      <c r="D805" s="1">
        <v>43689</v>
      </c>
      <c r="E805" t="str">
        <f>"201908060938"</f>
        <v>201908060938</v>
      </c>
      <c r="F805" t="str">
        <f>"Acct# 0103"</f>
        <v>Acct# 0103</v>
      </c>
      <c r="G805" s="2">
        <v>8029.01</v>
      </c>
      <c r="H805" t="str">
        <f>"inv# 7217195"</f>
        <v>inv# 7217195</v>
      </c>
    </row>
    <row r="806" spans="1:8" x14ac:dyDescent="0.25">
      <c r="E806" t="str">
        <f>""</f>
        <v/>
      </c>
      <c r="F806" t="str">
        <f>""</f>
        <v/>
      </c>
      <c r="H806" t="str">
        <f>"inv# 2681677"</f>
        <v>inv# 2681677</v>
      </c>
    </row>
    <row r="807" spans="1:8" x14ac:dyDescent="0.25">
      <c r="E807" t="str">
        <f>""</f>
        <v/>
      </c>
      <c r="F807" t="str">
        <f>""</f>
        <v/>
      </c>
      <c r="H807" t="str">
        <f>"inv# 2901904"</f>
        <v>inv# 2901904</v>
      </c>
    </row>
    <row r="808" spans="1:8" x14ac:dyDescent="0.25">
      <c r="E808" t="str">
        <f>""</f>
        <v/>
      </c>
      <c r="F808" t="str">
        <f>""</f>
        <v/>
      </c>
      <c r="H808" t="str">
        <f>"inv# 1021623"</f>
        <v>inv# 1021623</v>
      </c>
    </row>
    <row r="809" spans="1:8" x14ac:dyDescent="0.25">
      <c r="E809" t="str">
        <f>""</f>
        <v/>
      </c>
      <c r="F809" t="str">
        <f>""</f>
        <v/>
      </c>
      <c r="H809" t="str">
        <f>"inv# 1971070"</f>
        <v>inv# 1971070</v>
      </c>
    </row>
    <row r="810" spans="1:8" x14ac:dyDescent="0.25">
      <c r="E810" t="str">
        <f>""</f>
        <v/>
      </c>
      <c r="F810" t="str">
        <f>""</f>
        <v/>
      </c>
      <c r="H810" t="str">
        <f>"inv# 2108"</f>
        <v>inv# 2108</v>
      </c>
    </row>
    <row r="811" spans="1:8" x14ac:dyDescent="0.25">
      <c r="E811" t="str">
        <f>""</f>
        <v/>
      </c>
      <c r="F811" t="str">
        <f>""</f>
        <v/>
      </c>
      <c r="H811" t="str">
        <f>"inv# 9021835"</f>
        <v>inv# 9021835</v>
      </c>
    </row>
    <row r="812" spans="1:8" x14ac:dyDescent="0.25">
      <c r="E812" t="str">
        <f>""</f>
        <v/>
      </c>
      <c r="F812" t="str">
        <f>""</f>
        <v/>
      </c>
      <c r="H812" t="str">
        <f>"inv# 2022529"</f>
        <v>inv# 2022529</v>
      </c>
    </row>
    <row r="813" spans="1:8" x14ac:dyDescent="0.25">
      <c r="E813" t="str">
        <f>""</f>
        <v/>
      </c>
      <c r="F813" t="str">
        <f>""</f>
        <v/>
      </c>
      <c r="H813" t="str">
        <f>"inv# 1022735"</f>
        <v>inv# 1022735</v>
      </c>
    </row>
    <row r="814" spans="1:8" x14ac:dyDescent="0.25">
      <c r="E814" t="str">
        <f>""</f>
        <v/>
      </c>
      <c r="F814" t="str">
        <f>""</f>
        <v/>
      </c>
      <c r="H814" t="str">
        <f>"inv# 4023573"</f>
        <v>inv# 4023573</v>
      </c>
    </row>
    <row r="815" spans="1:8" x14ac:dyDescent="0.25">
      <c r="E815" t="str">
        <f>""</f>
        <v/>
      </c>
      <c r="F815" t="str">
        <f>""</f>
        <v/>
      </c>
      <c r="H815" t="str">
        <f>"inv# 4023589"</f>
        <v>inv# 4023589</v>
      </c>
    </row>
    <row r="816" spans="1:8" x14ac:dyDescent="0.25">
      <c r="E816" t="str">
        <f>""</f>
        <v/>
      </c>
      <c r="F816" t="str">
        <f>""</f>
        <v/>
      </c>
      <c r="H816" t="str">
        <f>"inv# 8676244"</f>
        <v>inv# 8676244</v>
      </c>
    </row>
    <row r="817" spans="5:8" x14ac:dyDescent="0.25">
      <c r="E817" t="str">
        <f>""</f>
        <v/>
      </c>
      <c r="F817" t="str">
        <f>""</f>
        <v/>
      </c>
      <c r="H817" t="str">
        <f>"inv# 7153148"</f>
        <v>inv# 7153148</v>
      </c>
    </row>
    <row r="818" spans="5:8" x14ac:dyDescent="0.25">
      <c r="E818" t="str">
        <f>""</f>
        <v/>
      </c>
      <c r="F818" t="str">
        <f>""</f>
        <v/>
      </c>
      <c r="H818" t="str">
        <f>"inv# 6015963"</f>
        <v>inv# 6015963</v>
      </c>
    </row>
    <row r="819" spans="5:8" x14ac:dyDescent="0.25">
      <c r="E819" t="str">
        <f>""</f>
        <v/>
      </c>
      <c r="F819" t="str">
        <f>""</f>
        <v/>
      </c>
      <c r="H819" t="str">
        <f>"inv# 6153154"</f>
        <v>inv# 6153154</v>
      </c>
    </row>
    <row r="820" spans="5:8" x14ac:dyDescent="0.25">
      <c r="E820" t="str">
        <f>""</f>
        <v/>
      </c>
      <c r="F820" t="str">
        <f>""</f>
        <v/>
      </c>
      <c r="H820" t="str">
        <f>"inv# 6591014"</f>
        <v>inv# 6591014</v>
      </c>
    </row>
    <row r="821" spans="5:8" x14ac:dyDescent="0.25">
      <c r="E821" t="str">
        <f>""</f>
        <v/>
      </c>
      <c r="F821" t="str">
        <f>""</f>
        <v/>
      </c>
      <c r="H821" t="str">
        <f>"inv# 7025087"</f>
        <v>inv# 7025087</v>
      </c>
    </row>
    <row r="822" spans="5:8" x14ac:dyDescent="0.25">
      <c r="E822" t="str">
        <f>""</f>
        <v/>
      </c>
      <c r="F822" t="str">
        <f>""</f>
        <v/>
      </c>
      <c r="H822" t="str">
        <f>"inv# 5970188"</f>
        <v>inv# 5970188</v>
      </c>
    </row>
    <row r="823" spans="5:8" x14ac:dyDescent="0.25">
      <c r="E823" t="str">
        <f>""</f>
        <v/>
      </c>
      <c r="F823" t="str">
        <f>""</f>
        <v/>
      </c>
      <c r="H823" t="str">
        <f>"inv# 2152911"</f>
        <v>inv# 2152911</v>
      </c>
    </row>
    <row r="824" spans="5:8" x14ac:dyDescent="0.25">
      <c r="E824" t="str">
        <f>""</f>
        <v/>
      </c>
      <c r="F824" t="str">
        <f>""</f>
        <v/>
      </c>
      <c r="H824" t="str">
        <f>"inv# 1012307"</f>
        <v>inv# 1012307</v>
      </c>
    </row>
    <row r="825" spans="5:8" x14ac:dyDescent="0.25">
      <c r="E825" t="str">
        <f>""</f>
        <v/>
      </c>
      <c r="F825" t="str">
        <f>""</f>
        <v/>
      </c>
      <c r="H825" t="str">
        <f>"inv# 1025894"</f>
        <v>inv# 1025894</v>
      </c>
    </row>
    <row r="826" spans="5:8" x14ac:dyDescent="0.25">
      <c r="E826" t="str">
        <f>""</f>
        <v/>
      </c>
      <c r="F826" t="str">
        <f>""</f>
        <v/>
      </c>
      <c r="H826" t="str">
        <f>"inv# 25963"</f>
        <v>inv# 25963</v>
      </c>
    </row>
    <row r="827" spans="5:8" x14ac:dyDescent="0.25">
      <c r="E827" t="str">
        <f>""</f>
        <v/>
      </c>
      <c r="F827" t="str">
        <f>""</f>
        <v/>
      </c>
      <c r="H827" t="str">
        <f>"inv# 9142518"</f>
        <v>inv# 9142518</v>
      </c>
    </row>
    <row r="828" spans="5:8" x14ac:dyDescent="0.25">
      <c r="E828" t="str">
        <f>""</f>
        <v/>
      </c>
      <c r="F828" t="str">
        <f>""</f>
        <v/>
      </c>
      <c r="H828" t="str">
        <f>"inv# 8026248"</f>
        <v>inv# 8026248</v>
      </c>
    </row>
    <row r="829" spans="5:8" x14ac:dyDescent="0.25">
      <c r="E829" t="str">
        <f>""</f>
        <v/>
      </c>
      <c r="F829" t="str">
        <f>""</f>
        <v/>
      </c>
      <c r="H829" t="str">
        <f>"inv# 5012779"</f>
        <v>inv# 5012779</v>
      </c>
    </row>
    <row r="830" spans="5:8" x14ac:dyDescent="0.25">
      <c r="E830" t="str">
        <f>""</f>
        <v/>
      </c>
      <c r="F830" t="str">
        <f>""</f>
        <v/>
      </c>
      <c r="H830" t="str">
        <f>"inv# 4020205"</f>
        <v>inv# 4020205</v>
      </c>
    </row>
    <row r="831" spans="5:8" x14ac:dyDescent="0.25">
      <c r="E831" t="str">
        <f>""</f>
        <v/>
      </c>
      <c r="F831" t="str">
        <f>""</f>
        <v/>
      </c>
      <c r="H831" t="str">
        <f>"inv# 2910663"</f>
        <v>inv# 2910663</v>
      </c>
    </row>
    <row r="832" spans="5:8" x14ac:dyDescent="0.25">
      <c r="E832" t="str">
        <f>""</f>
        <v/>
      </c>
      <c r="F832" t="str">
        <f>""</f>
        <v/>
      </c>
      <c r="H832" t="str">
        <f>"inv# 6025313"</f>
        <v>inv# 6025313</v>
      </c>
    </row>
    <row r="833" spans="5:8" x14ac:dyDescent="0.25">
      <c r="E833" t="str">
        <f>""</f>
        <v/>
      </c>
      <c r="F833" t="str">
        <f>""</f>
        <v/>
      </c>
      <c r="H833" t="str">
        <f>"inv# 595144"</f>
        <v>inv# 595144</v>
      </c>
    </row>
    <row r="834" spans="5:8" x14ac:dyDescent="0.25">
      <c r="E834" t="str">
        <f>""</f>
        <v/>
      </c>
      <c r="F834" t="str">
        <f>""</f>
        <v/>
      </c>
      <c r="H834" t="str">
        <f>"inv# 2590204"</f>
        <v>inv# 2590204</v>
      </c>
    </row>
    <row r="835" spans="5:8" x14ac:dyDescent="0.25">
      <c r="E835" t="str">
        <f>""</f>
        <v/>
      </c>
      <c r="F835" t="str">
        <f>""</f>
        <v/>
      </c>
      <c r="H835" t="str">
        <f>"inv# 4564481"</f>
        <v>inv# 4564481</v>
      </c>
    </row>
    <row r="836" spans="5:8" x14ac:dyDescent="0.25">
      <c r="E836" t="str">
        <f>""</f>
        <v/>
      </c>
      <c r="F836" t="str">
        <f>""</f>
        <v/>
      </c>
      <c r="H836" t="str">
        <f>"inv# 7594785"</f>
        <v>inv# 7594785</v>
      </c>
    </row>
    <row r="837" spans="5:8" x14ac:dyDescent="0.25">
      <c r="E837" t="str">
        <f>""</f>
        <v/>
      </c>
      <c r="F837" t="str">
        <f>""</f>
        <v/>
      </c>
      <c r="H837" t="str">
        <f>"inv# 6102937"</f>
        <v>inv# 6102937</v>
      </c>
    </row>
    <row r="838" spans="5:8" x14ac:dyDescent="0.25">
      <c r="E838" t="str">
        <f>""</f>
        <v/>
      </c>
      <c r="F838" t="str">
        <f>""</f>
        <v/>
      </c>
      <c r="H838" t="str">
        <f>"inv# 7024536"</f>
        <v>inv# 7024536</v>
      </c>
    </row>
    <row r="839" spans="5:8" x14ac:dyDescent="0.25">
      <c r="E839" t="str">
        <f>""</f>
        <v/>
      </c>
      <c r="F839" t="str">
        <f>""</f>
        <v/>
      </c>
      <c r="H839" t="str">
        <f>"inv# 1783099"</f>
        <v>inv# 1783099</v>
      </c>
    </row>
    <row r="840" spans="5:8" x14ac:dyDescent="0.25">
      <c r="E840" t="str">
        <f>""</f>
        <v/>
      </c>
      <c r="F840" t="str">
        <f>""</f>
        <v/>
      </c>
      <c r="H840" t="str">
        <f>"inv# 4103461"</f>
        <v>inv# 4103461</v>
      </c>
    </row>
    <row r="841" spans="5:8" x14ac:dyDescent="0.25">
      <c r="E841" t="str">
        <f>""</f>
        <v/>
      </c>
      <c r="F841" t="str">
        <f>""</f>
        <v/>
      </c>
      <c r="H841" t="str">
        <f>"inv# 7670089"</f>
        <v>inv# 7670089</v>
      </c>
    </row>
    <row r="842" spans="5:8" x14ac:dyDescent="0.25">
      <c r="E842" t="str">
        <f>""</f>
        <v/>
      </c>
      <c r="F842" t="str">
        <f>""</f>
        <v/>
      </c>
      <c r="H842" t="str">
        <f>"inv# 3024460"</f>
        <v>inv# 3024460</v>
      </c>
    </row>
    <row r="843" spans="5:8" x14ac:dyDescent="0.25">
      <c r="E843" t="str">
        <f>""</f>
        <v/>
      </c>
      <c r="F843" t="str">
        <f>""</f>
        <v/>
      </c>
      <c r="H843" t="str">
        <f>"inv# 2593611"</f>
        <v>inv# 2593611</v>
      </c>
    </row>
    <row r="844" spans="5:8" x14ac:dyDescent="0.25">
      <c r="E844" t="str">
        <f>""</f>
        <v/>
      </c>
      <c r="F844" t="str">
        <f>""</f>
        <v/>
      </c>
      <c r="H844" t="str">
        <f>"inv# 4013707"</f>
        <v>inv# 4013707</v>
      </c>
    </row>
    <row r="845" spans="5:8" x14ac:dyDescent="0.25">
      <c r="E845" t="str">
        <f>""</f>
        <v/>
      </c>
      <c r="F845" t="str">
        <f>""</f>
        <v/>
      </c>
      <c r="H845" t="str">
        <f>"inv# 4022319"</f>
        <v>inv# 4022319</v>
      </c>
    </row>
    <row r="846" spans="5:8" x14ac:dyDescent="0.25">
      <c r="E846" t="str">
        <f>""</f>
        <v/>
      </c>
      <c r="F846" t="str">
        <f>""</f>
        <v/>
      </c>
      <c r="H846" t="str">
        <f>"inv# 4023644"</f>
        <v>inv# 4023644</v>
      </c>
    </row>
    <row r="847" spans="5:8" x14ac:dyDescent="0.25">
      <c r="E847" t="str">
        <f>""</f>
        <v/>
      </c>
      <c r="F847" t="str">
        <f>""</f>
        <v/>
      </c>
      <c r="H847" t="str">
        <f>"inv# 8153140"</f>
        <v>inv# 8153140</v>
      </c>
    </row>
    <row r="848" spans="5:8" x14ac:dyDescent="0.25">
      <c r="E848" t="str">
        <f>""</f>
        <v/>
      </c>
      <c r="F848" t="str">
        <f>""</f>
        <v/>
      </c>
      <c r="H848" t="str">
        <f>"inv# 8153140"</f>
        <v>inv# 8153140</v>
      </c>
    </row>
    <row r="849" spans="5:8" x14ac:dyDescent="0.25">
      <c r="E849" t="str">
        <f>""</f>
        <v/>
      </c>
      <c r="F849" t="str">
        <f>""</f>
        <v/>
      </c>
      <c r="H849" t="str">
        <f>"inv# 4103471"</f>
        <v>inv# 4103471</v>
      </c>
    </row>
    <row r="850" spans="5:8" x14ac:dyDescent="0.25">
      <c r="E850" t="str">
        <f>""</f>
        <v/>
      </c>
      <c r="F850" t="str">
        <f>""</f>
        <v/>
      </c>
      <c r="H850" t="str">
        <f>"inv# 4974868"</f>
        <v>inv# 4974868</v>
      </c>
    </row>
    <row r="851" spans="5:8" x14ac:dyDescent="0.25">
      <c r="E851" t="str">
        <f>""</f>
        <v/>
      </c>
      <c r="F851" t="str">
        <f>""</f>
        <v/>
      </c>
      <c r="H851" t="str">
        <f>"inv# 2152912"</f>
        <v>inv# 2152912</v>
      </c>
    </row>
    <row r="852" spans="5:8" x14ac:dyDescent="0.25">
      <c r="E852" t="str">
        <f>""</f>
        <v/>
      </c>
      <c r="F852" t="str">
        <f>""</f>
        <v/>
      </c>
      <c r="H852" t="str">
        <f>"inv# 4970581"</f>
        <v>inv# 4970581</v>
      </c>
    </row>
    <row r="853" spans="5:8" x14ac:dyDescent="0.25">
      <c r="E853" t="str">
        <f>""</f>
        <v/>
      </c>
      <c r="F853" t="str">
        <f>""</f>
        <v/>
      </c>
      <c r="H853" t="str">
        <f>"inv# 2153042"</f>
        <v>inv# 2153042</v>
      </c>
    </row>
    <row r="854" spans="5:8" x14ac:dyDescent="0.25">
      <c r="E854" t="str">
        <f>""</f>
        <v/>
      </c>
      <c r="F854" t="str">
        <f>""</f>
        <v/>
      </c>
      <c r="H854" t="str">
        <f>"inv# 2014815"</f>
        <v>inv# 2014815</v>
      </c>
    </row>
    <row r="855" spans="5:8" x14ac:dyDescent="0.25">
      <c r="E855" t="str">
        <f>""</f>
        <v/>
      </c>
      <c r="F855" t="str">
        <f>""</f>
        <v/>
      </c>
      <c r="H855" t="str">
        <f>"inv# 9121768"</f>
        <v>inv# 9121768</v>
      </c>
    </row>
    <row r="856" spans="5:8" x14ac:dyDescent="0.25">
      <c r="E856" t="str">
        <f>""</f>
        <v/>
      </c>
      <c r="F856" t="str">
        <f>""</f>
        <v/>
      </c>
      <c r="H856" t="str">
        <f>"inv# 3152942"</f>
        <v>inv# 3152942</v>
      </c>
    </row>
    <row r="857" spans="5:8" x14ac:dyDescent="0.25">
      <c r="E857" t="str">
        <f>""</f>
        <v/>
      </c>
      <c r="F857" t="str">
        <f>""</f>
        <v/>
      </c>
      <c r="H857" t="str">
        <f>"inv# 3152942"</f>
        <v>inv# 3152942</v>
      </c>
    </row>
    <row r="858" spans="5:8" x14ac:dyDescent="0.25">
      <c r="E858" t="str">
        <f>""</f>
        <v/>
      </c>
      <c r="F858" t="str">
        <f>""</f>
        <v/>
      </c>
      <c r="H858" t="str">
        <f>"inv# 50587"</f>
        <v>inv# 50587</v>
      </c>
    </row>
    <row r="859" spans="5:8" x14ac:dyDescent="0.25">
      <c r="E859" t="str">
        <f>""</f>
        <v/>
      </c>
      <c r="F859" t="str">
        <f>""</f>
        <v/>
      </c>
      <c r="H859" t="str">
        <f>"inv# 50587"</f>
        <v>inv# 50587</v>
      </c>
    </row>
    <row r="860" spans="5:8" x14ac:dyDescent="0.25">
      <c r="E860" t="str">
        <f>""</f>
        <v/>
      </c>
      <c r="F860" t="str">
        <f>""</f>
        <v/>
      </c>
      <c r="H860" t="str">
        <f>"inv# 594159"</f>
        <v>inv# 594159</v>
      </c>
    </row>
    <row r="861" spans="5:8" x14ac:dyDescent="0.25">
      <c r="E861" t="str">
        <f>""</f>
        <v/>
      </c>
      <c r="F861" t="str">
        <f>""</f>
        <v/>
      </c>
      <c r="H861" t="str">
        <f>"inv# 7091705"</f>
        <v>inv# 7091705</v>
      </c>
    </row>
    <row r="862" spans="5:8" x14ac:dyDescent="0.25">
      <c r="E862" t="str">
        <f>""</f>
        <v/>
      </c>
      <c r="F862" t="str">
        <f>""</f>
        <v/>
      </c>
      <c r="H862" t="str">
        <f>"inv# 7564969"</f>
        <v>inv# 7564969</v>
      </c>
    </row>
    <row r="863" spans="5:8" x14ac:dyDescent="0.25">
      <c r="E863" t="str">
        <f>""</f>
        <v/>
      </c>
      <c r="F863" t="str">
        <f>""</f>
        <v/>
      </c>
      <c r="H863" t="str">
        <f>"inv# 4020209"</f>
        <v>inv# 4020209</v>
      </c>
    </row>
    <row r="864" spans="5:8" x14ac:dyDescent="0.25">
      <c r="E864" t="str">
        <f>""</f>
        <v/>
      </c>
      <c r="F864" t="str">
        <f>""</f>
        <v/>
      </c>
      <c r="H864" t="str">
        <f>"inv# 9560200"</f>
        <v>inv# 9560200</v>
      </c>
    </row>
    <row r="865" spans="1:8" x14ac:dyDescent="0.25">
      <c r="E865" t="str">
        <f>""</f>
        <v/>
      </c>
      <c r="F865" t="str">
        <f>""</f>
        <v/>
      </c>
      <c r="H865" t="str">
        <f>"inv# 4014613"</f>
        <v>inv# 4014613</v>
      </c>
    </row>
    <row r="866" spans="1:8" x14ac:dyDescent="0.25">
      <c r="E866" t="str">
        <f>""</f>
        <v/>
      </c>
      <c r="F866" t="str">
        <f>""</f>
        <v/>
      </c>
      <c r="H866" t="str">
        <f>"inv# 4022246"</f>
        <v>inv# 4022246</v>
      </c>
    </row>
    <row r="867" spans="1:8" x14ac:dyDescent="0.25">
      <c r="E867" t="str">
        <f>""</f>
        <v/>
      </c>
      <c r="F867" t="str">
        <f>""</f>
        <v/>
      </c>
      <c r="H867" t="str">
        <f>"inv# 4022266"</f>
        <v>inv# 4022266</v>
      </c>
    </row>
    <row r="868" spans="1:8" x14ac:dyDescent="0.25">
      <c r="E868" t="str">
        <f>""</f>
        <v/>
      </c>
      <c r="F868" t="str">
        <f>""</f>
        <v/>
      </c>
      <c r="H868" t="str">
        <f>"inv# 1022762"</f>
        <v>inv# 1022762</v>
      </c>
    </row>
    <row r="869" spans="1:8" x14ac:dyDescent="0.25">
      <c r="E869" t="str">
        <f>""</f>
        <v/>
      </c>
      <c r="F869" t="str">
        <f>""</f>
        <v/>
      </c>
      <c r="H869" t="str">
        <f>"inv# 6023269"</f>
        <v>inv# 6023269</v>
      </c>
    </row>
    <row r="870" spans="1:8" x14ac:dyDescent="0.25">
      <c r="E870" t="str">
        <f>""</f>
        <v/>
      </c>
      <c r="F870" t="str">
        <f>""</f>
        <v/>
      </c>
      <c r="H870" t="str">
        <f>"inv# 8121855"</f>
        <v>inv# 8121855</v>
      </c>
    </row>
    <row r="871" spans="1:8" x14ac:dyDescent="0.25">
      <c r="E871" t="str">
        <f>""</f>
        <v/>
      </c>
      <c r="F871" t="str">
        <f>""</f>
        <v/>
      </c>
      <c r="H871" t="str">
        <f>"inv# 4024351"</f>
        <v>inv# 4024351</v>
      </c>
    </row>
    <row r="872" spans="1:8" x14ac:dyDescent="0.25">
      <c r="E872" t="str">
        <f>""</f>
        <v/>
      </c>
      <c r="F872" t="str">
        <f>""</f>
        <v/>
      </c>
      <c r="H872" t="str">
        <f>"inv# 8011777"</f>
        <v>inv# 8011777</v>
      </c>
    </row>
    <row r="873" spans="1:8" x14ac:dyDescent="0.25">
      <c r="A873" t="s">
        <v>194</v>
      </c>
      <c r="B873">
        <v>83375</v>
      </c>
      <c r="C873" s="2">
        <v>565</v>
      </c>
      <c r="D873" s="1">
        <v>43689</v>
      </c>
      <c r="E873" t="str">
        <f>"SL2019-07_00009"</f>
        <v>SL2019-07_00009</v>
      </c>
      <c r="F873" t="str">
        <f>"SHELTERLUV SOFTWARE"</f>
        <v>SHELTERLUV SOFTWARE</v>
      </c>
      <c r="G873" s="2">
        <v>565</v>
      </c>
      <c r="H873" t="str">
        <f>"SHELTERLUV SOFTWARE"</f>
        <v>SHELTERLUV SOFTWARE</v>
      </c>
    </row>
    <row r="874" spans="1:8" x14ac:dyDescent="0.25">
      <c r="A874" t="s">
        <v>195</v>
      </c>
      <c r="B874">
        <v>83376</v>
      </c>
      <c r="C874" s="2">
        <v>189.59</v>
      </c>
      <c r="D874" s="1">
        <v>43689</v>
      </c>
      <c r="E874" t="str">
        <f>"13989"</f>
        <v>13989</v>
      </c>
      <c r="F874" t="str">
        <f>"INV 13989"</f>
        <v>INV 13989</v>
      </c>
      <c r="G874" s="2">
        <v>189.59</v>
      </c>
      <c r="H874" t="str">
        <f>"INV 13989"</f>
        <v>INV 13989</v>
      </c>
    </row>
    <row r="875" spans="1:8" x14ac:dyDescent="0.25">
      <c r="A875" t="s">
        <v>196</v>
      </c>
      <c r="B875">
        <v>83585</v>
      </c>
      <c r="C875" s="2">
        <v>439.89</v>
      </c>
      <c r="D875" s="1">
        <v>43703</v>
      </c>
      <c r="E875" t="str">
        <f>"201908141075"</f>
        <v>201908141075</v>
      </c>
      <c r="F875" t="str">
        <f>"LODGING-BRENDA RETZLAFF"</f>
        <v>LODGING-BRENDA RETZLAFF</v>
      </c>
      <c r="G875" s="2">
        <v>439.89</v>
      </c>
      <c r="H875" t="str">
        <f>"LODGING-BRENDA RETZLAFF"</f>
        <v>LODGING-BRENDA RETZLAFF</v>
      </c>
    </row>
    <row r="876" spans="1:8" x14ac:dyDescent="0.25">
      <c r="A876" t="s">
        <v>197</v>
      </c>
      <c r="B876">
        <v>1161</v>
      </c>
      <c r="C876" s="2">
        <v>117.06</v>
      </c>
      <c r="D876" s="1">
        <v>43690</v>
      </c>
      <c r="E876" t="str">
        <f>"201021"</f>
        <v>201021</v>
      </c>
      <c r="F876" t="str">
        <f>"HIGH PRESSURE BRAID HOSE/P3"</f>
        <v>HIGH PRESSURE BRAID HOSE/P3</v>
      </c>
      <c r="G876" s="2">
        <v>59.06</v>
      </c>
      <c r="H876" t="str">
        <f>"HIGH PRESSURE BRAID HOSE/P3"</f>
        <v>HIGH PRESSURE BRAID HOSE/P3</v>
      </c>
    </row>
    <row r="877" spans="1:8" x14ac:dyDescent="0.25">
      <c r="E877" t="str">
        <f>"201045"</f>
        <v>201045</v>
      </c>
      <c r="F877" t="str">
        <f>"HYDRAULIC FLUID/PCT#3"</f>
        <v>HYDRAULIC FLUID/PCT#3</v>
      </c>
      <c r="G877" s="2">
        <v>58</v>
      </c>
      <c r="H877" t="str">
        <f>"HYDRAULIC FLUID/PCT#3"</f>
        <v>HYDRAULIC FLUID/PCT#3</v>
      </c>
    </row>
    <row r="878" spans="1:8" x14ac:dyDescent="0.25">
      <c r="A878" t="s">
        <v>197</v>
      </c>
      <c r="B878">
        <v>1237</v>
      </c>
      <c r="C878" s="2">
        <v>350</v>
      </c>
      <c r="D878" s="1">
        <v>43704</v>
      </c>
      <c r="E878" t="str">
        <f>"201253"</f>
        <v>201253</v>
      </c>
      <c r="F878" t="str">
        <f>"PARTS/PCT#1"</f>
        <v>PARTS/PCT#1</v>
      </c>
      <c r="G878" s="2">
        <v>350</v>
      </c>
      <c r="H878" t="str">
        <f>"PARTS/PCT#1"</f>
        <v>PARTS/PCT#1</v>
      </c>
    </row>
    <row r="879" spans="1:8" x14ac:dyDescent="0.25">
      <c r="A879" t="s">
        <v>198</v>
      </c>
      <c r="B879">
        <v>1272</v>
      </c>
      <c r="C879" s="2">
        <v>2430</v>
      </c>
      <c r="D879" s="1">
        <v>43704</v>
      </c>
      <c r="E879" t="str">
        <f>"68227"</f>
        <v>68227</v>
      </c>
      <c r="F879" t="str">
        <f>"PROF SVCS-SEPT 2019"</f>
        <v>PROF SVCS-SEPT 2019</v>
      </c>
      <c r="G879" s="2">
        <v>2430</v>
      </c>
      <c r="H879" t="str">
        <f>"PROF SVCS-SEPT 2019"</f>
        <v>PROF SVCS-SEPT 2019</v>
      </c>
    </row>
    <row r="880" spans="1:8" x14ac:dyDescent="0.25">
      <c r="E880" t="str">
        <f>""</f>
        <v/>
      </c>
      <c r="F880" t="str">
        <f>""</f>
        <v/>
      </c>
      <c r="H880" t="str">
        <f>"PROF SVCS-SEPT 2019"</f>
        <v>PROF SVCS-SEPT 2019</v>
      </c>
    </row>
    <row r="881" spans="1:8" x14ac:dyDescent="0.25">
      <c r="A881" t="s">
        <v>199</v>
      </c>
      <c r="B881">
        <v>83377</v>
      </c>
      <c r="C881" s="2">
        <v>134.88</v>
      </c>
      <c r="D881" s="1">
        <v>43689</v>
      </c>
      <c r="E881" t="str">
        <f>"BVZZ227"</f>
        <v>BVZZ227</v>
      </c>
      <c r="F881" t="str">
        <f>"CUST ID:AX773/COUNTY CLERK"</f>
        <v>CUST ID:AX773/COUNTY CLERK</v>
      </c>
      <c r="G881" s="2">
        <v>134.88</v>
      </c>
      <c r="H881" t="str">
        <f>"CUST ID:AX773/COUNTY CLERK"</f>
        <v>CUST ID:AX773/COUNTY CLERK</v>
      </c>
    </row>
    <row r="882" spans="1:8" x14ac:dyDescent="0.25">
      <c r="A882" t="s">
        <v>200</v>
      </c>
      <c r="B882">
        <v>83378</v>
      </c>
      <c r="C882" s="2">
        <v>879.84</v>
      </c>
      <c r="D882" s="1">
        <v>43689</v>
      </c>
      <c r="E882" t="str">
        <f>"201907230655"</f>
        <v>201907230655</v>
      </c>
      <c r="F882" t="str">
        <f>"LODGING"</f>
        <v>LODGING</v>
      </c>
      <c r="G882" s="2">
        <v>879.84</v>
      </c>
      <c r="H882" t="str">
        <f>"CONFIRM #431494436"</f>
        <v>CONFIRM #431494436</v>
      </c>
    </row>
    <row r="883" spans="1:8" x14ac:dyDescent="0.25">
      <c r="E883" t="str">
        <f>""</f>
        <v/>
      </c>
      <c r="F883" t="str">
        <f>""</f>
        <v/>
      </c>
      <c r="H883" t="str">
        <f>"CONFIRM #431494470"</f>
        <v>CONFIRM #431494470</v>
      </c>
    </row>
    <row r="884" spans="1:8" x14ac:dyDescent="0.25">
      <c r="A884" t="s">
        <v>201</v>
      </c>
      <c r="B884">
        <v>83379</v>
      </c>
      <c r="C884" s="2">
        <v>95</v>
      </c>
      <c r="D884" s="1">
        <v>43689</v>
      </c>
      <c r="E884" t="str">
        <f>"201907230654"</f>
        <v>201907230654</v>
      </c>
      <c r="F884" t="str">
        <f>"PER DIEM"</f>
        <v>PER DIEM</v>
      </c>
      <c r="G884" s="2">
        <v>95</v>
      </c>
      <c r="H884" t="str">
        <f>"PER DIEM"</f>
        <v>PER DIEM</v>
      </c>
    </row>
    <row r="885" spans="1:8" x14ac:dyDescent="0.25">
      <c r="A885" t="s">
        <v>202</v>
      </c>
      <c r="B885">
        <v>83586</v>
      </c>
      <c r="C885" s="2">
        <v>441.76</v>
      </c>
      <c r="D885" s="1">
        <v>43703</v>
      </c>
      <c r="E885" t="str">
        <f>"201908151113"</f>
        <v>201908151113</v>
      </c>
      <c r="F885" t="str">
        <f>"COURT REPORTING SVCS/MILEAGE"</f>
        <v>COURT REPORTING SVCS/MILEAGE</v>
      </c>
      <c r="G885" s="2">
        <v>441.76</v>
      </c>
      <c r="H885" t="str">
        <f>"COURT REPORTING SVCS/MILEAGE"</f>
        <v>COURT REPORTING SVCS/MILEAGE</v>
      </c>
    </row>
    <row r="886" spans="1:8" x14ac:dyDescent="0.25">
      <c r="A886" t="s">
        <v>203</v>
      </c>
      <c r="B886">
        <v>1215</v>
      </c>
      <c r="C886" s="2">
        <v>2530.63</v>
      </c>
      <c r="D886" s="1">
        <v>43690</v>
      </c>
      <c r="E886" t="str">
        <f>"12523"</f>
        <v>12523</v>
      </c>
      <c r="F886" t="str">
        <f t="shared" ref="F886:F895" si="12">"AD LITEM FEE"</f>
        <v>AD LITEM FEE</v>
      </c>
      <c r="G886" s="2">
        <v>30.63</v>
      </c>
      <c r="H886" t="str">
        <f t="shared" ref="H886:H895" si="13">"AD LITEM FEE"</f>
        <v>AD LITEM FEE</v>
      </c>
    </row>
    <row r="887" spans="1:8" x14ac:dyDescent="0.25">
      <c r="E887" t="str">
        <f>"12790"</f>
        <v>12790</v>
      </c>
      <c r="F887" t="str">
        <f t="shared" si="12"/>
        <v>AD LITEM FEE</v>
      </c>
      <c r="G887" s="2">
        <v>150</v>
      </c>
      <c r="H887" t="str">
        <f t="shared" si="13"/>
        <v>AD LITEM FEE</v>
      </c>
    </row>
    <row r="888" spans="1:8" x14ac:dyDescent="0.25">
      <c r="E888" t="str">
        <f>"12872"</f>
        <v>12872</v>
      </c>
      <c r="F888" t="str">
        <f t="shared" si="12"/>
        <v>AD LITEM FEE</v>
      </c>
      <c r="G888" s="2">
        <v>150</v>
      </c>
      <c r="H888" t="str">
        <f t="shared" si="13"/>
        <v>AD LITEM FEE</v>
      </c>
    </row>
    <row r="889" spans="1:8" x14ac:dyDescent="0.25">
      <c r="E889" t="str">
        <f>"12905"</f>
        <v>12905</v>
      </c>
      <c r="F889" t="str">
        <f t="shared" si="12"/>
        <v>AD LITEM FEE</v>
      </c>
      <c r="G889" s="2">
        <v>150</v>
      </c>
      <c r="H889" t="str">
        <f t="shared" si="13"/>
        <v>AD LITEM FEE</v>
      </c>
    </row>
    <row r="890" spans="1:8" x14ac:dyDescent="0.25">
      <c r="E890" t="str">
        <f>"12959"</f>
        <v>12959</v>
      </c>
      <c r="F890" t="str">
        <f t="shared" si="12"/>
        <v>AD LITEM FEE</v>
      </c>
      <c r="G890" s="2">
        <v>150</v>
      </c>
      <c r="H890" t="str">
        <f t="shared" si="13"/>
        <v>AD LITEM FEE</v>
      </c>
    </row>
    <row r="891" spans="1:8" x14ac:dyDescent="0.25">
      <c r="E891" t="str">
        <f>"12983"</f>
        <v>12983</v>
      </c>
      <c r="F891" t="str">
        <f t="shared" si="12"/>
        <v>AD LITEM FEE</v>
      </c>
      <c r="G891" s="2">
        <v>150</v>
      </c>
      <c r="H891" t="str">
        <f t="shared" si="13"/>
        <v>AD LITEM FEE</v>
      </c>
    </row>
    <row r="892" spans="1:8" x14ac:dyDescent="0.25">
      <c r="E892" t="str">
        <f>"12986"</f>
        <v>12986</v>
      </c>
      <c r="F892" t="str">
        <f t="shared" si="12"/>
        <v>AD LITEM FEE</v>
      </c>
      <c r="G892" s="2">
        <v>150</v>
      </c>
      <c r="H892" t="str">
        <f t="shared" si="13"/>
        <v>AD LITEM FEE</v>
      </c>
    </row>
    <row r="893" spans="1:8" x14ac:dyDescent="0.25">
      <c r="E893" t="str">
        <f>"13006"</f>
        <v>13006</v>
      </c>
      <c r="F893" t="str">
        <f t="shared" si="12"/>
        <v>AD LITEM FEE</v>
      </c>
      <c r="G893" s="2">
        <v>150</v>
      </c>
      <c r="H893" t="str">
        <f t="shared" si="13"/>
        <v>AD LITEM FEE</v>
      </c>
    </row>
    <row r="894" spans="1:8" x14ac:dyDescent="0.25">
      <c r="E894" t="str">
        <f>"13009"</f>
        <v>13009</v>
      </c>
      <c r="F894" t="str">
        <f t="shared" si="12"/>
        <v>AD LITEM FEE</v>
      </c>
      <c r="G894" s="2">
        <v>150</v>
      </c>
      <c r="H894" t="str">
        <f t="shared" si="13"/>
        <v>AD LITEM FEE</v>
      </c>
    </row>
    <row r="895" spans="1:8" x14ac:dyDescent="0.25">
      <c r="E895" t="str">
        <f>"13018"</f>
        <v>13018</v>
      </c>
      <c r="F895" t="str">
        <f t="shared" si="12"/>
        <v>AD LITEM FEE</v>
      </c>
      <c r="G895" s="2">
        <v>150</v>
      </c>
      <c r="H895" t="str">
        <f t="shared" si="13"/>
        <v>AD LITEM FEE</v>
      </c>
    </row>
    <row r="896" spans="1:8" x14ac:dyDescent="0.25">
      <c r="E896" t="str">
        <f>"201907310708"</f>
        <v>201907310708</v>
      </c>
      <c r="F896" t="str">
        <f>"DETENTION HEARING"</f>
        <v>DETENTION HEARING</v>
      </c>
      <c r="G896" s="2">
        <v>100</v>
      </c>
      <c r="H896" t="str">
        <f>"DETENTION HEARING"</f>
        <v>DETENTION HEARING</v>
      </c>
    </row>
    <row r="897" spans="1:8" x14ac:dyDescent="0.25">
      <c r="E897" t="str">
        <f>"201907310709"</f>
        <v>201907310709</v>
      </c>
      <c r="F897" t="str">
        <f>"19-19740"</f>
        <v>19-19740</v>
      </c>
      <c r="G897" s="2">
        <v>100</v>
      </c>
      <c r="H897" t="str">
        <f>"19-19740"</f>
        <v>19-19740</v>
      </c>
    </row>
    <row r="898" spans="1:8" x14ac:dyDescent="0.25">
      <c r="E898" t="str">
        <f>"201907310710"</f>
        <v>201907310710</v>
      </c>
      <c r="F898" t="str">
        <f>"18-19011"</f>
        <v>18-19011</v>
      </c>
      <c r="G898" s="2">
        <v>100</v>
      </c>
      <c r="H898" t="str">
        <f>"18-19011"</f>
        <v>18-19011</v>
      </c>
    </row>
    <row r="899" spans="1:8" x14ac:dyDescent="0.25">
      <c r="E899" t="str">
        <f>"201907310724"</f>
        <v>201907310724</v>
      </c>
      <c r="F899" t="str">
        <f>"56 342"</f>
        <v>56 342</v>
      </c>
      <c r="G899" s="2">
        <v>250</v>
      </c>
      <c r="H899" t="str">
        <f>"56 342"</f>
        <v>56 342</v>
      </c>
    </row>
    <row r="900" spans="1:8" x14ac:dyDescent="0.25">
      <c r="E900" t="str">
        <f>"201908060977"</f>
        <v>201908060977</v>
      </c>
      <c r="F900" t="str">
        <f>"18-19156"</f>
        <v>18-19156</v>
      </c>
      <c r="G900" s="2">
        <v>100</v>
      </c>
      <c r="H900" t="str">
        <f>"18-19156"</f>
        <v>18-19156</v>
      </c>
    </row>
    <row r="901" spans="1:8" x14ac:dyDescent="0.25">
      <c r="E901" t="str">
        <f>"201908071000"</f>
        <v>201908071000</v>
      </c>
      <c r="F901" t="str">
        <f>"305242019A/925*353*0952*14001"</f>
        <v>305242019A/925*353*0952*14001</v>
      </c>
      <c r="G901" s="2">
        <v>250</v>
      </c>
      <c r="H901" t="str">
        <f>"305242019A/925*353*0952*14001"</f>
        <v>305242019A/925*353*0952*14001</v>
      </c>
    </row>
    <row r="902" spans="1:8" x14ac:dyDescent="0.25">
      <c r="E902" t="str">
        <f>"201908071003"</f>
        <v>201908071003</v>
      </c>
      <c r="F902" t="str">
        <f>"C020190406A/925-3582-5975 190A"</f>
        <v>C020190406A/925-3582-5975 190A</v>
      </c>
      <c r="G902" s="2">
        <v>250</v>
      </c>
      <c r="H902" t="str">
        <f>"C020190406A/925-3582-5975 190A"</f>
        <v>C020190406A/925-3582-5975 190A</v>
      </c>
    </row>
    <row r="903" spans="1:8" x14ac:dyDescent="0.25">
      <c r="A903" t="s">
        <v>203</v>
      </c>
      <c r="B903">
        <v>1287</v>
      </c>
      <c r="C903" s="2">
        <v>925</v>
      </c>
      <c r="D903" s="1">
        <v>43704</v>
      </c>
      <c r="E903" t="str">
        <f>"13030"</f>
        <v>13030</v>
      </c>
      <c r="F903" t="str">
        <f>"AD LITEM"</f>
        <v>AD LITEM</v>
      </c>
      <c r="G903" s="2">
        <v>150</v>
      </c>
      <c r="H903" t="str">
        <f>"AD LITEM"</f>
        <v>AD LITEM</v>
      </c>
    </row>
    <row r="904" spans="1:8" x14ac:dyDescent="0.25">
      <c r="E904" t="str">
        <f>"13104"</f>
        <v>13104</v>
      </c>
      <c r="F904" t="str">
        <f>"AD LITEM"</f>
        <v>AD LITEM</v>
      </c>
      <c r="G904" s="2">
        <v>150</v>
      </c>
      <c r="H904" t="str">
        <f>"AD LITEM"</f>
        <v>AD LITEM</v>
      </c>
    </row>
    <row r="905" spans="1:8" x14ac:dyDescent="0.25">
      <c r="E905" t="str">
        <f>"201908201143"</f>
        <v>201908201143</v>
      </c>
      <c r="F905" t="str">
        <f>"56 883"</f>
        <v>56 883</v>
      </c>
      <c r="G905" s="2">
        <v>375</v>
      </c>
      <c r="H905" t="str">
        <f>"56 883"</f>
        <v>56 883</v>
      </c>
    </row>
    <row r="906" spans="1:8" x14ac:dyDescent="0.25">
      <c r="E906" t="str">
        <f>"201908201148"</f>
        <v>201908201148</v>
      </c>
      <c r="F906" t="str">
        <f>"02.06124 925-353-2963 19001 19"</f>
        <v>02.06124 925-353-2963 19001 19</v>
      </c>
      <c r="G906" s="2">
        <v>250</v>
      </c>
      <c r="H906" t="str">
        <f>"02.06124 925-353-2963 19001 19"</f>
        <v>02.06124 925-353-2963 19001 19</v>
      </c>
    </row>
    <row r="907" spans="1:8" x14ac:dyDescent="0.25">
      <c r="A907" t="s">
        <v>204</v>
      </c>
      <c r="B907">
        <v>83380</v>
      </c>
      <c r="C907" s="2">
        <v>685.62</v>
      </c>
      <c r="D907" s="1">
        <v>43689</v>
      </c>
      <c r="E907" t="str">
        <f>"1145"</f>
        <v>1145</v>
      </c>
      <c r="F907" t="str">
        <f>"INV 1145 / UNIT 7314"</f>
        <v>INV 1145 / UNIT 7314</v>
      </c>
      <c r="G907" s="2">
        <v>685.62</v>
      </c>
      <c r="H907" t="str">
        <f>"INV 1145"</f>
        <v>INV 1145</v>
      </c>
    </row>
    <row r="908" spans="1:8" x14ac:dyDescent="0.25">
      <c r="A908" t="s">
        <v>204</v>
      </c>
      <c r="B908">
        <v>83587</v>
      </c>
      <c r="C908" s="2">
        <v>1365</v>
      </c>
      <c r="D908" s="1">
        <v>43703</v>
      </c>
      <c r="E908" t="str">
        <f>"1140"</f>
        <v>1140</v>
      </c>
      <c r="F908" t="str">
        <f>"INV 1140 / UNIT 0127"</f>
        <v>INV 1140 / UNIT 0127</v>
      </c>
      <c r="G908" s="2">
        <v>215</v>
      </c>
      <c r="H908" t="str">
        <f>"INV 1140 / UNIT 0127"</f>
        <v>INV 1140 / UNIT 0127</v>
      </c>
    </row>
    <row r="909" spans="1:8" x14ac:dyDescent="0.25">
      <c r="E909" t="str">
        <f>"1141"</f>
        <v>1141</v>
      </c>
      <c r="F909" t="str">
        <f>"INV 1141 / UNIT 6736"</f>
        <v>INV 1141 / UNIT 6736</v>
      </c>
      <c r="G909" s="2">
        <v>225</v>
      </c>
      <c r="H909" t="str">
        <f>"INV 1141 / UNIT 6736"</f>
        <v>INV 1141 / UNIT 6736</v>
      </c>
    </row>
    <row r="910" spans="1:8" x14ac:dyDescent="0.25">
      <c r="E910" t="str">
        <f>"1153"</f>
        <v>1153</v>
      </c>
      <c r="F910" t="str">
        <f>"INV 1153 / UNIT 5273"</f>
        <v>INV 1153 / UNIT 5273</v>
      </c>
      <c r="G910" s="2">
        <v>625</v>
      </c>
      <c r="H910" t="str">
        <f>"INV 1153 / UNIT 5273"</f>
        <v>INV 1153 / UNIT 5273</v>
      </c>
    </row>
    <row r="911" spans="1:8" x14ac:dyDescent="0.25">
      <c r="E911" t="str">
        <f>"1156"</f>
        <v>1156</v>
      </c>
      <c r="F911" t="str">
        <f>"INV 1156 / UNIT 8944"</f>
        <v>INV 1156 / UNIT 8944</v>
      </c>
      <c r="G911" s="2">
        <v>300</v>
      </c>
      <c r="H911" t="str">
        <f>"INV 1156 / UNIT 8944"</f>
        <v>INV 1156 / UNIT 8944</v>
      </c>
    </row>
    <row r="912" spans="1:8" x14ac:dyDescent="0.25">
      <c r="A912" t="s">
        <v>205</v>
      </c>
      <c r="B912">
        <v>83381</v>
      </c>
      <c r="C912" s="2">
        <v>1474.36</v>
      </c>
      <c r="D912" s="1">
        <v>43689</v>
      </c>
      <c r="E912" t="str">
        <f>"201908060925"</f>
        <v>201908060925</v>
      </c>
      <c r="F912" t="str">
        <f>"ACCT#8850283308/PCT#4"</f>
        <v>ACCT#8850283308/PCT#4</v>
      </c>
      <c r="G912" s="2">
        <v>1461.29</v>
      </c>
      <c r="H912" t="str">
        <f>"ACCT#8850283308/PCT#4"</f>
        <v>ACCT#8850283308/PCT#4</v>
      </c>
    </row>
    <row r="913" spans="1:8" x14ac:dyDescent="0.25">
      <c r="E913" t="str">
        <f>"P89335"</f>
        <v>P89335</v>
      </c>
      <c r="F913" t="str">
        <f>"ACCT#8850283308/PCT#3"</f>
        <v>ACCT#8850283308/PCT#3</v>
      </c>
      <c r="G913" s="2">
        <v>13.07</v>
      </c>
      <c r="H913" t="str">
        <f>"ACCT#8850283308/PCT#3"</f>
        <v>ACCT#8850283308/PCT#3</v>
      </c>
    </row>
    <row r="914" spans="1:8" x14ac:dyDescent="0.25">
      <c r="A914" t="s">
        <v>206</v>
      </c>
      <c r="B914">
        <v>83382</v>
      </c>
      <c r="C914" s="2">
        <v>5925</v>
      </c>
      <c r="D914" s="1">
        <v>43689</v>
      </c>
      <c r="E914" t="str">
        <f>"201907240658"</f>
        <v>201907240658</v>
      </c>
      <c r="F914" t="str">
        <f>"16-584 PSYC EVALUATION"</f>
        <v>16-584 PSYC EVALUATION</v>
      </c>
      <c r="G914" s="2">
        <v>5925</v>
      </c>
      <c r="H914" t="str">
        <f>"16-584 PSYC EVALUATION"</f>
        <v>16-584 PSYC EVALUATION</v>
      </c>
    </row>
    <row r="915" spans="1:8" x14ac:dyDescent="0.25">
      <c r="A915" t="s">
        <v>207</v>
      </c>
      <c r="B915">
        <v>83383</v>
      </c>
      <c r="C915" s="2">
        <v>612.5</v>
      </c>
      <c r="D915" s="1">
        <v>43689</v>
      </c>
      <c r="E915" t="str">
        <f>"201908060980"</f>
        <v>201908060980</v>
      </c>
      <c r="F915" t="str">
        <f>"19-19632"</f>
        <v>19-19632</v>
      </c>
      <c r="G915" s="2">
        <v>112.5</v>
      </c>
      <c r="H915" t="str">
        <f>"19-19632"</f>
        <v>19-19632</v>
      </c>
    </row>
    <row r="916" spans="1:8" x14ac:dyDescent="0.25">
      <c r="E916" t="str">
        <f>"201908060981"</f>
        <v>201908060981</v>
      </c>
      <c r="F916" t="str">
        <f>"19-19537"</f>
        <v>19-19537</v>
      </c>
      <c r="G916" s="2">
        <v>150</v>
      </c>
      <c r="H916" t="str">
        <f>"19-19537"</f>
        <v>19-19537</v>
      </c>
    </row>
    <row r="917" spans="1:8" x14ac:dyDescent="0.25">
      <c r="E917" t="str">
        <f>"201908060982"</f>
        <v>201908060982</v>
      </c>
      <c r="F917" t="str">
        <f>"19-19741"</f>
        <v>19-19741</v>
      </c>
      <c r="G917" s="2">
        <v>350</v>
      </c>
      <c r="H917" t="str">
        <f>"19-19741"</f>
        <v>19-19741</v>
      </c>
    </row>
    <row r="918" spans="1:8" x14ac:dyDescent="0.25">
      <c r="A918" t="s">
        <v>207</v>
      </c>
      <c r="B918">
        <v>83588</v>
      </c>
      <c r="C918" s="2">
        <v>900</v>
      </c>
      <c r="D918" s="1">
        <v>43703</v>
      </c>
      <c r="E918" t="str">
        <f>"201908201156"</f>
        <v>201908201156</v>
      </c>
      <c r="F918" t="str">
        <f>"BC20190612A"</f>
        <v>BC20190612A</v>
      </c>
      <c r="G918" s="2">
        <v>250</v>
      </c>
      <c r="H918" t="str">
        <f>"BC20190612A"</f>
        <v>BC20190612A</v>
      </c>
    </row>
    <row r="919" spans="1:8" x14ac:dyDescent="0.25">
      <c r="E919" t="str">
        <f>"201908201190"</f>
        <v>201908201190</v>
      </c>
      <c r="F919" t="str">
        <f>"19-19741"</f>
        <v>19-19741</v>
      </c>
      <c r="G919" s="2">
        <v>150</v>
      </c>
      <c r="H919" t="str">
        <f>"19-19741"</f>
        <v>19-19741</v>
      </c>
    </row>
    <row r="920" spans="1:8" x14ac:dyDescent="0.25">
      <c r="E920" t="str">
        <f>"201908201191"</f>
        <v>201908201191</v>
      </c>
      <c r="F920" t="str">
        <f>"19-19741"</f>
        <v>19-19741</v>
      </c>
      <c r="G920" s="2">
        <v>350</v>
      </c>
      <c r="H920" t="str">
        <f>"19-19741"</f>
        <v>19-19741</v>
      </c>
    </row>
    <row r="921" spans="1:8" x14ac:dyDescent="0.25">
      <c r="E921" t="str">
        <f>"201908201192"</f>
        <v>201908201192</v>
      </c>
      <c r="F921" t="str">
        <f>"19-19537"</f>
        <v>19-19537</v>
      </c>
      <c r="G921" s="2">
        <v>150</v>
      </c>
      <c r="H921" t="str">
        <f>"19-19537"</f>
        <v>19-19537</v>
      </c>
    </row>
    <row r="922" spans="1:8" x14ac:dyDescent="0.25">
      <c r="A922" t="s">
        <v>208</v>
      </c>
      <c r="B922">
        <v>1208</v>
      </c>
      <c r="C922" s="2">
        <v>1350</v>
      </c>
      <c r="D922" s="1">
        <v>43690</v>
      </c>
      <c r="E922" t="str">
        <f>"201907230639"</f>
        <v>201907230639</v>
      </c>
      <c r="F922" t="str">
        <f>"423-6658"</f>
        <v>423-6658</v>
      </c>
      <c r="G922" s="2">
        <v>100</v>
      </c>
      <c r="H922" t="str">
        <f>"423-6658"</f>
        <v>423-6658</v>
      </c>
    </row>
    <row r="923" spans="1:8" x14ac:dyDescent="0.25">
      <c r="E923" t="str">
        <f>"201907230640"</f>
        <v>201907230640</v>
      </c>
      <c r="F923" t="str">
        <f>"1212-21  DCPS-19-051"</f>
        <v>1212-21  DCPS-19-051</v>
      </c>
      <c r="G923" s="2">
        <v>200</v>
      </c>
      <c r="H923" t="str">
        <f>"1212-21  DCPS-19-051"</f>
        <v>1212-21  DCPS-19-051</v>
      </c>
    </row>
    <row r="924" spans="1:8" x14ac:dyDescent="0.25">
      <c r="E924" t="str">
        <f>"201907290697"</f>
        <v>201907290697</v>
      </c>
      <c r="F924" t="str">
        <f>"1218-21"</f>
        <v>1218-21</v>
      </c>
      <c r="G924" s="2">
        <v>100</v>
      </c>
      <c r="H924" t="str">
        <f>"1218-21"</f>
        <v>1218-21</v>
      </c>
    </row>
    <row r="925" spans="1:8" x14ac:dyDescent="0.25">
      <c r="E925" t="str">
        <f>"201908010776"</f>
        <v>201908010776</v>
      </c>
      <c r="F925" t="str">
        <f>"1222-335"</f>
        <v>1222-335</v>
      </c>
      <c r="G925" s="2">
        <v>100</v>
      </c>
      <c r="H925" t="str">
        <f>"1222-335"</f>
        <v>1222-335</v>
      </c>
    </row>
    <row r="926" spans="1:8" x14ac:dyDescent="0.25">
      <c r="E926" t="str">
        <f>"201908010799"</f>
        <v>201908010799</v>
      </c>
      <c r="F926" t="str">
        <f>"DCPC-19-058"</f>
        <v>DCPC-19-058</v>
      </c>
      <c r="G926" s="2">
        <v>100</v>
      </c>
      <c r="H926" t="str">
        <f>"DCPC-19-058"</f>
        <v>DCPC-19-058</v>
      </c>
    </row>
    <row r="927" spans="1:8" x14ac:dyDescent="0.25">
      <c r="E927" t="str">
        <f>"201908071001"</f>
        <v>201908071001</v>
      </c>
      <c r="F927" t="str">
        <f>"31172018C"</f>
        <v>31172018C</v>
      </c>
      <c r="G927" s="2">
        <v>250</v>
      </c>
      <c r="H927" t="str">
        <f>"31172018C"</f>
        <v>31172018C</v>
      </c>
    </row>
    <row r="928" spans="1:8" x14ac:dyDescent="0.25">
      <c r="E928" t="str">
        <f>"201908071007"</f>
        <v>201908071007</v>
      </c>
      <c r="F928" t="str">
        <f>"56507"</f>
        <v>56507</v>
      </c>
      <c r="G928" s="2">
        <v>250</v>
      </c>
      <c r="H928" t="str">
        <f>"56507"</f>
        <v>56507</v>
      </c>
    </row>
    <row r="929" spans="1:8" x14ac:dyDescent="0.25">
      <c r="E929" t="str">
        <f>"201908071008"</f>
        <v>201908071008</v>
      </c>
      <c r="F929" t="str">
        <f>"56335"</f>
        <v>56335</v>
      </c>
      <c r="G929" s="2">
        <v>250</v>
      </c>
      <c r="H929" t="str">
        <f>"56335"</f>
        <v>56335</v>
      </c>
    </row>
    <row r="930" spans="1:8" x14ac:dyDescent="0.25">
      <c r="A930" t="s">
        <v>208</v>
      </c>
      <c r="B930">
        <v>1277</v>
      </c>
      <c r="C930" s="2">
        <v>1100</v>
      </c>
      <c r="D930" s="1">
        <v>43704</v>
      </c>
      <c r="E930" t="str">
        <f>"201908141067"</f>
        <v>201908141067</v>
      </c>
      <c r="F930" t="str">
        <f>"BC-20190328A"</f>
        <v>BC-20190328A</v>
      </c>
      <c r="G930" s="2">
        <v>150</v>
      </c>
      <c r="H930" t="str">
        <f>"BC-20190328A"</f>
        <v>BC-20190328A</v>
      </c>
    </row>
    <row r="931" spans="1:8" x14ac:dyDescent="0.25">
      <c r="E931" t="str">
        <f>"201908201137"</f>
        <v>201908201137</v>
      </c>
      <c r="F931" t="str">
        <f>"405319-3"</f>
        <v>405319-3</v>
      </c>
      <c r="G931" s="2">
        <v>250</v>
      </c>
      <c r="H931" t="str">
        <f>"405319-3"</f>
        <v>405319-3</v>
      </c>
    </row>
    <row r="932" spans="1:8" x14ac:dyDescent="0.25">
      <c r="E932" t="str">
        <f>"201908201138"</f>
        <v>201908201138</v>
      </c>
      <c r="F932" t="str">
        <f>"56902"</f>
        <v>56902</v>
      </c>
      <c r="G932" s="2">
        <v>250</v>
      </c>
      <c r="H932" t="str">
        <f>"56902"</f>
        <v>56902</v>
      </c>
    </row>
    <row r="933" spans="1:8" x14ac:dyDescent="0.25">
      <c r="E933" t="str">
        <f>"201908201139"</f>
        <v>201908201139</v>
      </c>
      <c r="F933" t="str">
        <f>"55881"</f>
        <v>55881</v>
      </c>
      <c r="G933" s="2">
        <v>250</v>
      </c>
      <c r="H933" t="str">
        <f>"55881"</f>
        <v>55881</v>
      </c>
    </row>
    <row r="934" spans="1:8" x14ac:dyDescent="0.25">
      <c r="E934" t="str">
        <f>"201908201213"</f>
        <v>201908201213</v>
      </c>
      <c r="F934" t="str">
        <f>"19-19789  19-19790"</f>
        <v>19-19789  19-19790</v>
      </c>
      <c r="G934" s="2">
        <v>200</v>
      </c>
      <c r="H934" t="str">
        <f>"19-19789  19-19790"</f>
        <v>19-19789  19-19790</v>
      </c>
    </row>
    <row r="935" spans="1:8" x14ac:dyDescent="0.25">
      <c r="A935" t="s">
        <v>209</v>
      </c>
      <c r="B935">
        <v>1258</v>
      </c>
      <c r="C935" s="2">
        <v>906</v>
      </c>
      <c r="D935" s="1">
        <v>43704</v>
      </c>
      <c r="E935" t="str">
        <f>"R1905-22"</f>
        <v>R1905-22</v>
      </c>
      <c r="F935" t="str">
        <f>"INV R1905-22"</f>
        <v>INV R1905-22</v>
      </c>
      <c r="G935" s="2">
        <v>906</v>
      </c>
      <c r="H935" t="str">
        <f>"INV R1905-22"</f>
        <v>INV R1905-22</v>
      </c>
    </row>
    <row r="936" spans="1:8" x14ac:dyDescent="0.25">
      <c r="A936" t="s">
        <v>210</v>
      </c>
      <c r="B936">
        <v>83384</v>
      </c>
      <c r="C936" s="2">
        <v>4946.6400000000003</v>
      </c>
      <c r="D936" s="1">
        <v>43689</v>
      </c>
      <c r="E936" t="str">
        <f>"201907230636"</f>
        <v>201907230636</v>
      </c>
      <c r="F936" t="str">
        <f>"18-19013"</f>
        <v>18-19013</v>
      </c>
      <c r="G936" s="2">
        <v>313.99</v>
      </c>
      <c r="H936" t="str">
        <f>"18-19013"</f>
        <v>18-19013</v>
      </c>
    </row>
    <row r="937" spans="1:8" x14ac:dyDescent="0.25">
      <c r="E937" t="str">
        <f>"201907230637"</f>
        <v>201907230637</v>
      </c>
      <c r="F937" t="str">
        <f>"423-5815"</f>
        <v>423-5815</v>
      </c>
      <c r="G937" s="2">
        <v>352.5</v>
      </c>
      <c r="H937" t="str">
        <f>"423-5815"</f>
        <v>423-5815</v>
      </c>
    </row>
    <row r="938" spans="1:8" x14ac:dyDescent="0.25">
      <c r="E938" t="str">
        <f>"201907230638"</f>
        <v>201907230638</v>
      </c>
      <c r="F938" t="str">
        <f>"423-2327"</f>
        <v>423-2327</v>
      </c>
      <c r="G938" s="2">
        <v>1200.3499999999999</v>
      </c>
      <c r="H938" t="str">
        <f>"423-2327"</f>
        <v>423-2327</v>
      </c>
    </row>
    <row r="939" spans="1:8" x14ac:dyDescent="0.25">
      <c r="E939" t="str">
        <f>"201907310748"</f>
        <v>201907310748</v>
      </c>
      <c r="F939" t="str">
        <f>"18-19156"</f>
        <v>18-19156</v>
      </c>
      <c r="G939" s="2">
        <v>1785.5</v>
      </c>
      <c r="H939" t="str">
        <f>"18-19156"</f>
        <v>18-19156</v>
      </c>
    </row>
    <row r="940" spans="1:8" x14ac:dyDescent="0.25">
      <c r="E940" t="str">
        <f>"201907310749"</f>
        <v>201907310749</v>
      </c>
      <c r="F940" t="str">
        <f>"19-19739"</f>
        <v>19-19739</v>
      </c>
      <c r="G940" s="2">
        <v>411.85</v>
      </c>
      <c r="H940" t="str">
        <f>"19-19739"</f>
        <v>19-19739</v>
      </c>
    </row>
    <row r="941" spans="1:8" x14ac:dyDescent="0.25">
      <c r="E941" t="str">
        <f>"201907310750"</f>
        <v>201907310750</v>
      </c>
      <c r="F941" t="str">
        <f>"18-19237"</f>
        <v>18-19237</v>
      </c>
      <c r="G941" s="2">
        <v>292.5</v>
      </c>
      <c r="H941" t="str">
        <f>"18-19237"</f>
        <v>18-19237</v>
      </c>
    </row>
    <row r="942" spans="1:8" x14ac:dyDescent="0.25">
      <c r="E942" t="str">
        <f>"201907310751"</f>
        <v>201907310751</v>
      </c>
      <c r="F942" t="str">
        <f>"18-19299"</f>
        <v>18-19299</v>
      </c>
      <c r="G942" s="2">
        <v>337.5</v>
      </c>
      <c r="H942" t="str">
        <f>"18-19299"</f>
        <v>18-19299</v>
      </c>
    </row>
    <row r="943" spans="1:8" x14ac:dyDescent="0.25">
      <c r="E943" t="str">
        <f>"201907310752"</f>
        <v>201907310752</v>
      </c>
      <c r="F943" t="str">
        <f>"18-19240"</f>
        <v>18-19240</v>
      </c>
      <c r="G943" s="2">
        <v>252.45</v>
      </c>
      <c r="H943" t="str">
        <f>"18-19240"</f>
        <v>18-19240</v>
      </c>
    </row>
    <row r="944" spans="1:8" x14ac:dyDescent="0.25">
      <c r="A944" t="s">
        <v>211</v>
      </c>
      <c r="B944">
        <v>83385</v>
      </c>
      <c r="C944" s="2">
        <v>153</v>
      </c>
      <c r="D944" s="1">
        <v>43689</v>
      </c>
      <c r="E944" t="str">
        <f>"201908060963"</f>
        <v>201908060963</v>
      </c>
      <c r="F944" t="str">
        <f>"STATE BAR DUES REIMBURSEMENT"</f>
        <v>STATE BAR DUES REIMBURSEMENT</v>
      </c>
      <c r="G944" s="2">
        <v>153</v>
      </c>
      <c r="H944" t="str">
        <f>"STATE BAR DUES REIMBURSEMENT"</f>
        <v>STATE BAR DUES REIMBURSEMENT</v>
      </c>
    </row>
    <row r="945" spans="1:8" x14ac:dyDescent="0.25">
      <c r="A945" t="s">
        <v>212</v>
      </c>
      <c r="B945">
        <v>83386</v>
      </c>
      <c r="C945" s="2">
        <v>23062.5</v>
      </c>
      <c r="D945" s="1">
        <v>43689</v>
      </c>
      <c r="E945" t="str">
        <f>"201907230641"</f>
        <v>201907230641</v>
      </c>
      <c r="F945" t="str">
        <f>"15-914"</f>
        <v>15-914</v>
      </c>
      <c r="G945" s="2">
        <v>23062.5</v>
      </c>
      <c r="H945" t="str">
        <f>"15-914"</f>
        <v>15-914</v>
      </c>
    </row>
    <row r="946" spans="1:8" x14ac:dyDescent="0.25">
      <c r="A946" t="s">
        <v>213</v>
      </c>
      <c r="B946">
        <v>83387</v>
      </c>
      <c r="C946" s="2">
        <v>40</v>
      </c>
      <c r="D946" s="1">
        <v>43689</v>
      </c>
      <c r="E946" t="str">
        <f>"201908060917"</f>
        <v>201908060917</v>
      </c>
      <c r="F946" t="str">
        <f>"CONF REGISTRATION-TRAINING"</f>
        <v>CONF REGISTRATION-TRAINING</v>
      </c>
      <c r="G946" s="2">
        <v>40</v>
      </c>
      <c r="H946" t="str">
        <f>"CONF REGISTRATION-TRAINING"</f>
        <v>CONF REGISTRATION-TRAINING</v>
      </c>
    </row>
    <row r="947" spans="1:8" x14ac:dyDescent="0.25">
      <c r="A947" t="s">
        <v>214</v>
      </c>
      <c r="B947">
        <v>83388</v>
      </c>
      <c r="C947" s="2">
        <v>405</v>
      </c>
      <c r="D947" s="1">
        <v>43689</v>
      </c>
      <c r="E947" t="str">
        <f>"924804"</f>
        <v>924804</v>
      </c>
      <c r="F947" t="str">
        <f>"MOWING/TRASH SVC/PCT#1"</f>
        <v>MOWING/TRASH SVC/PCT#1</v>
      </c>
      <c r="G947" s="2">
        <v>405</v>
      </c>
      <c r="H947" t="str">
        <f>"MOWING/TRASH SVC/PCT#1"</f>
        <v>MOWING/TRASH SVC/PCT#1</v>
      </c>
    </row>
    <row r="948" spans="1:8" x14ac:dyDescent="0.25">
      <c r="A948" t="s">
        <v>215</v>
      </c>
      <c r="B948">
        <v>1196</v>
      </c>
      <c r="C948" s="2">
        <v>2617</v>
      </c>
      <c r="D948" s="1">
        <v>43690</v>
      </c>
      <c r="E948" t="str">
        <f>"215"</f>
        <v>215</v>
      </c>
      <c r="F948" t="str">
        <f>"TOWER RENT-AUGUST"</f>
        <v>TOWER RENT-AUGUST</v>
      </c>
      <c r="G948" s="2">
        <v>2617</v>
      </c>
      <c r="H948" t="str">
        <f>"TOWER RENT-AUGUST"</f>
        <v>TOWER RENT-AUGUST</v>
      </c>
    </row>
    <row r="949" spans="1:8" x14ac:dyDescent="0.25">
      <c r="A949" t="s">
        <v>216</v>
      </c>
      <c r="B949">
        <v>83589</v>
      </c>
      <c r="C949" s="2">
        <v>5913.75</v>
      </c>
      <c r="D949" s="1">
        <v>43703</v>
      </c>
      <c r="E949" t="str">
        <f>"2019-070"</f>
        <v>2019-070</v>
      </c>
      <c r="F949" t="str">
        <f>"CASE #15-914 / CAPITAL MURDER"</f>
        <v>CASE #15-914 / CAPITAL MURDER</v>
      </c>
      <c r="G949" s="2">
        <v>5913.75</v>
      </c>
      <c r="H949" t="str">
        <f>"CASE #15-914 / CAPITAL MURDER"</f>
        <v>CASE #15-914 / CAPITAL MURDER</v>
      </c>
    </row>
    <row r="950" spans="1:8" x14ac:dyDescent="0.25">
      <c r="A950" t="s">
        <v>217</v>
      </c>
      <c r="B950">
        <v>83389</v>
      </c>
      <c r="C950" s="2">
        <v>240</v>
      </c>
      <c r="D950" s="1">
        <v>43689</v>
      </c>
      <c r="E950" t="str">
        <f>"1565"</f>
        <v>1565</v>
      </c>
      <c r="F950" t="str">
        <f>"PORTABLE TOILET/HANDICAP"</f>
        <v>PORTABLE TOILET/HANDICAP</v>
      </c>
      <c r="G950" s="2">
        <v>240</v>
      </c>
      <c r="H950" t="str">
        <f>"PORTABLE TOILET/HANDICAP"</f>
        <v>PORTABLE TOILET/HANDICAP</v>
      </c>
    </row>
    <row r="951" spans="1:8" x14ac:dyDescent="0.25">
      <c r="A951" t="s">
        <v>218</v>
      </c>
      <c r="B951">
        <v>83390</v>
      </c>
      <c r="C951" s="2">
        <v>2055.73</v>
      </c>
      <c r="D951" s="1">
        <v>43689</v>
      </c>
      <c r="E951" t="str">
        <f>"WO96062"</f>
        <v>WO96062</v>
      </c>
      <c r="F951" t="str">
        <f>"ACCT#BASCO1"</f>
        <v>ACCT#BASCO1</v>
      </c>
      <c r="G951" s="2">
        <v>2055.73</v>
      </c>
      <c r="H951" t="str">
        <f>"ACCT#BASCO1"</f>
        <v>ACCT#BASCO1</v>
      </c>
    </row>
    <row r="952" spans="1:8" x14ac:dyDescent="0.25">
      <c r="A952" t="s">
        <v>219</v>
      </c>
      <c r="B952">
        <v>1241</v>
      </c>
      <c r="C952" s="2">
        <v>705</v>
      </c>
      <c r="D952" s="1">
        <v>43704</v>
      </c>
      <c r="E952" t="str">
        <f>"270712"</f>
        <v>270712</v>
      </c>
      <c r="F952" t="str">
        <f>"TADS FIRE EXT/GEN SVCS"</f>
        <v>TADS FIRE EXT/GEN SVCS</v>
      </c>
      <c r="G952" s="2">
        <v>390</v>
      </c>
      <c r="H952" t="str">
        <f>"TADS FIRE EXT/GEN SVCS"</f>
        <v>TADS FIRE EXT/GEN SVCS</v>
      </c>
    </row>
    <row r="953" spans="1:8" x14ac:dyDescent="0.25">
      <c r="E953" t="str">
        <f>"271359"</f>
        <v>271359</v>
      </c>
      <c r="F953" t="str">
        <f>"INVESTIGATE GROUND FAULT"</f>
        <v>INVESTIGATE GROUND FAULT</v>
      </c>
      <c r="G953" s="2">
        <v>315</v>
      </c>
      <c r="H953" t="str">
        <f>"INVESTIGATE GROUND FAULT"</f>
        <v>INVESTIGATE GROUND FAULT</v>
      </c>
    </row>
    <row r="954" spans="1:8" x14ac:dyDescent="0.25">
      <c r="A954" t="s">
        <v>220</v>
      </c>
      <c r="B954">
        <v>1257</v>
      </c>
      <c r="C954" s="2">
        <v>5127</v>
      </c>
      <c r="D954" s="1">
        <v>43704</v>
      </c>
      <c r="E954" t="str">
        <f>"229139"</f>
        <v>229139</v>
      </c>
      <c r="F954" t="str">
        <f>"Records Digitazation"</f>
        <v>Records Digitazation</v>
      </c>
      <c r="G954" s="2">
        <v>5127</v>
      </c>
      <c r="H954" t="str">
        <f>"Volume 1"</f>
        <v>Volume 1</v>
      </c>
    </row>
    <row r="955" spans="1:8" x14ac:dyDescent="0.25">
      <c r="E955" t="str">
        <f>""</f>
        <v/>
      </c>
      <c r="F955" t="str">
        <f>""</f>
        <v/>
      </c>
      <c r="H955" t="str">
        <f>"Volume 2"</f>
        <v>Volume 2</v>
      </c>
    </row>
    <row r="956" spans="1:8" x14ac:dyDescent="0.25">
      <c r="E956" t="str">
        <f>""</f>
        <v/>
      </c>
      <c r="F956" t="str">
        <f>""</f>
        <v/>
      </c>
      <c r="H956" t="str">
        <f>"Volume 3"</f>
        <v>Volume 3</v>
      </c>
    </row>
    <row r="957" spans="1:8" x14ac:dyDescent="0.25">
      <c r="A957" t="s">
        <v>221</v>
      </c>
      <c r="B957">
        <v>83590</v>
      </c>
      <c r="C957" s="2">
        <v>183.48</v>
      </c>
      <c r="D957" s="1">
        <v>43703</v>
      </c>
      <c r="E957" t="str">
        <f>"201908201123"</f>
        <v>201908201123</v>
      </c>
      <c r="F957" t="str">
        <f>"REIMBURSE-DESK CONVERTER"</f>
        <v>REIMBURSE-DESK CONVERTER</v>
      </c>
      <c r="G957" s="2">
        <v>183.48</v>
      </c>
      <c r="H957" t="str">
        <f>"REIMBURSE-DESK CONVERTER"</f>
        <v>REIMBURSE-DESK CONVERTER</v>
      </c>
    </row>
    <row r="958" spans="1:8" x14ac:dyDescent="0.25">
      <c r="A958" t="s">
        <v>222</v>
      </c>
      <c r="B958">
        <v>83391</v>
      </c>
      <c r="C958" s="2">
        <v>240</v>
      </c>
      <c r="D958" s="1">
        <v>43689</v>
      </c>
      <c r="E958" t="str">
        <f>"201908060962"</f>
        <v>201908060962</v>
      </c>
      <c r="F958" t="str">
        <f>"STATE BAR DUES REIMBURSEMENT"</f>
        <v>STATE BAR DUES REIMBURSEMENT</v>
      </c>
      <c r="G958" s="2">
        <v>240</v>
      </c>
      <c r="H958" t="str">
        <f>"STATE BAR DUES REIMBURSEMENT"</f>
        <v>STATE BAR DUES REIMBURSEMENT</v>
      </c>
    </row>
    <row r="959" spans="1:8" x14ac:dyDescent="0.25">
      <c r="A959" t="s">
        <v>223</v>
      </c>
      <c r="B959">
        <v>83392</v>
      </c>
      <c r="C959" s="2">
        <v>232.97</v>
      </c>
      <c r="D959" s="1">
        <v>43689</v>
      </c>
      <c r="E959" t="str">
        <f>"X301053413-01"</f>
        <v>X301053413-01</v>
      </c>
      <c r="F959" t="str">
        <f>"HOUSING SWITCH/PCT #1"</f>
        <v>HOUSING SWITCH/PCT #1</v>
      </c>
      <c r="G959" s="2">
        <v>232.97</v>
      </c>
      <c r="H959" t="str">
        <f>"HOUSING SWITCH/PCT #1"</f>
        <v>HOUSING SWITCH/PCT #1</v>
      </c>
    </row>
    <row r="960" spans="1:8" x14ac:dyDescent="0.25">
      <c r="A960" t="s">
        <v>223</v>
      </c>
      <c r="B960">
        <v>83591</v>
      </c>
      <c r="C960" s="2">
        <v>512.44000000000005</v>
      </c>
      <c r="D960" s="1">
        <v>43703</v>
      </c>
      <c r="E960" t="str">
        <f>"X301053465-01"</f>
        <v>X301053465-01</v>
      </c>
      <c r="F960" t="str">
        <f>"ACCT#104992/PCT#1"</f>
        <v>ACCT#104992/PCT#1</v>
      </c>
      <c r="G960" s="2">
        <v>512.44000000000005</v>
      </c>
      <c r="H960" t="str">
        <f>"ACCT#104992/PCT#1"</f>
        <v>ACCT#104992/PCT#1</v>
      </c>
    </row>
    <row r="961" spans="1:8" x14ac:dyDescent="0.25">
      <c r="A961" t="s">
        <v>224</v>
      </c>
      <c r="B961">
        <v>83393</v>
      </c>
      <c r="C961" s="2">
        <v>1092.95</v>
      </c>
      <c r="D961" s="1">
        <v>43689</v>
      </c>
      <c r="E961" t="str">
        <f>"201908020818"</f>
        <v>201908020818</v>
      </c>
      <c r="F961" t="str">
        <f>"ACCT#1750/PCT#3"</f>
        <v>ACCT#1750/PCT#3</v>
      </c>
      <c r="G961" s="2">
        <v>593.41</v>
      </c>
      <c r="H961" t="str">
        <f>"ACCT#1750/PCT#3"</f>
        <v>ACCT#1750/PCT#3</v>
      </c>
    </row>
    <row r="962" spans="1:8" x14ac:dyDescent="0.25">
      <c r="E962" t="str">
        <f>"201908060914"</f>
        <v>201908060914</v>
      </c>
      <c r="F962" t="str">
        <f>"CUST#1650/PCT#1"</f>
        <v>CUST#1650/PCT#1</v>
      </c>
      <c r="G962" s="2">
        <v>229.93</v>
      </c>
      <c r="H962" t="str">
        <f>"CUST#1650/PCT#1"</f>
        <v>CUST#1650/PCT#1</v>
      </c>
    </row>
    <row r="963" spans="1:8" x14ac:dyDescent="0.25">
      <c r="E963" t="str">
        <f>"201908071028"</f>
        <v>201908071028</v>
      </c>
      <c r="F963" t="str">
        <f>"ACCT#1650 / PCT#1"</f>
        <v>ACCT#1650 / PCT#1</v>
      </c>
      <c r="G963" s="2">
        <v>269.61</v>
      </c>
      <c r="H963" t="str">
        <f>"ACCT#1650 / PCT#1"</f>
        <v>ACCT#1650 / PCT#1</v>
      </c>
    </row>
    <row r="964" spans="1:8" x14ac:dyDescent="0.25">
      <c r="A964" t="s">
        <v>225</v>
      </c>
      <c r="B964">
        <v>83394</v>
      </c>
      <c r="C964" s="2">
        <v>3414.48</v>
      </c>
      <c r="D964" s="1">
        <v>43689</v>
      </c>
      <c r="E964" t="str">
        <f>"07177451 07248162"</f>
        <v>07177451 07248162</v>
      </c>
      <c r="F964" t="str">
        <f>"INV 07177451"</f>
        <v>INV 07177451</v>
      </c>
      <c r="G964" s="2">
        <v>3414.48</v>
      </c>
      <c r="H964" t="str">
        <f>"INV 07177451"</f>
        <v>INV 07177451</v>
      </c>
    </row>
    <row r="965" spans="1:8" x14ac:dyDescent="0.25">
      <c r="E965" t="str">
        <f>""</f>
        <v/>
      </c>
      <c r="F965" t="str">
        <f>""</f>
        <v/>
      </c>
      <c r="H965" t="str">
        <f>"INV 07248162"</f>
        <v>INV 07248162</v>
      </c>
    </row>
    <row r="966" spans="1:8" x14ac:dyDescent="0.25">
      <c r="E966" t="str">
        <f>""</f>
        <v/>
      </c>
      <c r="F966" t="str">
        <f>""</f>
        <v/>
      </c>
      <c r="H966" t="str">
        <f>"INV 07318972"</f>
        <v>INV 07318972</v>
      </c>
    </row>
    <row r="967" spans="1:8" x14ac:dyDescent="0.25">
      <c r="A967" t="s">
        <v>225</v>
      </c>
      <c r="B967">
        <v>83592</v>
      </c>
      <c r="C967" s="2">
        <v>2389.56</v>
      </c>
      <c r="D967" s="1">
        <v>43703</v>
      </c>
      <c r="E967" t="str">
        <f>"08073016 08141414"</f>
        <v>08073016 08141414</v>
      </c>
      <c r="F967" t="str">
        <f>"INV 08073016"</f>
        <v>INV 08073016</v>
      </c>
      <c r="G967" s="2">
        <v>2389.56</v>
      </c>
      <c r="H967" t="str">
        <f>"INV 08073016"</f>
        <v>INV 08073016</v>
      </c>
    </row>
    <row r="968" spans="1:8" x14ac:dyDescent="0.25">
      <c r="E968" t="str">
        <f>""</f>
        <v/>
      </c>
      <c r="F968" t="str">
        <f>""</f>
        <v/>
      </c>
      <c r="H968" t="str">
        <f>"INV 08141414"</f>
        <v>INV 08141414</v>
      </c>
    </row>
    <row r="969" spans="1:8" x14ac:dyDescent="0.25">
      <c r="A969" t="s">
        <v>226</v>
      </c>
      <c r="B969">
        <v>1181</v>
      </c>
      <c r="C969" s="2">
        <v>150</v>
      </c>
      <c r="D969" s="1">
        <v>43690</v>
      </c>
      <c r="E969" t="str">
        <f>"201908060956"</f>
        <v>201908060956</v>
      </c>
      <c r="F969" t="str">
        <f>"CLEANING SVC-JULY 27"</f>
        <v>CLEANING SVC-JULY 27</v>
      </c>
      <c r="G969" s="2">
        <v>150</v>
      </c>
      <c r="H969" t="str">
        <f>"CLEANING SVC-JULY 27"</f>
        <v>CLEANING SVC-JULY 27</v>
      </c>
    </row>
    <row r="970" spans="1:8" x14ac:dyDescent="0.25">
      <c r="A970" t="s">
        <v>226</v>
      </c>
      <c r="B970">
        <v>1256</v>
      </c>
      <c r="C970" s="2">
        <v>150</v>
      </c>
      <c r="D970" s="1">
        <v>43704</v>
      </c>
      <c r="E970" t="str">
        <f>"201908201133"</f>
        <v>201908201133</v>
      </c>
      <c r="F970" t="str">
        <f>"CLEANING SERVICE"</f>
        <v>CLEANING SERVICE</v>
      </c>
      <c r="G970" s="2">
        <v>150</v>
      </c>
      <c r="H970" t="str">
        <f>"CLEANING SERVICE"</f>
        <v>CLEANING SERVICE</v>
      </c>
    </row>
    <row r="971" spans="1:8" x14ac:dyDescent="0.25">
      <c r="A971" t="s">
        <v>227</v>
      </c>
      <c r="B971">
        <v>83395</v>
      </c>
      <c r="C971" s="2">
        <v>352.27</v>
      </c>
      <c r="D971" s="1">
        <v>43689</v>
      </c>
      <c r="E971" t="str">
        <f>"201908060906"</f>
        <v>201908060906</v>
      </c>
      <c r="F971" t="str">
        <f>"TIRE SVCS/PCT#4"</f>
        <v>TIRE SVCS/PCT#4</v>
      </c>
      <c r="G971" s="2">
        <v>352.27</v>
      </c>
      <c r="H971" t="str">
        <f>"TIRE SVCS/PCT#4"</f>
        <v>TIRE SVCS/PCT#4</v>
      </c>
    </row>
    <row r="972" spans="1:8" x14ac:dyDescent="0.25">
      <c r="A972" t="s">
        <v>228</v>
      </c>
      <c r="B972">
        <v>83726</v>
      </c>
      <c r="C972" s="2">
        <v>19647.599999999999</v>
      </c>
      <c r="D972" s="1">
        <v>43704</v>
      </c>
      <c r="E972" t="str">
        <f>"1009825"</f>
        <v>1009825</v>
      </c>
      <c r="F972" t="str">
        <f>"WATER TANK - P3"</f>
        <v>WATER TANK - P3</v>
      </c>
      <c r="G972" s="2">
        <v>19647.599999999999</v>
      </c>
      <c r="H972" t="str">
        <f>"WATER TANK - P3"</f>
        <v>WATER TANK - P3</v>
      </c>
    </row>
    <row r="973" spans="1:8" x14ac:dyDescent="0.25">
      <c r="A973" t="s">
        <v>229</v>
      </c>
      <c r="B973">
        <v>83283</v>
      </c>
      <c r="C973" s="2">
        <v>116.62</v>
      </c>
      <c r="D973" s="1">
        <v>43678</v>
      </c>
      <c r="E973" t="str">
        <f>"201908010766"</f>
        <v>201908010766</v>
      </c>
      <c r="F973" t="str">
        <f>"ACCT#1-09-00072-02 1 /07252019"</f>
        <v>ACCT#1-09-00072-02 1 /07252019</v>
      </c>
      <c r="G973" s="2">
        <v>116.62</v>
      </c>
      <c r="H973" t="str">
        <f>"ACCT#1-09-00072-02 1 /07252019"</f>
        <v>ACCT#1-09-00072-02 1 /07252019</v>
      </c>
    </row>
    <row r="974" spans="1:8" x14ac:dyDescent="0.25">
      <c r="A974" t="s">
        <v>230</v>
      </c>
      <c r="B974">
        <v>83593</v>
      </c>
      <c r="C974" s="2">
        <v>36.770000000000003</v>
      </c>
      <c r="D974" s="1">
        <v>43703</v>
      </c>
      <c r="E974" t="str">
        <f>"0557377319"</f>
        <v>0557377319</v>
      </c>
      <c r="F974" t="str">
        <f>"INV 0557377319"</f>
        <v>INV 0557377319</v>
      </c>
      <c r="G974" s="2">
        <v>36.770000000000003</v>
      </c>
      <c r="H974" t="str">
        <f>"INV 0557377319"</f>
        <v>INV 0557377319</v>
      </c>
    </row>
    <row r="975" spans="1:8" x14ac:dyDescent="0.25">
      <c r="A975" t="s">
        <v>231</v>
      </c>
      <c r="B975">
        <v>83396</v>
      </c>
      <c r="C975" s="2">
        <v>450</v>
      </c>
      <c r="D975" s="1">
        <v>43689</v>
      </c>
      <c r="E975" t="str">
        <f>"19824"</f>
        <v>19824</v>
      </c>
      <c r="F975" t="str">
        <f>"SPANISH INTERPRETING 423-5817"</f>
        <v>SPANISH INTERPRETING 423-5817</v>
      </c>
      <c r="G975" s="2">
        <v>450</v>
      </c>
      <c r="H975" t="str">
        <f>"SPANISH INTERPRETING 423-5817"</f>
        <v>SPANISH INTERPRETING 423-5817</v>
      </c>
    </row>
    <row r="976" spans="1:8" x14ac:dyDescent="0.25">
      <c r="A976" t="s">
        <v>232</v>
      </c>
      <c r="B976">
        <v>83594</v>
      </c>
      <c r="C976" s="2">
        <v>225</v>
      </c>
      <c r="D976" s="1">
        <v>43703</v>
      </c>
      <c r="E976" t="str">
        <f>"19878"</f>
        <v>19878</v>
      </c>
      <c r="F976" t="str">
        <f>"TRANSLATION SVCS"</f>
        <v>TRANSLATION SVCS</v>
      </c>
      <c r="G976" s="2">
        <v>225</v>
      </c>
      <c r="H976" t="str">
        <f>"TRANSLATION SVCS"</f>
        <v>TRANSLATION SVCS</v>
      </c>
    </row>
    <row r="977" spans="1:8" x14ac:dyDescent="0.25">
      <c r="A977" t="s">
        <v>233</v>
      </c>
      <c r="B977">
        <v>83397</v>
      </c>
      <c r="C977" s="2">
        <v>563.65</v>
      </c>
      <c r="D977" s="1">
        <v>43689</v>
      </c>
      <c r="E977" t="str">
        <f>"1361725-20190731"</f>
        <v>1361725-20190731</v>
      </c>
      <c r="F977" t="str">
        <f>"ACCT#1361725-20190731/INDIGENT"</f>
        <v>ACCT#1361725-20190731/INDIGENT</v>
      </c>
      <c r="G977" s="2">
        <v>150</v>
      </c>
      <c r="H977" t="str">
        <f>"ACCT#1361725-20190731/INDIGENT"</f>
        <v>ACCT#1361725-20190731/INDIGENT</v>
      </c>
    </row>
    <row r="978" spans="1:8" x14ac:dyDescent="0.25">
      <c r="E978" t="str">
        <f>"1394645-20190731"</f>
        <v>1394645-20190731</v>
      </c>
      <c r="F978" t="str">
        <f>"BILL ID:1394645/COUNTY CLERK"</f>
        <v>BILL ID:1394645/COUNTY CLERK</v>
      </c>
      <c r="G978" s="2">
        <v>16.75</v>
      </c>
      <c r="H978" t="str">
        <f>"BILL ID:1394645/COUNTY CLERK"</f>
        <v>BILL ID:1394645/COUNTY CLERK</v>
      </c>
    </row>
    <row r="979" spans="1:8" x14ac:dyDescent="0.25">
      <c r="E979" t="str">
        <f>"1420944-20190731"</f>
        <v>1420944-20190731</v>
      </c>
      <c r="F979" t="str">
        <f>"BILLING ID:1420944/SHERIFF OFF"</f>
        <v>BILLING ID:1420944/SHERIFF OFF</v>
      </c>
      <c r="G979" s="2">
        <v>396.9</v>
      </c>
      <c r="H979" t="str">
        <f>"BILLING ID:1420944/SHERIFF OFF"</f>
        <v>BILLING ID:1420944/SHERIFF OFF</v>
      </c>
    </row>
    <row r="980" spans="1:8" x14ac:dyDescent="0.25">
      <c r="A980" t="s">
        <v>233</v>
      </c>
      <c r="B980">
        <v>83595</v>
      </c>
      <c r="C980" s="2">
        <v>1632.65</v>
      </c>
      <c r="D980" s="1">
        <v>43703</v>
      </c>
      <c r="E980" t="str">
        <f>"1211621-20190630"</f>
        <v>1211621-20190630</v>
      </c>
      <c r="F980" t="str">
        <f>"BILL ID:1211621/HEALTH SVCS"</f>
        <v>BILL ID:1211621/HEALTH SVCS</v>
      </c>
      <c r="G980" s="2">
        <v>1034.2</v>
      </c>
      <c r="H980" t="str">
        <f>"BILL ID:1211621/HEALTH SVCS"</f>
        <v>BILL ID:1211621/HEALTH SVCS</v>
      </c>
    </row>
    <row r="981" spans="1:8" x14ac:dyDescent="0.25">
      <c r="E981" t="str">
        <f>"1211621-20190731"</f>
        <v>1211621-20190731</v>
      </c>
      <c r="F981" t="str">
        <f>"BILL ID:1211621/HEALTH SVCS"</f>
        <v>BILL ID:1211621/HEALTH SVCS</v>
      </c>
      <c r="G981" s="2">
        <v>498.45</v>
      </c>
      <c r="H981" t="str">
        <f>"BILL ID:1211621/HEALTH SVCS"</f>
        <v>BILL ID:1211621/HEALTH SVCS</v>
      </c>
    </row>
    <row r="982" spans="1:8" x14ac:dyDescent="0.25">
      <c r="E982" t="str">
        <f>"1489870-20190731"</f>
        <v>1489870-20190731</v>
      </c>
      <c r="F982" t="str">
        <f>"BILL ID:1489870/DISTRICT CLERK"</f>
        <v>BILL ID:1489870/DISTRICT CLERK</v>
      </c>
      <c r="G982" s="2">
        <v>100</v>
      </c>
      <c r="H982" t="str">
        <f>"BILL ID:1489870/DISTRICT CLERK"</f>
        <v>BILL ID:1489870/DISTRICT CLERK</v>
      </c>
    </row>
    <row r="983" spans="1:8" x14ac:dyDescent="0.25">
      <c r="A983" t="s">
        <v>234</v>
      </c>
      <c r="B983">
        <v>83398</v>
      </c>
      <c r="C983" s="2">
        <v>1140.78</v>
      </c>
      <c r="D983" s="1">
        <v>43689</v>
      </c>
      <c r="E983" t="str">
        <f>"1631571"</f>
        <v>1631571</v>
      </c>
      <c r="F983" t="str">
        <f>"ACCT#15717/TIRES"</f>
        <v>ACCT#15717/TIRES</v>
      </c>
      <c r="G983" s="2">
        <v>1010.44</v>
      </c>
      <c r="H983" t="str">
        <f>"ACCT#15717/TIRES"</f>
        <v>ACCT#15717/TIRES</v>
      </c>
    </row>
    <row r="984" spans="1:8" x14ac:dyDescent="0.25">
      <c r="E984" t="str">
        <f>"1634418"</f>
        <v>1634418</v>
      </c>
      <c r="F984" t="str">
        <f>"ACCT#15717/PCT#4"</f>
        <v>ACCT#15717/PCT#4</v>
      </c>
      <c r="G984" s="2">
        <v>130.34</v>
      </c>
      <c r="H984" t="str">
        <f>"ACCT#15717/PCT#4"</f>
        <v>ACCT#15717/PCT#4</v>
      </c>
    </row>
    <row r="985" spans="1:8" x14ac:dyDescent="0.25">
      <c r="A985" t="s">
        <v>235</v>
      </c>
      <c r="B985">
        <v>1200</v>
      </c>
      <c r="C985" s="2">
        <v>163.5</v>
      </c>
      <c r="D985" s="1">
        <v>43690</v>
      </c>
      <c r="E985" t="str">
        <f>"201907260696"</f>
        <v>201907260696</v>
      </c>
      <c r="F985" t="str">
        <f>"TITLE TRANSFERS-SHERIFF'S OFF"</f>
        <v>TITLE TRANSFERS-SHERIFF'S OFF</v>
      </c>
      <c r="G985" s="2">
        <v>43.5</v>
      </c>
      <c r="H985" t="str">
        <f>"TITLE TRANSFERS-SHERIFF'S OFF"</f>
        <v>TITLE TRANSFERS-SHERIFF'S OFF</v>
      </c>
    </row>
    <row r="986" spans="1:8" x14ac:dyDescent="0.25">
      <c r="E986" t="str">
        <f>"201907300705"</f>
        <v>201907300705</v>
      </c>
      <c r="F986" t="str">
        <f>"VEHICLE REGISTRATIONS-GEN SVCS"</f>
        <v>VEHICLE REGISTRATIONS-GEN SVCS</v>
      </c>
      <c r="G986" s="2">
        <v>15</v>
      </c>
      <c r="H986" t="str">
        <f>"VEHICLE REGISTRATIONS-GEN SVCS"</f>
        <v>VEHICLE REGISTRATIONS-GEN SVCS</v>
      </c>
    </row>
    <row r="987" spans="1:8" x14ac:dyDescent="0.25">
      <c r="E987" t="str">
        <f>"201908060930"</f>
        <v>201908060930</v>
      </c>
      <c r="F987" t="str">
        <f>"2011 FRHT REGISTRATION/PCT#2"</f>
        <v>2011 FRHT REGISTRATION/PCT#2</v>
      </c>
      <c r="G987" s="2">
        <v>7.5</v>
      </c>
      <c r="H987" t="str">
        <f>"2011 FRHT REGISTRATION/PCT#2"</f>
        <v>2011 FRHT REGISTRATION/PCT#2</v>
      </c>
    </row>
    <row r="988" spans="1:8" x14ac:dyDescent="0.25">
      <c r="E988" t="str">
        <f>"201908071021"</f>
        <v>201908071021</v>
      </c>
      <c r="F988" t="str">
        <f>"VEHICLE REG/SHERIFF'S OFFICE"</f>
        <v>VEHICLE REG/SHERIFF'S OFFICE</v>
      </c>
      <c r="G988" s="2">
        <v>97.5</v>
      </c>
      <c r="H988" t="str">
        <f>"VEHICLE REG/SHERIFF'S OFFICE"</f>
        <v>VEHICLE REG/SHERIFF'S OFFICE</v>
      </c>
    </row>
    <row r="989" spans="1:8" x14ac:dyDescent="0.25">
      <c r="A989" t="s">
        <v>235</v>
      </c>
      <c r="B989">
        <v>1269</v>
      </c>
      <c r="C989" s="2">
        <v>228</v>
      </c>
      <c r="D989" s="1">
        <v>43704</v>
      </c>
      <c r="E989" t="str">
        <f>"201908151098"</f>
        <v>201908151098</v>
      </c>
      <c r="F989" t="str">
        <f>"VEHICLE REG/2016 INTL/PCT#1"</f>
        <v>VEHICLE REG/2016 INTL/PCT#1</v>
      </c>
      <c r="G989" s="2">
        <v>7.5</v>
      </c>
      <c r="H989" t="str">
        <f>"VEHICLE REG/2016 INTL/PCT#1"</f>
        <v>VEHICLE REG/2016 INTL/PCT#1</v>
      </c>
    </row>
    <row r="990" spans="1:8" x14ac:dyDescent="0.25">
      <c r="E990" t="str">
        <f>"201908201122"</f>
        <v>201908201122</v>
      </c>
      <c r="F990" t="str">
        <f>"VEHICLE REG/2004 GMC/PCT#4"</f>
        <v>VEHICLE REG/2004 GMC/PCT#4</v>
      </c>
      <c r="G990" s="2">
        <v>7.5</v>
      </c>
      <c r="H990" t="str">
        <f>"VEHICLE REG/2004 GMC/PCT#4"</f>
        <v>VEHICLE REG/2004 GMC/PCT#4</v>
      </c>
    </row>
    <row r="991" spans="1:8" x14ac:dyDescent="0.25">
      <c r="E991" t="str">
        <f>"201908201131"</f>
        <v>201908201131</v>
      </c>
      <c r="F991" t="str">
        <f>"TITLES ONLY/SHERIFF'S OFFICE"</f>
        <v>TITLES ONLY/SHERIFF'S OFFICE</v>
      </c>
      <c r="G991" s="2">
        <v>198</v>
      </c>
      <c r="H991" t="str">
        <f>"TITLES ONLY/SHERIFF'S OFFICE"</f>
        <v>TITLES ONLY/SHERIFF'S OFFICE</v>
      </c>
    </row>
    <row r="992" spans="1:8" x14ac:dyDescent="0.25">
      <c r="E992" t="str">
        <f>"201908201132"</f>
        <v>201908201132</v>
      </c>
      <c r="F992" t="str">
        <f>"VEHICLE REGISTRATIONS/PCT#2"</f>
        <v>VEHICLE REGISTRATIONS/PCT#2</v>
      </c>
      <c r="G992" s="2">
        <v>15</v>
      </c>
      <c r="H992" t="str">
        <f>"VEHICLE REGISTRATIONS/PCT#2"</f>
        <v>VEHICLE REGISTRATIONS/PCT#2</v>
      </c>
    </row>
    <row r="993" spans="1:8" x14ac:dyDescent="0.25">
      <c r="A993" t="s">
        <v>236</v>
      </c>
      <c r="B993">
        <v>83596</v>
      </c>
      <c r="C993" s="2">
        <v>75</v>
      </c>
      <c r="D993" s="1">
        <v>43703</v>
      </c>
      <c r="E993" t="str">
        <f>"13067"</f>
        <v>13067</v>
      </c>
      <c r="F993" t="str">
        <f>"SERVICE"</f>
        <v>SERVICE</v>
      </c>
      <c r="G993" s="2">
        <v>75</v>
      </c>
      <c r="H993" t="str">
        <f>"SERVICE"</f>
        <v>SERVICE</v>
      </c>
    </row>
    <row r="994" spans="1:8" x14ac:dyDescent="0.25">
      <c r="A994" t="s">
        <v>237</v>
      </c>
      <c r="B994">
        <v>1247</v>
      </c>
      <c r="C994" s="2">
        <v>12265.76</v>
      </c>
      <c r="D994" s="1">
        <v>43704</v>
      </c>
      <c r="E994" t="str">
        <f>"201908141082"</f>
        <v>201908141082</v>
      </c>
      <c r="F994" t="str">
        <f>"GRANT REIMBURSEMENT"</f>
        <v>GRANT REIMBURSEMENT</v>
      </c>
      <c r="G994" s="2">
        <v>12265.76</v>
      </c>
      <c r="H994" t="str">
        <f>"GRANT REIMBURSEMENT"</f>
        <v>GRANT REIMBURSEMENT</v>
      </c>
    </row>
    <row r="995" spans="1:8" x14ac:dyDescent="0.25">
      <c r="A995" t="s">
        <v>238</v>
      </c>
      <c r="B995">
        <v>1245</v>
      </c>
      <c r="C995" s="2">
        <v>1236.9000000000001</v>
      </c>
      <c r="D995" s="1">
        <v>43704</v>
      </c>
      <c r="E995" t="str">
        <f>"LS-2017INTER-BCSO"</f>
        <v>LS-2017INTER-BCSO</v>
      </c>
      <c r="F995" t="str">
        <f>"INV LS-2017INTER-BCSO"</f>
        <v>INV LS-2017INTER-BCSO</v>
      </c>
      <c r="G995" s="2">
        <v>1236.9000000000001</v>
      </c>
      <c r="H995" t="str">
        <f>"INV LS-2017INTER-BCSO"</f>
        <v>INV LS-2017INTER-BCSO</v>
      </c>
    </row>
    <row r="996" spans="1:8" x14ac:dyDescent="0.25">
      <c r="A996" t="s">
        <v>239</v>
      </c>
      <c r="B996">
        <v>83597</v>
      </c>
      <c r="C996" s="2">
        <v>92.18</v>
      </c>
      <c r="D996" s="1">
        <v>43703</v>
      </c>
      <c r="E996" t="str">
        <f>"201908201165"</f>
        <v>201908201165</v>
      </c>
      <c r="F996" t="str">
        <f>"INDIGENT HEALTH"</f>
        <v>INDIGENT HEALTH</v>
      </c>
      <c r="G996" s="2">
        <v>92.18</v>
      </c>
      <c r="H996" t="str">
        <f>"INDIGENT HEALTH"</f>
        <v>INDIGENT HEALTH</v>
      </c>
    </row>
    <row r="997" spans="1:8" x14ac:dyDescent="0.25">
      <c r="E997" t="str">
        <f>""</f>
        <v/>
      </c>
      <c r="F997" t="str">
        <f>""</f>
        <v/>
      </c>
      <c r="H997" t="str">
        <f>"INDIGENT HEALTH"</f>
        <v>INDIGENT HEALTH</v>
      </c>
    </row>
    <row r="998" spans="1:8" x14ac:dyDescent="0.25">
      <c r="A998" t="s">
        <v>240</v>
      </c>
      <c r="B998">
        <v>83598</v>
      </c>
      <c r="C998" s="2">
        <v>950</v>
      </c>
      <c r="D998" s="1">
        <v>43703</v>
      </c>
      <c r="E998" t="str">
        <f>"101618"</f>
        <v>101618</v>
      </c>
      <c r="F998" t="str">
        <f>"WK ORD#101618/2016 FRHT/PCT#2"</f>
        <v>WK ORD#101618/2016 FRHT/PCT#2</v>
      </c>
      <c r="G998" s="2">
        <v>250</v>
      </c>
      <c r="H998" t="str">
        <f>"WK ORD#101618/2016 FRHT/PCT#2"</f>
        <v>WK ORD#101618/2016 FRHT/PCT#2</v>
      </c>
    </row>
    <row r="999" spans="1:8" x14ac:dyDescent="0.25">
      <c r="E999" t="str">
        <f>"101619"</f>
        <v>101619</v>
      </c>
      <c r="F999" t="str">
        <f>"WK ORD#101619/2016 FRHT/PCT#2"</f>
        <v>WK ORD#101619/2016 FRHT/PCT#2</v>
      </c>
      <c r="G999" s="2">
        <v>250</v>
      </c>
      <c r="H999" t="str">
        <f>"WK ORD#101619/2016 FRHT/PCT#2"</f>
        <v>WK ORD#101619/2016 FRHT/PCT#2</v>
      </c>
    </row>
    <row r="1000" spans="1:8" x14ac:dyDescent="0.25">
      <c r="E1000" t="str">
        <f>"101620"</f>
        <v>101620</v>
      </c>
      <c r="F1000" t="str">
        <f>"WK ORD#101620/2017 FRHT/PCT#2"</f>
        <v>WK ORD#101620/2017 FRHT/PCT#2</v>
      </c>
      <c r="G1000" s="2">
        <v>150</v>
      </c>
      <c r="H1000" t="str">
        <f>"WK ORD#101620/2017 FRHT/PCT#2"</f>
        <v>WK ORD#101620/2017 FRHT/PCT#2</v>
      </c>
    </row>
    <row r="1001" spans="1:8" x14ac:dyDescent="0.25">
      <c r="E1001" t="str">
        <f>"101621"</f>
        <v>101621</v>
      </c>
      <c r="F1001" t="str">
        <f>"WK ORD#101621/2015 FRHT/PCT#2"</f>
        <v>WK ORD#101621/2015 FRHT/PCT#2</v>
      </c>
      <c r="G1001" s="2">
        <v>300</v>
      </c>
      <c r="H1001" t="str">
        <f>"WK ORD#101621/2015 FRHT"</f>
        <v>WK ORD#101621/2015 FRHT</v>
      </c>
    </row>
    <row r="1002" spans="1:8" x14ac:dyDescent="0.25">
      <c r="A1002" t="s">
        <v>241</v>
      </c>
      <c r="B1002">
        <v>1177</v>
      </c>
      <c r="C1002" s="2">
        <v>1326</v>
      </c>
      <c r="D1002" s="1">
        <v>43690</v>
      </c>
      <c r="E1002" t="str">
        <f>"201908060904"</f>
        <v>201908060904</v>
      </c>
      <c r="F1002" t="str">
        <f>"TRASH REMOVAL 08/01-08/09/P4"</f>
        <v>TRASH REMOVAL 08/01-08/09/P4</v>
      </c>
      <c r="G1002" s="2">
        <v>552.5</v>
      </c>
      <c r="H1002" t="str">
        <f>"TRASH REMOVAL 08/01-08/09/P4"</f>
        <v>TRASH REMOVAL 08/01-08/09/P4</v>
      </c>
    </row>
    <row r="1003" spans="1:8" x14ac:dyDescent="0.25">
      <c r="E1003" t="str">
        <f>"201908060923"</f>
        <v>201908060923</v>
      </c>
      <c r="F1003" t="str">
        <f>"TRASH REMOVAL 07/21-07/31/P4"</f>
        <v>TRASH REMOVAL 07/21-07/31/P4</v>
      </c>
      <c r="G1003" s="2">
        <v>773.5</v>
      </c>
      <c r="H1003" t="str">
        <f>"TRASH REMOVAL 07/21-07/31/P4"</f>
        <v>TRASH REMOVAL 07/21-07/31/P4</v>
      </c>
    </row>
    <row r="1004" spans="1:8" x14ac:dyDescent="0.25">
      <c r="A1004" t="s">
        <v>241</v>
      </c>
      <c r="B1004">
        <v>1251</v>
      </c>
      <c r="C1004" s="2">
        <v>832</v>
      </c>
      <c r="D1004" s="1">
        <v>43704</v>
      </c>
      <c r="E1004" t="str">
        <f>"201908201119"</f>
        <v>201908201119</v>
      </c>
      <c r="F1004" t="str">
        <f>"TRASH REMOVAL 08/12-08/23/P4"</f>
        <v>TRASH REMOVAL 08/12-08/23/P4</v>
      </c>
      <c r="G1004" s="2">
        <v>832</v>
      </c>
      <c r="H1004" t="str">
        <f>"TRASH REMOVAL 08/12-08/23/P4"</f>
        <v>TRASH REMOVAL 08/12-08/23/P4</v>
      </c>
    </row>
    <row r="1005" spans="1:8" x14ac:dyDescent="0.25">
      <c r="A1005" t="s">
        <v>242</v>
      </c>
      <c r="B1005">
        <v>1274</v>
      </c>
      <c r="C1005" s="2">
        <v>71.790000000000006</v>
      </c>
      <c r="D1005" s="1">
        <v>43704</v>
      </c>
      <c r="E1005" t="str">
        <f>"10-0072071 72232 7"</f>
        <v>10-0072071 72232 7</v>
      </c>
      <c r="F1005" t="str">
        <f>"INV 10-0072071/10-0072232"</f>
        <v>INV 10-0072071/10-0072232</v>
      </c>
      <c r="G1005" s="2">
        <v>71.790000000000006</v>
      </c>
      <c r="H1005" t="str">
        <f>"INV 10-0072071"</f>
        <v>INV 10-0072071</v>
      </c>
    </row>
    <row r="1006" spans="1:8" x14ac:dyDescent="0.25">
      <c r="E1006" t="str">
        <f>""</f>
        <v/>
      </c>
      <c r="F1006" t="str">
        <f>""</f>
        <v/>
      </c>
      <c r="H1006" t="str">
        <f>"INV 10-0072232"</f>
        <v>INV 10-0072232</v>
      </c>
    </row>
    <row r="1007" spans="1:8" x14ac:dyDescent="0.25">
      <c r="E1007" t="str">
        <f>""</f>
        <v/>
      </c>
      <c r="F1007" t="str">
        <f>""</f>
        <v/>
      </c>
      <c r="H1007" t="str">
        <f>"INV 10-0072233"</f>
        <v>INV 10-0072233</v>
      </c>
    </row>
    <row r="1008" spans="1:8" x14ac:dyDescent="0.25">
      <c r="E1008" t="str">
        <f>""</f>
        <v/>
      </c>
      <c r="F1008" t="str">
        <f>""</f>
        <v/>
      </c>
      <c r="H1008" t="str">
        <f>"INV 10-0072235"</f>
        <v>INV 10-0072235</v>
      </c>
    </row>
    <row r="1009" spans="1:8" x14ac:dyDescent="0.25">
      <c r="E1009" t="str">
        <f>""</f>
        <v/>
      </c>
      <c r="F1009" t="str">
        <f>""</f>
        <v/>
      </c>
      <c r="H1009" t="str">
        <f>"INV 10-0072236"</f>
        <v>INV 10-0072236</v>
      </c>
    </row>
    <row r="1010" spans="1:8" x14ac:dyDescent="0.25">
      <c r="A1010" t="s">
        <v>243</v>
      </c>
      <c r="B1010">
        <v>83399</v>
      </c>
      <c r="C1010" s="2">
        <v>333.41</v>
      </c>
      <c r="D1010" s="1">
        <v>43689</v>
      </c>
      <c r="E1010" t="str">
        <f>"902938 915763 9018"</f>
        <v>902938 915763 9018</v>
      </c>
      <c r="F1010" t="str">
        <f>"acct# 8692"</f>
        <v>acct# 8692</v>
      </c>
      <c r="G1010" s="2">
        <v>333.41</v>
      </c>
      <c r="H1010" t="str">
        <f>"inv# 911111"</f>
        <v>inv# 911111</v>
      </c>
    </row>
    <row r="1011" spans="1:8" x14ac:dyDescent="0.25">
      <c r="E1011" t="str">
        <f>""</f>
        <v/>
      </c>
      <c r="F1011" t="str">
        <f>""</f>
        <v/>
      </c>
      <c r="H1011" t="str">
        <f>"inv# 915763"</f>
        <v>inv# 915763</v>
      </c>
    </row>
    <row r="1012" spans="1:8" x14ac:dyDescent="0.25">
      <c r="E1012" t="str">
        <f>""</f>
        <v/>
      </c>
      <c r="F1012" t="str">
        <f>""</f>
        <v/>
      </c>
      <c r="H1012" t="str">
        <f>"inv# 902938"</f>
        <v>inv# 902938</v>
      </c>
    </row>
    <row r="1013" spans="1:8" x14ac:dyDescent="0.25">
      <c r="E1013" t="str">
        <f>""</f>
        <v/>
      </c>
      <c r="F1013" t="str">
        <f>""</f>
        <v/>
      </c>
      <c r="H1013" t="str">
        <f>"inv# 901866"</f>
        <v>inv# 901866</v>
      </c>
    </row>
    <row r="1014" spans="1:8" x14ac:dyDescent="0.25">
      <c r="E1014" t="str">
        <f>""</f>
        <v/>
      </c>
      <c r="F1014" t="str">
        <f>""</f>
        <v/>
      </c>
      <c r="H1014" t="str">
        <f>"inv# 911230"</f>
        <v>inv# 911230</v>
      </c>
    </row>
    <row r="1015" spans="1:8" x14ac:dyDescent="0.25">
      <c r="A1015" t="s">
        <v>244</v>
      </c>
      <c r="B1015">
        <v>83599</v>
      </c>
      <c r="C1015" s="2">
        <v>99.99</v>
      </c>
      <c r="D1015" s="1">
        <v>43703</v>
      </c>
      <c r="E1015" t="str">
        <f>"201908201124"</f>
        <v>201908201124</v>
      </c>
      <c r="F1015" t="str">
        <f>"REIMBURSE-DESK CONVERTER"</f>
        <v>REIMBURSE-DESK CONVERTER</v>
      </c>
      <c r="G1015" s="2">
        <v>99.99</v>
      </c>
      <c r="H1015" t="str">
        <f>"REIMBURSE-DESK CONVERTER"</f>
        <v>REIMBURSE-DESK CONVERTER</v>
      </c>
    </row>
    <row r="1016" spans="1:8" x14ac:dyDescent="0.25">
      <c r="A1016" t="s">
        <v>245</v>
      </c>
      <c r="B1016">
        <v>83400</v>
      </c>
      <c r="C1016" s="2">
        <v>919.75</v>
      </c>
      <c r="D1016" s="1">
        <v>43689</v>
      </c>
      <c r="E1016" t="str">
        <f>"236"</f>
        <v>236</v>
      </c>
      <c r="F1016" t="str">
        <f>"HWE/POWER SCRUB/GEN SVCS"</f>
        <v>HWE/POWER SCRUB/GEN SVCS</v>
      </c>
      <c r="G1016" s="2">
        <v>919.75</v>
      </c>
      <c r="H1016" t="str">
        <f>"HWE/POWER SCRUB/GEN SVCS"</f>
        <v>HWE/POWER SCRUB/GEN SVCS</v>
      </c>
    </row>
    <row r="1017" spans="1:8" x14ac:dyDescent="0.25">
      <c r="A1017" t="s">
        <v>246</v>
      </c>
      <c r="B1017">
        <v>83600</v>
      </c>
      <c r="C1017" s="2">
        <v>322.66000000000003</v>
      </c>
      <c r="D1017" s="1">
        <v>43703</v>
      </c>
      <c r="E1017" t="str">
        <f>"19-0612-16071"</f>
        <v>19-0612-16071</v>
      </c>
      <c r="F1017" t="str">
        <f>"16 071-TRANSCRIPT"</f>
        <v>16 071-TRANSCRIPT</v>
      </c>
      <c r="G1017" s="2">
        <v>322.66000000000003</v>
      </c>
      <c r="H1017" t="str">
        <f>"16 071-TRANSCRIPT"</f>
        <v>16 071-TRANSCRIPT</v>
      </c>
    </row>
    <row r="1018" spans="1:8" x14ac:dyDescent="0.25">
      <c r="A1018" t="s">
        <v>247</v>
      </c>
      <c r="B1018">
        <v>83401</v>
      </c>
      <c r="C1018" s="2">
        <v>720</v>
      </c>
      <c r="D1018" s="1">
        <v>43689</v>
      </c>
      <c r="E1018" t="str">
        <f>"201908060952"</f>
        <v>201908060952</v>
      </c>
      <c r="F1018" t="str">
        <f>"VET SVCS/JUNE 14 16 18 28"</f>
        <v>VET SVCS/JUNE 14 16 18 28</v>
      </c>
      <c r="G1018" s="2">
        <v>720</v>
      </c>
      <c r="H1018" t="str">
        <f>"VET SVCS/JUNE 14 16 18 28"</f>
        <v>VET SVCS/JUNE 14 16 18 28</v>
      </c>
    </row>
    <row r="1019" spans="1:8" x14ac:dyDescent="0.25">
      <c r="A1019" t="s">
        <v>248</v>
      </c>
      <c r="B1019">
        <v>83402</v>
      </c>
      <c r="C1019" s="2">
        <v>153</v>
      </c>
      <c r="D1019" s="1">
        <v>43689</v>
      </c>
      <c r="E1019" t="str">
        <f>"201908060961"</f>
        <v>201908060961</v>
      </c>
      <c r="F1019" t="str">
        <f>"STATE BAR DUES REIMBURSEMENT"</f>
        <v>STATE BAR DUES REIMBURSEMENT</v>
      </c>
      <c r="G1019" s="2">
        <v>153</v>
      </c>
      <c r="H1019" t="str">
        <f>"STATE BAR DUES REIMBURSEMENT"</f>
        <v>STATE BAR DUES REIMBURSEMENT</v>
      </c>
    </row>
    <row r="1020" spans="1:8" x14ac:dyDescent="0.25">
      <c r="A1020" t="s">
        <v>249</v>
      </c>
      <c r="B1020">
        <v>83601</v>
      </c>
      <c r="C1020" s="2">
        <v>140</v>
      </c>
      <c r="D1020" s="1">
        <v>43703</v>
      </c>
      <c r="E1020" t="str">
        <f>"201908141093"</f>
        <v>201908141093</v>
      </c>
      <c r="F1020" t="str">
        <f>"PER DIEM"</f>
        <v>PER DIEM</v>
      </c>
      <c r="G1020" s="2">
        <v>140</v>
      </c>
      <c r="H1020" t="str">
        <f>"PER DIEM"</f>
        <v>PER DIEM</v>
      </c>
    </row>
    <row r="1021" spans="1:8" x14ac:dyDescent="0.25">
      <c r="A1021" t="s">
        <v>250</v>
      </c>
      <c r="B1021">
        <v>83602</v>
      </c>
      <c r="C1021" s="2">
        <v>1194.07</v>
      </c>
      <c r="D1021" s="1">
        <v>43703</v>
      </c>
      <c r="E1021" t="str">
        <f>"201908201167"</f>
        <v>201908201167</v>
      </c>
      <c r="F1021" t="str">
        <f>"INDIGENT HEALTH"</f>
        <v>INDIGENT HEALTH</v>
      </c>
      <c r="G1021" s="2">
        <v>1194.07</v>
      </c>
      <c r="H1021" t="str">
        <f>"INDIGENT HEALTH"</f>
        <v>INDIGENT HEALTH</v>
      </c>
    </row>
    <row r="1022" spans="1:8" x14ac:dyDescent="0.25">
      <c r="E1022" t="str">
        <f>""</f>
        <v/>
      </c>
      <c r="F1022" t="str">
        <f>""</f>
        <v/>
      </c>
      <c r="H1022" t="str">
        <f>"INDIGENT HEALTH"</f>
        <v>INDIGENT HEALTH</v>
      </c>
    </row>
    <row r="1023" spans="1:8" x14ac:dyDescent="0.25">
      <c r="A1023" t="s">
        <v>251</v>
      </c>
      <c r="B1023">
        <v>83603</v>
      </c>
      <c r="C1023" s="2">
        <v>670</v>
      </c>
      <c r="D1023" s="1">
        <v>43703</v>
      </c>
      <c r="E1023" t="str">
        <f>"1824-002163"</f>
        <v>1824-002163</v>
      </c>
      <c r="F1023" t="str">
        <f>"TRANSPORT-C.W. SCOTT"</f>
        <v>TRANSPORT-C.W. SCOTT</v>
      </c>
      <c r="G1023" s="2">
        <v>670</v>
      </c>
      <c r="H1023" t="str">
        <f>"TRANSPORT-C.W. SCOTT"</f>
        <v>TRANSPORT-C.W. SCOTT</v>
      </c>
    </row>
    <row r="1024" spans="1:8" x14ac:dyDescent="0.25">
      <c r="A1024" t="s">
        <v>252</v>
      </c>
      <c r="B1024">
        <v>1219</v>
      </c>
      <c r="C1024" s="2">
        <v>375</v>
      </c>
      <c r="D1024" s="1">
        <v>43690</v>
      </c>
      <c r="E1024" t="str">
        <f>"190712"</f>
        <v>190712</v>
      </c>
      <c r="F1024" t="str">
        <f>"SUBSTITUTE COURT REPORTER"</f>
        <v>SUBSTITUTE COURT REPORTER</v>
      </c>
      <c r="G1024" s="2">
        <v>375</v>
      </c>
      <c r="H1024" t="str">
        <f>"SUBSTITUTE COURT REPORTER"</f>
        <v>SUBSTITUTE COURT REPORTER</v>
      </c>
    </row>
    <row r="1025" spans="1:8" x14ac:dyDescent="0.25">
      <c r="A1025" t="s">
        <v>253</v>
      </c>
      <c r="B1025">
        <v>1169</v>
      </c>
      <c r="C1025" s="2">
        <v>1587.5</v>
      </c>
      <c r="D1025" s="1">
        <v>43690</v>
      </c>
      <c r="E1025" t="str">
        <f>"201907310706"</f>
        <v>201907310706</v>
      </c>
      <c r="F1025" t="str">
        <f>"DETENTION HEARING"</f>
        <v>DETENTION HEARING</v>
      </c>
      <c r="G1025" s="2">
        <v>100</v>
      </c>
      <c r="H1025" t="str">
        <f>"DETENTION HEARING"</f>
        <v>DETENTION HEARING</v>
      </c>
    </row>
    <row r="1026" spans="1:8" x14ac:dyDescent="0.25">
      <c r="E1026" t="str">
        <f>"201907310742"</f>
        <v>201907310742</v>
      </c>
      <c r="F1026" t="str">
        <f>"19-19704"</f>
        <v>19-19704</v>
      </c>
      <c r="G1026" s="2">
        <v>75</v>
      </c>
      <c r="H1026" t="str">
        <f>"19-19704"</f>
        <v>19-19704</v>
      </c>
    </row>
    <row r="1027" spans="1:8" x14ac:dyDescent="0.25">
      <c r="E1027" t="str">
        <f>"201907310745"</f>
        <v>201907310745</v>
      </c>
      <c r="F1027" t="str">
        <f>"19-19465"</f>
        <v>19-19465</v>
      </c>
      <c r="G1027" s="2">
        <v>187.5</v>
      </c>
      <c r="H1027" t="str">
        <f>"19-19465"</f>
        <v>19-19465</v>
      </c>
    </row>
    <row r="1028" spans="1:8" x14ac:dyDescent="0.25">
      <c r="E1028" t="str">
        <f>"201907310747"</f>
        <v>201907310747</v>
      </c>
      <c r="F1028" t="str">
        <f>"DETENTION HEARING"</f>
        <v>DETENTION HEARING</v>
      </c>
      <c r="G1028" s="2">
        <v>100</v>
      </c>
      <c r="H1028" t="str">
        <f>"DETENTION HEARING"</f>
        <v>DETENTION HEARING</v>
      </c>
    </row>
    <row r="1029" spans="1:8" x14ac:dyDescent="0.25">
      <c r="E1029" t="str">
        <f>"201908060965"</f>
        <v>201908060965</v>
      </c>
      <c r="F1029" t="str">
        <f>"56 565"</f>
        <v>56 565</v>
      </c>
      <c r="G1029" s="2">
        <v>250</v>
      </c>
      <c r="H1029" t="str">
        <f>"56 565"</f>
        <v>56 565</v>
      </c>
    </row>
    <row r="1030" spans="1:8" x14ac:dyDescent="0.25">
      <c r="E1030" t="str">
        <f>"201908060966"</f>
        <v>201908060966</v>
      </c>
      <c r="F1030" t="str">
        <f>"56 451"</f>
        <v>56 451</v>
      </c>
      <c r="G1030" s="2">
        <v>250</v>
      </c>
      <c r="H1030" t="str">
        <f>"56 451"</f>
        <v>56 451</v>
      </c>
    </row>
    <row r="1031" spans="1:8" x14ac:dyDescent="0.25">
      <c r="E1031" t="str">
        <f>"201908060969"</f>
        <v>201908060969</v>
      </c>
      <c r="F1031" t="str">
        <f>"18-19321"</f>
        <v>18-19321</v>
      </c>
      <c r="G1031" s="2">
        <v>100</v>
      </c>
      <c r="H1031" t="str">
        <f>"18-19321"</f>
        <v>18-19321</v>
      </c>
    </row>
    <row r="1032" spans="1:8" x14ac:dyDescent="0.25">
      <c r="E1032" t="str">
        <f>"201908060970"</f>
        <v>201908060970</v>
      </c>
      <c r="F1032" t="str">
        <f>"18-18966"</f>
        <v>18-18966</v>
      </c>
      <c r="G1032" s="2">
        <v>100</v>
      </c>
      <c r="H1032" t="str">
        <f>"18-18966"</f>
        <v>18-18966</v>
      </c>
    </row>
    <row r="1033" spans="1:8" x14ac:dyDescent="0.25">
      <c r="E1033" t="str">
        <f>"201908060971"</f>
        <v>201908060971</v>
      </c>
      <c r="F1033" t="str">
        <f>"19-19704"</f>
        <v>19-19704</v>
      </c>
      <c r="G1033" s="2">
        <v>100</v>
      </c>
      <c r="H1033" t="str">
        <f>"19-19704"</f>
        <v>19-19704</v>
      </c>
    </row>
    <row r="1034" spans="1:8" x14ac:dyDescent="0.25">
      <c r="E1034" t="str">
        <f>"201908060972"</f>
        <v>201908060972</v>
      </c>
      <c r="F1034" t="str">
        <f>"19-19768"</f>
        <v>19-19768</v>
      </c>
      <c r="G1034" s="2">
        <v>100</v>
      </c>
      <c r="H1034" t="str">
        <f>"19-19768"</f>
        <v>19-19768</v>
      </c>
    </row>
    <row r="1035" spans="1:8" x14ac:dyDescent="0.25">
      <c r="E1035" t="str">
        <f>"201908060973"</f>
        <v>201908060973</v>
      </c>
      <c r="F1035" t="str">
        <f>"J-3170"</f>
        <v>J-3170</v>
      </c>
      <c r="G1035" s="2">
        <v>100</v>
      </c>
      <c r="H1035" t="str">
        <f>"J-3170"</f>
        <v>J-3170</v>
      </c>
    </row>
    <row r="1036" spans="1:8" x14ac:dyDescent="0.25">
      <c r="E1036" t="str">
        <f>"201908071002"</f>
        <v>201908071002</v>
      </c>
      <c r="F1036" t="str">
        <f>"4040692/925-352-589419002/19S0"</f>
        <v>4040692/925-352-589419002/19S0</v>
      </c>
      <c r="G1036" s="2">
        <v>125</v>
      </c>
      <c r="H1036" t="str">
        <f>"4040692/925-352-589419002/19S0"</f>
        <v>4040692/925-352-589419002/19S0</v>
      </c>
    </row>
    <row r="1037" spans="1:8" x14ac:dyDescent="0.25">
      <c r="A1037" t="s">
        <v>253</v>
      </c>
      <c r="B1037">
        <v>1244</v>
      </c>
      <c r="C1037" s="2">
        <v>1656.25</v>
      </c>
      <c r="D1037" s="1">
        <v>43704</v>
      </c>
      <c r="E1037" t="str">
        <f>"201908201146"</f>
        <v>201908201146</v>
      </c>
      <c r="F1037" t="str">
        <f>"55 509"</f>
        <v>55 509</v>
      </c>
      <c r="G1037" s="2">
        <v>250</v>
      </c>
      <c r="H1037" t="str">
        <f>"55 509"</f>
        <v>55 509</v>
      </c>
    </row>
    <row r="1038" spans="1:8" x14ac:dyDescent="0.25">
      <c r="E1038" t="str">
        <f>"201908201176"</f>
        <v>201908201176</v>
      </c>
      <c r="F1038" t="str">
        <f>"3070520176  925 346 1845 19001"</f>
        <v>3070520176  925 346 1845 19001</v>
      </c>
      <c r="G1038" s="2">
        <v>125</v>
      </c>
      <c r="H1038" t="str">
        <f>"3070520176  925 346 1845 19001"</f>
        <v>3070520176  925 346 1845 19001</v>
      </c>
    </row>
    <row r="1039" spans="1:8" x14ac:dyDescent="0.25">
      <c r="E1039" t="str">
        <f>"201908201182"</f>
        <v>201908201182</v>
      </c>
      <c r="F1039" t="str">
        <f>"307182019J 925-353-7272 19001"</f>
        <v>307182019J 925-353-7272 19001</v>
      </c>
      <c r="G1039" s="2">
        <v>125</v>
      </c>
      <c r="H1039" t="str">
        <f>"307182019J 925-353-7272 19001"</f>
        <v>307182019J 925-353-7272 19001</v>
      </c>
    </row>
    <row r="1040" spans="1:8" x14ac:dyDescent="0.25">
      <c r="E1040" t="str">
        <f>"201908201195"</f>
        <v>201908201195</v>
      </c>
      <c r="F1040" t="str">
        <f>"19-19548"</f>
        <v>19-19548</v>
      </c>
      <c r="G1040" s="2">
        <v>881.25</v>
      </c>
      <c r="H1040" t="str">
        <f>"19-19548"</f>
        <v>19-19548</v>
      </c>
    </row>
    <row r="1041" spans="1:8" x14ac:dyDescent="0.25">
      <c r="E1041" t="str">
        <f>"201908201205"</f>
        <v>201908201205</v>
      </c>
      <c r="F1041" t="str">
        <f>"18 18997"</f>
        <v>18 18997</v>
      </c>
      <c r="G1041" s="2">
        <v>100</v>
      </c>
      <c r="H1041" t="str">
        <f>"18 18997"</f>
        <v>18 18997</v>
      </c>
    </row>
    <row r="1042" spans="1:8" x14ac:dyDescent="0.25">
      <c r="E1042" t="str">
        <f>"201908201206"</f>
        <v>201908201206</v>
      </c>
      <c r="F1042" t="str">
        <f>"19 19465"</f>
        <v>19 19465</v>
      </c>
      <c r="G1042" s="2">
        <v>175</v>
      </c>
      <c r="H1042" t="str">
        <f>"19 19465"</f>
        <v>19 19465</v>
      </c>
    </row>
    <row r="1043" spans="1:8" x14ac:dyDescent="0.25">
      <c r="A1043" t="s">
        <v>254</v>
      </c>
      <c r="B1043">
        <v>83604</v>
      </c>
      <c r="C1043" s="2">
        <v>261.27999999999997</v>
      </c>
      <c r="D1043" s="1">
        <v>43703</v>
      </c>
      <c r="E1043" t="str">
        <f>"20124386"</f>
        <v>20124386</v>
      </c>
      <c r="F1043" t="str">
        <f>"ACCT#41472/PCT#1"</f>
        <v>ACCT#41472/PCT#1</v>
      </c>
      <c r="G1043" s="2">
        <v>25.23</v>
      </c>
      <c r="H1043" t="str">
        <f>"ACCT#41472/PCT#1"</f>
        <v>ACCT#41472/PCT#1</v>
      </c>
    </row>
    <row r="1044" spans="1:8" x14ac:dyDescent="0.25">
      <c r="E1044" t="str">
        <f>"20124473"</f>
        <v>20124473</v>
      </c>
      <c r="F1044" t="str">
        <f>"ACCT#45057/PCT#4"</f>
        <v>ACCT#45057/PCT#4</v>
      </c>
      <c r="G1044" s="2">
        <v>45.73</v>
      </c>
      <c r="H1044" t="str">
        <f>"ACCT#45057/PCT#4"</f>
        <v>ACCT#45057/PCT#4</v>
      </c>
    </row>
    <row r="1045" spans="1:8" x14ac:dyDescent="0.25">
      <c r="E1045" t="str">
        <f>"20124530"</f>
        <v>20124530</v>
      </c>
      <c r="F1045" t="str">
        <f>"INV 20124530"</f>
        <v>INV 20124530</v>
      </c>
      <c r="G1045" s="2">
        <v>55.32</v>
      </c>
      <c r="H1045" t="str">
        <f>"INV 20124530"</f>
        <v>INV 20124530</v>
      </c>
    </row>
    <row r="1046" spans="1:8" x14ac:dyDescent="0.25">
      <c r="E1046" t="str">
        <f>"20132136"</f>
        <v>20132136</v>
      </c>
      <c r="F1046" t="str">
        <f>"ACCT#S9549/PCT#1"</f>
        <v>ACCT#S9549/PCT#1</v>
      </c>
      <c r="G1046" s="2">
        <v>135</v>
      </c>
      <c r="H1046" t="str">
        <f>"ACCT#S9549/PCT#1"</f>
        <v>ACCT#S9549/PCT#1</v>
      </c>
    </row>
    <row r="1047" spans="1:8" x14ac:dyDescent="0.25">
      <c r="A1047" t="s">
        <v>255</v>
      </c>
      <c r="B1047">
        <v>83403</v>
      </c>
      <c r="C1047" s="2">
        <v>180</v>
      </c>
      <c r="D1047" s="1">
        <v>43689</v>
      </c>
      <c r="E1047" t="str">
        <f>"201908071034"</f>
        <v>201908071034</v>
      </c>
      <c r="F1047" t="str">
        <f>"TRAINNG REIMBURSEMENT"</f>
        <v>TRAINNG REIMBURSEMENT</v>
      </c>
      <c r="G1047" s="2">
        <v>180</v>
      </c>
      <c r="H1047" t="str">
        <f>"TRAINNG REIMBURSEMENT"</f>
        <v>TRAINNG REIMBURSEMENT</v>
      </c>
    </row>
    <row r="1048" spans="1:8" x14ac:dyDescent="0.25">
      <c r="A1048" t="s">
        <v>256</v>
      </c>
      <c r="B1048">
        <v>83404</v>
      </c>
      <c r="C1048" s="2">
        <v>75</v>
      </c>
      <c r="D1048" s="1">
        <v>43689</v>
      </c>
      <c r="E1048" t="str">
        <f>"13006"</f>
        <v>13006</v>
      </c>
      <c r="F1048" t="str">
        <f>"SERVICE"</f>
        <v>SERVICE</v>
      </c>
      <c r="G1048" s="2">
        <v>75</v>
      </c>
      <c r="H1048" t="str">
        <f>"SERVICE"</f>
        <v>SERVICE</v>
      </c>
    </row>
    <row r="1049" spans="1:8" x14ac:dyDescent="0.25">
      <c r="A1049" t="s">
        <v>257</v>
      </c>
      <c r="B1049">
        <v>1197</v>
      </c>
      <c r="C1049" s="2">
        <v>282.89999999999998</v>
      </c>
      <c r="D1049" s="1">
        <v>43690</v>
      </c>
      <c r="E1049" t="str">
        <f>"675208"</f>
        <v>675208</v>
      </c>
      <c r="F1049" t="str">
        <f>"ACCT#0900-98011130-001/PCT#3"</f>
        <v>ACCT#0900-98011130-001/PCT#3</v>
      </c>
      <c r="G1049" s="2">
        <v>14.72</v>
      </c>
      <c r="H1049" t="str">
        <f>"ACCT#0900-98011130-001/PCT#3"</f>
        <v>ACCT#0900-98011130-001/PCT#3</v>
      </c>
    </row>
    <row r="1050" spans="1:8" x14ac:dyDescent="0.25">
      <c r="E1050" t="str">
        <f>"675345"</f>
        <v>675345</v>
      </c>
      <c r="F1050" t="str">
        <f>"ACCT#0900-98011130-001/SIGN SH"</f>
        <v>ACCT#0900-98011130-001/SIGN SH</v>
      </c>
      <c r="G1050" s="2">
        <v>84.39</v>
      </c>
      <c r="H1050" t="str">
        <f>"ACCT#0900-98011130-001/SIGN SH"</f>
        <v>ACCT#0900-98011130-001/SIGN SH</v>
      </c>
    </row>
    <row r="1051" spans="1:8" x14ac:dyDescent="0.25">
      <c r="E1051" t="str">
        <f>"676005"</f>
        <v>676005</v>
      </c>
      <c r="F1051" t="str">
        <f>"ACCT#0900-98011130-001/PCT#3"</f>
        <v>ACCT#0900-98011130-001/PCT#3</v>
      </c>
      <c r="G1051" s="2">
        <v>104.16</v>
      </c>
      <c r="H1051" t="str">
        <f>"ACCT#0900-98011130-001/PCT#3"</f>
        <v>ACCT#0900-98011130-001/PCT#3</v>
      </c>
    </row>
    <row r="1052" spans="1:8" x14ac:dyDescent="0.25">
      <c r="E1052" t="str">
        <f>"676259"</f>
        <v>676259</v>
      </c>
      <c r="F1052" t="str">
        <f>"ACCT#0900-98011130-001/CCP WAT"</f>
        <v>ACCT#0900-98011130-001/CCP WAT</v>
      </c>
      <c r="G1052" s="2">
        <v>79.63</v>
      </c>
      <c r="H1052" t="str">
        <f>"ACCT#0900-98011130-001/CCP WAT"</f>
        <v>ACCT#0900-98011130-001/CCP WAT</v>
      </c>
    </row>
    <row r="1053" spans="1:8" x14ac:dyDescent="0.25">
      <c r="A1053" t="s">
        <v>257</v>
      </c>
      <c r="B1053">
        <v>1267</v>
      </c>
      <c r="C1053" s="2">
        <v>96.58</v>
      </c>
      <c r="D1053" s="1">
        <v>43704</v>
      </c>
      <c r="E1053" t="str">
        <f>"676703"</f>
        <v>676703</v>
      </c>
      <c r="F1053" t="str">
        <f>"ACCT#0900-98011130-001/CONCRET"</f>
        <v>ACCT#0900-98011130-001/CONCRET</v>
      </c>
      <c r="G1053" s="2">
        <v>11.23</v>
      </c>
      <c r="H1053" t="str">
        <f>"ACCT#0900-98011130-001/CONCRET"</f>
        <v>ACCT#0900-98011130-001/CONCRET</v>
      </c>
    </row>
    <row r="1054" spans="1:8" x14ac:dyDescent="0.25">
      <c r="E1054" t="str">
        <f>"676942"</f>
        <v>676942</v>
      </c>
      <c r="F1054" t="str">
        <f>"ACCT#0900-98011130-001/PCT#3"</f>
        <v>ACCT#0900-98011130-001/PCT#3</v>
      </c>
      <c r="G1054" s="2">
        <v>85.35</v>
      </c>
      <c r="H1054" t="str">
        <f>"ACCT#0900-98011130-001/PCT#3"</f>
        <v>ACCT#0900-98011130-001/PCT#3</v>
      </c>
    </row>
    <row r="1055" spans="1:8" x14ac:dyDescent="0.25">
      <c r="A1055" t="s">
        <v>258</v>
      </c>
      <c r="B1055">
        <v>83405</v>
      </c>
      <c r="C1055" s="2">
        <v>29034.22</v>
      </c>
      <c r="D1055" s="1">
        <v>43689</v>
      </c>
      <c r="E1055" t="str">
        <f>"12783"</f>
        <v>12783</v>
      </c>
      <c r="F1055" t="str">
        <f>"ABST FEE"</f>
        <v>ABST FEE</v>
      </c>
      <c r="G1055" s="2">
        <v>225</v>
      </c>
      <c r="H1055" t="str">
        <f>"ABST FEE"</f>
        <v>ABST FEE</v>
      </c>
    </row>
    <row r="1056" spans="1:8" x14ac:dyDescent="0.25">
      <c r="E1056" t="str">
        <f>"12790"</f>
        <v>12790</v>
      </c>
      <c r="F1056" t="str">
        <f>"ABST FEE"</f>
        <v>ABST FEE</v>
      </c>
      <c r="G1056" s="2">
        <v>225</v>
      </c>
      <c r="H1056" t="str">
        <f>"ABST FEE"</f>
        <v>ABST FEE</v>
      </c>
    </row>
    <row r="1057" spans="1:8" x14ac:dyDescent="0.25">
      <c r="E1057" t="str">
        <f>"12800"</f>
        <v>12800</v>
      </c>
      <c r="F1057" t="str">
        <f>"ABST FEE"</f>
        <v>ABST FEE</v>
      </c>
      <c r="G1057" s="2">
        <v>140</v>
      </c>
      <c r="H1057" t="str">
        <f>"ABST FEE"</f>
        <v>ABST FEE</v>
      </c>
    </row>
    <row r="1058" spans="1:8" x14ac:dyDescent="0.25">
      <c r="E1058" t="str">
        <f>"12872"</f>
        <v>12872</v>
      </c>
      <c r="F1058" t="str">
        <f>"ABST FEE"</f>
        <v>ABST FEE</v>
      </c>
      <c r="G1058" s="2">
        <v>225</v>
      </c>
      <c r="H1058" t="str">
        <f>"ABST FEE"</f>
        <v>ABST FEE</v>
      </c>
    </row>
    <row r="1059" spans="1:8" x14ac:dyDescent="0.25">
      <c r="E1059" t="str">
        <f>"12905"</f>
        <v>12905</v>
      </c>
      <c r="F1059" t="str">
        <f>"ABST FEE"</f>
        <v>ABST FEE</v>
      </c>
      <c r="G1059" s="2">
        <v>225</v>
      </c>
      <c r="H1059" t="str">
        <f>"ABST FEE"</f>
        <v>ABST FEE</v>
      </c>
    </row>
    <row r="1060" spans="1:8" x14ac:dyDescent="0.25">
      <c r="E1060" t="str">
        <f>"12959"</f>
        <v>12959</v>
      </c>
      <c r="F1060" t="str">
        <f>"ABST FEE-$225  SERVICE-$55"</f>
        <v>ABST FEE-$225  SERVICE-$55</v>
      </c>
      <c r="G1060" s="2">
        <v>280</v>
      </c>
      <c r="H1060" t="str">
        <f>"ABST FEE-$225  SERVICE-$55"</f>
        <v>ABST FEE-$225  SERVICE-$55</v>
      </c>
    </row>
    <row r="1061" spans="1:8" x14ac:dyDescent="0.25">
      <c r="E1061" t="str">
        <f>"12983"</f>
        <v>12983</v>
      </c>
      <c r="F1061" t="str">
        <f t="shared" ref="F1061:F1069" si="14">"ABST FEE"</f>
        <v>ABST FEE</v>
      </c>
      <c r="G1061" s="2">
        <v>225</v>
      </c>
      <c r="H1061" t="str">
        <f t="shared" ref="H1061:H1069" si="15">"ABST FEE"</f>
        <v>ABST FEE</v>
      </c>
    </row>
    <row r="1062" spans="1:8" x14ac:dyDescent="0.25">
      <c r="E1062" t="str">
        <f>"12986"</f>
        <v>12986</v>
      </c>
      <c r="F1062" t="str">
        <f t="shared" si="14"/>
        <v>ABST FEE</v>
      </c>
      <c r="G1062" s="2">
        <v>225</v>
      </c>
      <c r="H1062" t="str">
        <f t="shared" si="15"/>
        <v>ABST FEE</v>
      </c>
    </row>
    <row r="1063" spans="1:8" x14ac:dyDescent="0.25">
      <c r="E1063" t="str">
        <f>"13006"</f>
        <v>13006</v>
      </c>
      <c r="F1063" t="str">
        <f t="shared" si="14"/>
        <v>ABST FEE</v>
      </c>
      <c r="G1063" s="2">
        <v>225</v>
      </c>
      <c r="H1063" t="str">
        <f t="shared" si="15"/>
        <v>ABST FEE</v>
      </c>
    </row>
    <row r="1064" spans="1:8" x14ac:dyDescent="0.25">
      <c r="E1064" t="str">
        <f>"13009"</f>
        <v>13009</v>
      </c>
      <c r="F1064" t="str">
        <f t="shared" si="14"/>
        <v>ABST FEE</v>
      </c>
      <c r="G1064" s="2">
        <v>225</v>
      </c>
      <c r="H1064" t="str">
        <f t="shared" si="15"/>
        <v>ABST FEE</v>
      </c>
    </row>
    <row r="1065" spans="1:8" x14ac:dyDescent="0.25">
      <c r="E1065" t="str">
        <f>"13018"</f>
        <v>13018</v>
      </c>
      <c r="F1065" t="str">
        <f t="shared" si="14"/>
        <v>ABST FEE</v>
      </c>
      <c r="G1065" s="2">
        <v>225</v>
      </c>
      <c r="H1065" t="str">
        <f t="shared" si="15"/>
        <v>ABST FEE</v>
      </c>
    </row>
    <row r="1066" spans="1:8" x14ac:dyDescent="0.25">
      <c r="E1066" t="str">
        <f>"13057"</f>
        <v>13057</v>
      </c>
      <c r="F1066" t="str">
        <f t="shared" si="14"/>
        <v>ABST FEE</v>
      </c>
      <c r="G1066" s="2">
        <v>225</v>
      </c>
      <c r="H1066" t="str">
        <f t="shared" si="15"/>
        <v>ABST FEE</v>
      </c>
    </row>
    <row r="1067" spans="1:8" x14ac:dyDescent="0.25">
      <c r="E1067" t="str">
        <f>"13061"</f>
        <v>13061</v>
      </c>
      <c r="F1067" t="str">
        <f t="shared" si="14"/>
        <v>ABST FEE</v>
      </c>
      <c r="G1067" s="2">
        <v>225</v>
      </c>
      <c r="H1067" t="str">
        <f t="shared" si="15"/>
        <v>ABST FEE</v>
      </c>
    </row>
    <row r="1068" spans="1:8" x14ac:dyDescent="0.25">
      <c r="E1068" t="str">
        <f>"13086"</f>
        <v>13086</v>
      </c>
      <c r="F1068" t="str">
        <f t="shared" si="14"/>
        <v>ABST FEE</v>
      </c>
      <c r="G1068" s="2">
        <v>225</v>
      </c>
      <c r="H1068" t="str">
        <f t="shared" si="15"/>
        <v>ABST FEE</v>
      </c>
    </row>
    <row r="1069" spans="1:8" x14ac:dyDescent="0.25">
      <c r="E1069" t="str">
        <f>"13167"</f>
        <v>13167</v>
      </c>
      <c r="F1069" t="str">
        <f t="shared" si="14"/>
        <v>ABST FEE</v>
      </c>
      <c r="G1069" s="2">
        <v>225</v>
      </c>
      <c r="H1069" t="str">
        <f t="shared" si="15"/>
        <v>ABST FEE</v>
      </c>
    </row>
    <row r="1070" spans="1:8" x14ac:dyDescent="0.25">
      <c r="E1070" t="str">
        <f>"201908060919"</f>
        <v>201908060919</v>
      </c>
      <c r="F1070" t="str">
        <f>"COLL OF DELINQUENT TAXES-07/19"</f>
        <v>COLL OF DELINQUENT TAXES-07/19</v>
      </c>
      <c r="G1070" s="2">
        <v>25689.22</v>
      </c>
      <c r="H1070" t="str">
        <f>"COLL OF DELINQUENT TAXES-07/19"</f>
        <v>COLL OF DELINQUENT TAXES-07/19</v>
      </c>
    </row>
    <row r="1071" spans="1:8" x14ac:dyDescent="0.25">
      <c r="A1071" t="s">
        <v>258</v>
      </c>
      <c r="B1071">
        <v>83605</v>
      </c>
      <c r="C1071" s="2">
        <v>1933.2</v>
      </c>
      <c r="D1071" s="1">
        <v>43703</v>
      </c>
      <c r="E1071" t="str">
        <f>"12800  07/19/19"</f>
        <v>12800  07/19/19</v>
      </c>
      <c r="F1071" t="str">
        <f t="shared" ref="F1071:F1079" si="16">"ABST FEE"</f>
        <v>ABST FEE</v>
      </c>
      <c r="G1071" s="2">
        <v>85</v>
      </c>
      <c r="H1071" t="str">
        <f t="shared" ref="H1071:H1079" si="17">"ABST FEE"</f>
        <v>ABST FEE</v>
      </c>
    </row>
    <row r="1072" spans="1:8" x14ac:dyDescent="0.25">
      <c r="E1072" t="str">
        <f>"13025"</f>
        <v>13025</v>
      </c>
      <c r="F1072" t="str">
        <f t="shared" si="16"/>
        <v>ABST FEE</v>
      </c>
      <c r="G1072" s="2">
        <v>225</v>
      </c>
      <c r="H1072" t="str">
        <f t="shared" si="17"/>
        <v>ABST FEE</v>
      </c>
    </row>
    <row r="1073" spans="1:8" x14ac:dyDescent="0.25">
      <c r="E1073" t="str">
        <f>"13027"</f>
        <v>13027</v>
      </c>
      <c r="F1073" t="str">
        <f t="shared" si="16"/>
        <v>ABST FEE</v>
      </c>
      <c r="G1073" s="2">
        <v>225</v>
      </c>
      <c r="H1073" t="str">
        <f t="shared" si="17"/>
        <v>ABST FEE</v>
      </c>
    </row>
    <row r="1074" spans="1:8" x14ac:dyDescent="0.25">
      <c r="E1074" t="str">
        <f>"13030"</f>
        <v>13030</v>
      </c>
      <c r="F1074" t="str">
        <f t="shared" si="16"/>
        <v>ABST FEE</v>
      </c>
      <c r="G1074" s="2">
        <v>225</v>
      </c>
      <c r="H1074" t="str">
        <f t="shared" si="17"/>
        <v>ABST FEE</v>
      </c>
    </row>
    <row r="1075" spans="1:8" x14ac:dyDescent="0.25">
      <c r="E1075" t="str">
        <f>"13067"</f>
        <v>13067</v>
      </c>
      <c r="F1075" t="str">
        <f t="shared" si="16"/>
        <v>ABST FEE</v>
      </c>
      <c r="G1075" s="2">
        <v>225</v>
      </c>
      <c r="H1075" t="str">
        <f t="shared" si="17"/>
        <v>ABST FEE</v>
      </c>
    </row>
    <row r="1076" spans="1:8" x14ac:dyDescent="0.25">
      <c r="E1076" t="str">
        <f>"13068"</f>
        <v>13068</v>
      </c>
      <c r="F1076" t="str">
        <f t="shared" si="16"/>
        <v>ABST FEE</v>
      </c>
      <c r="G1076" s="2">
        <v>225</v>
      </c>
      <c r="H1076" t="str">
        <f t="shared" si="17"/>
        <v>ABST FEE</v>
      </c>
    </row>
    <row r="1077" spans="1:8" x14ac:dyDescent="0.25">
      <c r="E1077" t="str">
        <f>"13076"</f>
        <v>13076</v>
      </c>
      <c r="F1077" t="str">
        <f t="shared" si="16"/>
        <v>ABST FEE</v>
      </c>
      <c r="G1077" s="2">
        <v>225</v>
      </c>
      <c r="H1077" t="str">
        <f t="shared" si="17"/>
        <v>ABST FEE</v>
      </c>
    </row>
    <row r="1078" spans="1:8" x14ac:dyDescent="0.25">
      <c r="E1078" t="str">
        <f>"13104"</f>
        <v>13104</v>
      </c>
      <c r="F1078" t="str">
        <f t="shared" si="16"/>
        <v>ABST FEE</v>
      </c>
      <c r="G1078" s="2">
        <v>225</v>
      </c>
      <c r="H1078" t="str">
        <f t="shared" si="17"/>
        <v>ABST FEE</v>
      </c>
    </row>
    <row r="1079" spans="1:8" x14ac:dyDescent="0.25">
      <c r="E1079" t="str">
        <f>"13119"</f>
        <v>13119</v>
      </c>
      <c r="F1079" t="str">
        <f t="shared" si="16"/>
        <v>ABST FEE</v>
      </c>
      <c r="G1079" s="2">
        <v>225</v>
      </c>
      <c r="H1079" t="str">
        <f t="shared" si="17"/>
        <v>ABST FEE</v>
      </c>
    </row>
    <row r="1080" spans="1:8" x14ac:dyDescent="0.25">
      <c r="E1080" t="str">
        <f>"3242"</f>
        <v>3242</v>
      </c>
      <c r="F1080" t="str">
        <f>"ABST FEE/PRINTER FEE/AD LITEM"</f>
        <v>ABST FEE/PRINTER FEE/AD LITEM</v>
      </c>
      <c r="G1080" s="2">
        <v>48.2</v>
      </c>
      <c r="H1080" t="str">
        <f>"ABST FEE/PRINTER FEE/AD LITEM"</f>
        <v>ABST FEE/PRINTER FEE/AD LITEM</v>
      </c>
    </row>
    <row r="1081" spans="1:8" x14ac:dyDescent="0.25">
      <c r="A1081" t="s">
        <v>259</v>
      </c>
      <c r="B1081">
        <v>83406</v>
      </c>
      <c r="C1081" s="2">
        <v>794.05</v>
      </c>
      <c r="D1081" s="1">
        <v>43689</v>
      </c>
      <c r="E1081" t="str">
        <f>"59445304"</f>
        <v>59445304</v>
      </c>
      <c r="F1081" t="str">
        <f>"INV 59445304"</f>
        <v>INV 59445304</v>
      </c>
      <c r="G1081" s="2">
        <v>794.05</v>
      </c>
      <c r="H1081" t="str">
        <f>"INV 59445304"</f>
        <v>INV 59445304</v>
      </c>
    </row>
    <row r="1082" spans="1:8" x14ac:dyDescent="0.25">
      <c r="A1082" t="s">
        <v>260</v>
      </c>
      <c r="B1082">
        <v>83606</v>
      </c>
      <c r="C1082" s="2">
        <v>1128.8900000000001</v>
      </c>
      <c r="D1082" s="1">
        <v>43703</v>
      </c>
      <c r="E1082" t="str">
        <f>"201908201169"</f>
        <v>201908201169</v>
      </c>
      <c r="F1082" t="str">
        <f>"INDIGENT HEALTH"</f>
        <v>INDIGENT HEALTH</v>
      </c>
      <c r="G1082" s="2">
        <v>1128.8900000000001</v>
      </c>
      <c r="H1082" t="str">
        <f>"INDIGENT HEALTH"</f>
        <v>INDIGENT HEALTH</v>
      </c>
    </row>
    <row r="1083" spans="1:8" x14ac:dyDescent="0.25">
      <c r="E1083" t="str">
        <f>""</f>
        <v/>
      </c>
      <c r="F1083" t="str">
        <f>""</f>
        <v/>
      </c>
      <c r="H1083" t="str">
        <f>"INDIGENT HEALTH"</f>
        <v>INDIGENT HEALTH</v>
      </c>
    </row>
    <row r="1084" spans="1:8" x14ac:dyDescent="0.25">
      <c r="E1084" t="str">
        <f>""</f>
        <v/>
      </c>
      <c r="F1084" t="str">
        <f>""</f>
        <v/>
      </c>
      <c r="H1084" t="str">
        <f>"INDIGENT HEALTH"</f>
        <v>INDIGENT HEALTH</v>
      </c>
    </row>
    <row r="1085" spans="1:8" x14ac:dyDescent="0.25">
      <c r="A1085" t="s">
        <v>261</v>
      </c>
      <c r="B1085">
        <v>1179</v>
      </c>
      <c r="C1085" s="2">
        <v>3000</v>
      </c>
      <c r="D1085" s="1">
        <v>43690</v>
      </c>
      <c r="E1085" t="str">
        <f>"201908060953"</f>
        <v>201908060953</v>
      </c>
      <c r="F1085" t="str">
        <f>"SURG SVC JULY18 22 25 29 AUG1"</f>
        <v>SURG SVC JULY18 22 25 29 AUG1</v>
      </c>
      <c r="G1085" s="2">
        <v>3000</v>
      </c>
      <c r="H1085" t="str">
        <f>"SURG SVC JULY18 22 25 29 AUG1"</f>
        <v>SURG SVC JULY18 22 25 29 AUG1</v>
      </c>
    </row>
    <row r="1086" spans="1:8" x14ac:dyDescent="0.25">
      <c r="A1086" t="s">
        <v>261</v>
      </c>
      <c r="B1086">
        <v>1255</v>
      </c>
      <c r="C1086" s="2">
        <v>2000</v>
      </c>
      <c r="D1086" s="1">
        <v>43704</v>
      </c>
      <c r="E1086" t="str">
        <f>"201908211231"</f>
        <v>201908211231</v>
      </c>
      <c r="F1086" t="str">
        <f>"SURG SVCS AUG 8 12 15 19 2019"</f>
        <v>SURG SVCS AUG 8 12 15 19 2019</v>
      </c>
      <c r="G1086" s="2">
        <v>2000</v>
      </c>
      <c r="H1086" t="str">
        <f>"SURG SVCS AUG 8 12 15 19 2019"</f>
        <v>SURG SVCS AUG 8 12 15 19 2019</v>
      </c>
    </row>
    <row r="1087" spans="1:8" x14ac:dyDescent="0.25">
      <c r="A1087" t="s">
        <v>262</v>
      </c>
      <c r="B1087">
        <v>83607</v>
      </c>
      <c r="C1087" s="2">
        <v>9780</v>
      </c>
      <c r="D1087" s="1">
        <v>43703</v>
      </c>
      <c r="E1087" t="str">
        <f>"11877"</f>
        <v>11877</v>
      </c>
      <c r="F1087" t="str">
        <f>"Mentalix Renewal"</f>
        <v>Mentalix Renewal</v>
      </c>
      <c r="G1087" s="2">
        <v>9780</v>
      </c>
      <c r="H1087" t="str">
        <f>"Mentalix Renewal"</f>
        <v>Mentalix Renewal</v>
      </c>
    </row>
    <row r="1088" spans="1:8" x14ac:dyDescent="0.25">
      <c r="A1088" t="s">
        <v>263</v>
      </c>
      <c r="B1088">
        <v>83407</v>
      </c>
      <c r="C1088" s="2">
        <v>95</v>
      </c>
      <c r="D1088" s="1">
        <v>43689</v>
      </c>
      <c r="E1088" t="str">
        <f>"201907230649"</f>
        <v>201907230649</v>
      </c>
      <c r="F1088" t="str">
        <f>"PER DIEM"</f>
        <v>PER DIEM</v>
      </c>
      <c r="G1088" s="2">
        <v>95</v>
      </c>
    </row>
    <row r="1089" spans="1:8" x14ac:dyDescent="0.25">
      <c r="A1089" t="s">
        <v>264</v>
      </c>
      <c r="B1089">
        <v>83408</v>
      </c>
      <c r="C1089" s="2">
        <v>1300</v>
      </c>
      <c r="D1089" s="1">
        <v>43689</v>
      </c>
      <c r="E1089" t="str">
        <f>"201908071029"</f>
        <v>201908071029</v>
      </c>
      <c r="F1089" t="str">
        <f>"CAUSE#17-18617/MEDIATION SVCS"</f>
        <v>CAUSE#17-18617/MEDIATION SVCS</v>
      </c>
      <c r="G1089" s="2">
        <v>1300</v>
      </c>
      <c r="H1089" t="str">
        <f>"CAUSE#17-18617/MEDIATION SVCS"</f>
        <v>CAUSE#17-18617/MEDIATION SVCS</v>
      </c>
    </row>
    <row r="1090" spans="1:8" x14ac:dyDescent="0.25">
      <c r="A1090" t="s">
        <v>265</v>
      </c>
      <c r="B1090">
        <v>83409</v>
      </c>
      <c r="C1090" s="2">
        <v>2455.0500000000002</v>
      </c>
      <c r="D1090" s="1">
        <v>43689</v>
      </c>
      <c r="E1090" t="str">
        <f>"20069"</f>
        <v>20069</v>
      </c>
      <c r="F1090" t="str">
        <f>"FREIGHT SALES/PCT#2"</f>
        <v>FREIGHT SALES/PCT#2</v>
      </c>
      <c r="G1090" s="2">
        <v>1471.15</v>
      </c>
      <c r="H1090" t="str">
        <f>"FREIGHT SALES/PCT#2"</f>
        <v>FREIGHT SALES/PCT#2</v>
      </c>
    </row>
    <row r="1091" spans="1:8" x14ac:dyDescent="0.25">
      <c r="E1091" t="str">
        <f>"20128"</f>
        <v>20128</v>
      </c>
      <c r="F1091" t="str">
        <f>"FREIGHT SALES/PCT#2"</f>
        <v>FREIGHT SALES/PCT#2</v>
      </c>
      <c r="G1091" s="2">
        <v>983.9</v>
      </c>
      <c r="H1091" t="str">
        <f>"FREIGHT SALES/PCT#2"</f>
        <v>FREIGHT SALES/PCT#2</v>
      </c>
    </row>
    <row r="1092" spans="1:8" x14ac:dyDescent="0.25">
      <c r="A1092" t="s">
        <v>265</v>
      </c>
      <c r="B1092">
        <v>83608</v>
      </c>
      <c r="C1092" s="2">
        <v>3029.75</v>
      </c>
      <c r="D1092" s="1">
        <v>43703</v>
      </c>
      <c r="E1092" t="str">
        <f>"20179"</f>
        <v>20179</v>
      </c>
      <c r="F1092" t="str">
        <f>"FREIGHT SALES/PCT#2"</f>
        <v>FREIGHT SALES/PCT#2</v>
      </c>
      <c r="G1092" s="2">
        <v>2415.0500000000002</v>
      </c>
      <c r="H1092" t="str">
        <f>"FREIGHT SALES/PCT#2"</f>
        <v>FREIGHT SALES/PCT#2</v>
      </c>
    </row>
    <row r="1093" spans="1:8" x14ac:dyDescent="0.25">
      <c r="E1093" t="str">
        <f>"20217"</f>
        <v>20217</v>
      </c>
      <c r="F1093" t="str">
        <f>"FREIGHT SALES/PCT#2"</f>
        <v>FREIGHT SALES/PCT#2</v>
      </c>
      <c r="G1093" s="2">
        <v>614.70000000000005</v>
      </c>
      <c r="H1093" t="str">
        <f>"FREIGHT SALES/PCT#2"</f>
        <v>FREIGHT SALES/PCT#2</v>
      </c>
    </row>
    <row r="1094" spans="1:8" x14ac:dyDescent="0.25">
      <c r="A1094" t="s">
        <v>266</v>
      </c>
      <c r="B1094">
        <v>83508</v>
      </c>
      <c r="C1094" s="2">
        <v>6</v>
      </c>
      <c r="D1094" s="1">
        <v>43699</v>
      </c>
      <c r="E1094" t="str">
        <f>"201908221232"</f>
        <v>201908221232</v>
      </c>
      <c r="F1094" t="str">
        <f>"Miscellaneous"</f>
        <v>Miscellaneous</v>
      </c>
      <c r="G1094" s="2">
        <v>6</v>
      </c>
      <c r="H1094" t="str">
        <f>"MARIE A FISHER"</f>
        <v>MARIE A FISHER</v>
      </c>
    </row>
    <row r="1095" spans="1:8" x14ac:dyDescent="0.25">
      <c r="A1095" t="s">
        <v>267</v>
      </c>
      <c r="B1095">
        <v>83509</v>
      </c>
      <c r="C1095" s="2">
        <v>6</v>
      </c>
      <c r="D1095" s="1">
        <v>43699</v>
      </c>
      <c r="E1095" t="str">
        <f>"201908221233"</f>
        <v>201908221233</v>
      </c>
      <c r="F1095" t="str">
        <f>"Miscellaneou"</f>
        <v>Miscellaneou</v>
      </c>
      <c r="G1095" s="2">
        <v>6</v>
      </c>
      <c r="H1095" t="str">
        <f>"LUDIVINA MALINA"</f>
        <v>LUDIVINA MALINA</v>
      </c>
    </row>
    <row r="1096" spans="1:8" x14ac:dyDescent="0.25">
      <c r="A1096" t="s">
        <v>268</v>
      </c>
      <c r="B1096">
        <v>83510</v>
      </c>
      <c r="C1096" s="2">
        <v>6</v>
      </c>
      <c r="D1096" s="1">
        <v>43699</v>
      </c>
      <c r="E1096" t="str">
        <f>"201908221234"</f>
        <v>201908221234</v>
      </c>
      <c r="F1096" t="str">
        <f>"Miscellaneou"</f>
        <v>Miscellaneou</v>
      </c>
      <c r="G1096" s="2">
        <v>6</v>
      </c>
      <c r="H1096" t="str">
        <f>"ROBERT M GIBSON"</f>
        <v>ROBERT M GIBSON</v>
      </c>
    </row>
    <row r="1097" spans="1:8" x14ac:dyDescent="0.25">
      <c r="A1097" t="s">
        <v>269</v>
      </c>
      <c r="B1097">
        <v>83511</v>
      </c>
      <c r="C1097" s="2">
        <v>6</v>
      </c>
      <c r="D1097" s="1">
        <v>43699</v>
      </c>
      <c r="E1097" t="str">
        <f>"201908221235"</f>
        <v>201908221235</v>
      </c>
      <c r="F1097" t="str">
        <f>"Miscellaneou"</f>
        <v>Miscellaneou</v>
      </c>
      <c r="G1097" s="2">
        <v>6</v>
      </c>
      <c r="H1097" t="str">
        <f>"TONDALIER OWENS"</f>
        <v>TONDALIER OWENS</v>
      </c>
    </row>
    <row r="1098" spans="1:8" x14ac:dyDescent="0.25">
      <c r="A1098" t="s">
        <v>270</v>
      </c>
      <c r="B1098">
        <v>83512</v>
      </c>
      <c r="C1098" s="2">
        <v>6</v>
      </c>
      <c r="D1098" s="1">
        <v>43699</v>
      </c>
      <c r="E1098" t="str">
        <f>"201908221236"</f>
        <v>201908221236</v>
      </c>
      <c r="F1098" t="str">
        <f>"Miscel"</f>
        <v>Miscel</v>
      </c>
      <c r="G1098" s="2">
        <v>6</v>
      </c>
    </row>
    <row r="1099" spans="1:8" x14ac:dyDescent="0.25">
      <c r="A1099" t="s">
        <v>271</v>
      </c>
      <c r="B1099">
        <v>83513</v>
      </c>
      <c r="C1099" s="2">
        <v>6</v>
      </c>
      <c r="D1099" s="1">
        <v>43699</v>
      </c>
      <c r="E1099" t="str">
        <f>"201908221237"</f>
        <v>201908221237</v>
      </c>
      <c r="F1099" t="str">
        <f>"Miscellaneo"</f>
        <v>Miscellaneo</v>
      </c>
      <c r="G1099" s="2">
        <v>6</v>
      </c>
      <c r="H1099" t="str">
        <f>"JULIANNE SHIRLEY"</f>
        <v>JULIANNE SHIRLEY</v>
      </c>
    </row>
    <row r="1100" spans="1:8" x14ac:dyDescent="0.25">
      <c r="A1100" t="s">
        <v>272</v>
      </c>
      <c r="B1100">
        <v>83667</v>
      </c>
      <c r="C1100" s="2">
        <v>12</v>
      </c>
      <c r="D1100" s="1">
        <v>43703</v>
      </c>
      <c r="E1100" t="str">
        <f>"201908261245"</f>
        <v>201908261245</v>
      </c>
      <c r="F1100" t="str">
        <f>"Mi"</f>
        <v>Mi</v>
      </c>
      <c r="G1100" s="2">
        <v>12</v>
      </c>
      <c r="H1100" t="str">
        <f>"Child Protective Services"</f>
        <v>Child Protective Services</v>
      </c>
    </row>
    <row r="1101" spans="1:8" x14ac:dyDescent="0.25">
      <c r="A1101" t="s">
        <v>273</v>
      </c>
      <c r="B1101">
        <v>83668</v>
      </c>
      <c r="C1101" s="2">
        <v>276</v>
      </c>
      <c r="D1101" s="1">
        <v>43703</v>
      </c>
      <c r="E1101" t="str">
        <f>"201908261246"</f>
        <v>201908261246</v>
      </c>
      <c r="F1101" t="str">
        <f>""</f>
        <v/>
      </c>
      <c r="G1101" s="2">
        <v>276</v>
      </c>
      <c r="H1101" t="str">
        <f>"COURT APPOINTED SPECIAL ADVOCA"</f>
        <v>COURT APPOINTED SPECIAL ADVOCA</v>
      </c>
    </row>
    <row r="1102" spans="1:8" x14ac:dyDescent="0.25">
      <c r="A1102" t="s">
        <v>274</v>
      </c>
      <c r="B1102">
        <v>83669</v>
      </c>
      <c r="C1102" s="2">
        <v>396</v>
      </c>
      <c r="D1102" s="1">
        <v>43703</v>
      </c>
      <c r="E1102" t="str">
        <f>"201908261247"</f>
        <v>201908261247</v>
      </c>
      <c r="F1102" t="str">
        <f>"M"</f>
        <v>M</v>
      </c>
      <c r="G1102" s="2">
        <v>396</v>
      </c>
      <c r="H1102" t="str">
        <f>"Children's Advocacy Center"</f>
        <v>Children's Advocacy Center</v>
      </c>
    </row>
    <row r="1103" spans="1:8" x14ac:dyDescent="0.25">
      <c r="A1103" t="s">
        <v>275</v>
      </c>
      <c r="B1103">
        <v>83670</v>
      </c>
      <c r="C1103" s="2">
        <v>432</v>
      </c>
      <c r="D1103" s="1">
        <v>43703</v>
      </c>
      <c r="E1103" t="str">
        <f>"201908261248"</f>
        <v>201908261248</v>
      </c>
      <c r="F1103" t="str">
        <f>"Miscell"</f>
        <v>Miscell</v>
      </c>
      <c r="G1103" s="2">
        <v>432</v>
      </c>
      <c r="H1103" t="str">
        <f>"Family Crisis Center"</f>
        <v>Family Crisis Center</v>
      </c>
    </row>
    <row r="1104" spans="1:8" x14ac:dyDescent="0.25">
      <c r="A1104" t="s">
        <v>276</v>
      </c>
      <c r="B1104">
        <v>83671</v>
      </c>
      <c r="C1104" s="2">
        <v>6</v>
      </c>
      <c r="D1104" s="1">
        <v>43703</v>
      </c>
      <c r="E1104" t="str">
        <f>"201908261249"</f>
        <v>201908261249</v>
      </c>
      <c r="F1104" t="str">
        <f>"Miscellan"</f>
        <v>Miscellan</v>
      </c>
      <c r="G1104" s="2">
        <v>6</v>
      </c>
      <c r="H1104" t="str">
        <f>"JANA RAE MOUSSETTE"</f>
        <v>JANA RAE MOUSSETTE</v>
      </c>
    </row>
    <row r="1105" spans="1:8" x14ac:dyDescent="0.25">
      <c r="A1105" t="s">
        <v>277</v>
      </c>
      <c r="B1105">
        <v>83672</v>
      </c>
      <c r="C1105" s="2">
        <v>6</v>
      </c>
      <c r="D1105" s="1">
        <v>43703</v>
      </c>
      <c r="E1105" t="str">
        <f>"201908261250"</f>
        <v>201908261250</v>
      </c>
      <c r="F1105" t="str">
        <f>"Miscella"</f>
        <v>Miscella</v>
      </c>
      <c r="G1105" s="2">
        <v>6</v>
      </c>
      <c r="H1105" t="str">
        <f>"DOUGLAS LYNN BARKER"</f>
        <v>DOUGLAS LYNN BARKER</v>
      </c>
    </row>
    <row r="1106" spans="1:8" x14ac:dyDescent="0.25">
      <c r="A1106" t="s">
        <v>278</v>
      </c>
      <c r="B1106">
        <v>83673</v>
      </c>
      <c r="C1106" s="2">
        <v>6</v>
      </c>
      <c r="D1106" s="1">
        <v>43703</v>
      </c>
      <c r="E1106" t="str">
        <f>"201908261251"</f>
        <v>201908261251</v>
      </c>
      <c r="F1106" t="str">
        <f>"Miscellaneous"</f>
        <v>Miscellaneous</v>
      </c>
      <c r="G1106" s="2">
        <v>6</v>
      </c>
      <c r="H1106" t="str">
        <f>"JAY LYNN MOOSE"</f>
        <v>JAY LYNN MOOSE</v>
      </c>
    </row>
    <row r="1107" spans="1:8" x14ac:dyDescent="0.25">
      <c r="A1107" t="s">
        <v>279</v>
      </c>
      <c r="B1107">
        <v>83674</v>
      </c>
      <c r="C1107" s="2">
        <v>6</v>
      </c>
      <c r="D1107" s="1">
        <v>43703</v>
      </c>
      <c r="E1107" t="str">
        <f>"201908261252"</f>
        <v>201908261252</v>
      </c>
      <c r="F1107" t="str">
        <f>"Miscell"</f>
        <v>Miscell</v>
      </c>
      <c r="G1107" s="2">
        <v>6</v>
      </c>
      <c r="H1107" t="str">
        <f>"MICHAEL JOSEPH DODGE"</f>
        <v>MICHAEL JOSEPH DODGE</v>
      </c>
    </row>
    <row r="1108" spans="1:8" x14ac:dyDescent="0.25">
      <c r="A1108" t="s">
        <v>280</v>
      </c>
      <c r="B1108">
        <v>83675</v>
      </c>
      <c r="C1108" s="2">
        <v>6</v>
      </c>
      <c r="D1108" s="1">
        <v>43703</v>
      </c>
      <c r="E1108" t="str">
        <f>"201908261253"</f>
        <v>201908261253</v>
      </c>
      <c r="F1108" t="str">
        <f>"Miscellaneous"</f>
        <v>Miscellaneous</v>
      </c>
      <c r="G1108" s="2">
        <v>6</v>
      </c>
      <c r="H1108" t="str">
        <f>"PAULA BENNETT"</f>
        <v>PAULA BENNETT</v>
      </c>
    </row>
    <row r="1109" spans="1:8" x14ac:dyDescent="0.25">
      <c r="A1109" t="s">
        <v>281</v>
      </c>
      <c r="B1109">
        <v>83676</v>
      </c>
      <c r="C1109" s="2">
        <v>6</v>
      </c>
      <c r="D1109" s="1">
        <v>43703</v>
      </c>
      <c r="E1109" t="str">
        <f>"201908261254"</f>
        <v>201908261254</v>
      </c>
      <c r="F1109" t="str">
        <f>"Miscellane"</f>
        <v>Miscellane</v>
      </c>
      <c r="G1109" s="2">
        <v>6</v>
      </c>
      <c r="H1109" t="str">
        <f>"RONALD DEAN MOORE"</f>
        <v>RONALD DEAN MOORE</v>
      </c>
    </row>
    <row r="1110" spans="1:8" x14ac:dyDescent="0.25">
      <c r="A1110" t="s">
        <v>282</v>
      </c>
      <c r="B1110">
        <v>83677</v>
      </c>
      <c r="C1110" s="2">
        <v>6</v>
      </c>
      <c r="D1110" s="1">
        <v>43703</v>
      </c>
      <c r="E1110" t="str">
        <f>"201908261255"</f>
        <v>201908261255</v>
      </c>
      <c r="F1110" t="str">
        <f>"Miscell"</f>
        <v>Miscell</v>
      </c>
      <c r="G1110" s="2">
        <v>6</v>
      </c>
      <c r="H1110" t="str">
        <f>"LESLIE JEAN FRITSCHE"</f>
        <v>LESLIE JEAN FRITSCHE</v>
      </c>
    </row>
    <row r="1111" spans="1:8" x14ac:dyDescent="0.25">
      <c r="A1111" t="s">
        <v>283</v>
      </c>
      <c r="B1111">
        <v>83678</v>
      </c>
      <c r="C1111" s="2">
        <v>6</v>
      </c>
      <c r="D1111" s="1">
        <v>43703</v>
      </c>
      <c r="E1111" t="str">
        <f>"201908261256"</f>
        <v>201908261256</v>
      </c>
      <c r="F1111" t="str">
        <f>"Mi"</f>
        <v>Mi</v>
      </c>
      <c r="G1111" s="2">
        <v>6</v>
      </c>
      <c r="H1111" t="str">
        <f>"CARMEN VALENCIA HERNANDEZ"</f>
        <v>CARMEN VALENCIA HERNANDEZ</v>
      </c>
    </row>
    <row r="1112" spans="1:8" x14ac:dyDescent="0.25">
      <c r="A1112" t="s">
        <v>284</v>
      </c>
      <c r="B1112">
        <v>83679</v>
      </c>
      <c r="C1112" s="2">
        <v>6</v>
      </c>
      <c r="D1112" s="1">
        <v>43703</v>
      </c>
      <c r="E1112" t="str">
        <f>"201908261257"</f>
        <v>201908261257</v>
      </c>
      <c r="F1112" t="str">
        <f>"Miscellane"</f>
        <v>Miscellane</v>
      </c>
      <c r="G1112" s="2">
        <v>6</v>
      </c>
      <c r="H1112" t="str">
        <f>"GUY DAVID BITTICK"</f>
        <v>GUY DAVID BITTICK</v>
      </c>
    </row>
    <row r="1113" spans="1:8" x14ac:dyDescent="0.25">
      <c r="A1113" t="s">
        <v>285</v>
      </c>
      <c r="B1113">
        <v>83680</v>
      </c>
      <c r="C1113" s="2">
        <v>6</v>
      </c>
      <c r="D1113" s="1">
        <v>43703</v>
      </c>
      <c r="E1113" t="str">
        <f>"201908261258"</f>
        <v>201908261258</v>
      </c>
      <c r="F1113" t="str">
        <f>"Miscell"</f>
        <v>Miscell</v>
      </c>
      <c r="G1113" s="2">
        <v>6</v>
      </c>
      <c r="H1113" t="str">
        <f>"ORALIA GALVAN YBARBO"</f>
        <v>ORALIA GALVAN YBARBO</v>
      </c>
    </row>
    <row r="1114" spans="1:8" x14ac:dyDescent="0.25">
      <c r="A1114" t="s">
        <v>286</v>
      </c>
      <c r="B1114">
        <v>83681</v>
      </c>
      <c r="C1114" s="2">
        <v>6</v>
      </c>
      <c r="D1114" s="1">
        <v>43703</v>
      </c>
      <c r="E1114" t="str">
        <f>"201908261259"</f>
        <v>201908261259</v>
      </c>
      <c r="F1114" t="str">
        <f>"Mis"</f>
        <v>Mis</v>
      </c>
      <c r="G1114" s="2">
        <v>6</v>
      </c>
      <c r="H1114" t="str">
        <f>"CHRISTOPHER LEE ANDERSON"</f>
        <v>CHRISTOPHER LEE ANDERSON</v>
      </c>
    </row>
    <row r="1115" spans="1:8" x14ac:dyDescent="0.25">
      <c r="A1115" t="s">
        <v>287</v>
      </c>
      <c r="B1115">
        <v>83682</v>
      </c>
      <c r="C1115" s="2">
        <v>6</v>
      </c>
      <c r="D1115" s="1">
        <v>43703</v>
      </c>
      <c r="E1115" t="str">
        <f>"201908261260"</f>
        <v>201908261260</v>
      </c>
      <c r="F1115" t="str">
        <f>"Miscell"</f>
        <v>Miscell</v>
      </c>
      <c r="G1115" s="2">
        <v>6</v>
      </c>
      <c r="H1115" t="str">
        <f>"HALEY MARIE ALBRECHT"</f>
        <v>HALEY MARIE ALBRECHT</v>
      </c>
    </row>
    <row r="1116" spans="1:8" x14ac:dyDescent="0.25">
      <c r="A1116" t="s">
        <v>288</v>
      </c>
      <c r="B1116">
        <v>83683</v>
      </c>
      <c r="C1116" s="2">
        <v>6</v>
      </c>
      <c r="D1116" s="1">
        <v>43703</v>
      </c>
      <c r="E1116" t="str">
        <f>"201908261261"</f>
        <v>201908261261</v>
      </c>
      <c r="F1116" t="str">
        <f>""</f>
        <v/>
      </c>
      <c r="G1116" s="2">
        <v>6</v>
      </c>
      <c r="H1116" t="str">
        <f>"CRYSTAL JANNETTE RODRIGUEZ ROD"</f>
        <v>CRYSTAL JANNETTE RODRIGUEZ ROD</v>
      </c>
    </row>
    <row r="1117" spans="1:8" x14ac:dyDescent="0.25">
      <c r="A1117" t="s">
        <v>289</v>
      </c>
      <c r="B1117">
        <v>83684</v>
      </c>
      <c r="C1117" s="2">
        <v>6</v>
      </c>
      <c r="D1117" s="1">
        <v>43703</v>
      </c>
      <c r="E1117" t="str">
        <f>"201908261262"</f>
        <v>201908261262</v>
      </c>
      <c r="F1117" t="str">
        <f>"Miscel"</f>
        <v>Miscel</v>
      </c>
      <c r="G1117" s="2">
        <v>6</v>
      </c>
      <c r="H1117" t="str">
        <f>"SCOTT MATTHEW WRATTEN"</f>
        <v>SCOTT MATTHEW WRATTEN</v>
      </c>
    </row>
    <row r="1118" spans="1:8" x14ac:dyDescent="0.25">
      <c r="A1118" t="s">
        <v>290</v>
      </c>
      <c r="B1118">
        <v>83685</v>
      </c>
      <c r="C1118" s="2">
        <v>6</v>
      </c>
      <c r="D1118" s="1">
        <v>43703</v>
      </c>
      <c r="E1118" t="str">
        <f>"201908261263"</f>
        <v>201908261263</v>
      </c>
      <c r="F1118" t="str">
        <f>"Miscella"</f>
        <v>Miscella</v>
      </c>
      <c r="G1118" s="2">
        <v>6</v>
      </c>
      <c r="H1118" t="str">
        <f>"DANIEL JAMES WILLIS"</f>
        <v>DANIEL JAMES WILLIS</v>
      </c>
    </row>
    <row r="1119" spans="1:8" x14ac:dyDescent="0.25">
      <c r="A1119" t="s">
        <v>291</v>
      </c>
      <c r="B1119">
        <v>83686</v>
      </c>
      <c r="C1119" s="2">
        <v>6</v>
      </c>
      <c r="D1119" s="1">
        <v>43703</v>
      </c>
      <c r="E1119" t="str">
        <f>"201908261264"</f>
        <v>201908261264</v>
      </c>
      <c r="F1119" t="str">
        <f>"Miscellane"</f>
        <v>Miscellane</v>
      </c>
      <c r="G1119" s="2">
        <v>6</v>
      </c>
      <c r="H1119" t="str">
        <f>"DANIEL ARTHUR COX"</f>
        <v>DANIEL ARTHUR COX</v>
      </c>
    </row>
    <row r="1120" spans="1:8" x14ac:dyDescent="0.25">
      <c r="A1120" t="s">
        <v>292</v>
      </c>
      <c r="B1120">
        <v>83687</v>
      </c>
      <c r="C1120" s="2">
        <v>6</v>
      </c>
      <c r="D1120" s="1">
        <v>43703</v>
      </c>
      <c r="E1120" t="str">
        <f>"201908261265"</f>
        <v>201908261265</v>
      </c>
      <c r="F1120" t="str">
        <f>"Miscellaneous"</f>
        <v>Miscellaneous</v>
      </c>
      <c r="G1120" s="2">
        <v>6</v>
      </c>
      <c r="H1120" t="str">
        <f>"MARY FOLK MAST"</f>
        <v>MARY FOLK MAST</v>
      </c>
    </row>
    <row r="1121" spans="1:8" x14ac:dyDescent="0.25">
      <c r="A1121" t="s">
        <v>293</v>
      </c>
      <c r="B1121">
        <v>83688</v>
      </c>
      <c r="C1121" s="2">
        <v>6</v>
      </c>
      <c r="D1121" s="1">
        <v>43703</v>
      </c>
      <c r="E1121" t="str">
        <f>"201908261266"</f>
        <v>201908261266</v>
      </c>
      <c r="F1121" t="str">
        <f>"Misce"</f>
        <v>Misce</v>
      </c>
      <c r="G1121" s="2">
        <v>6</v>
      </c>
      <c r="H1121" t="str">
        <f>"KATHERINE MARIE THOMAS"</f>
        <v>KATHERINE MARIE THOMAS</v>
      </c>
    </row>
    <row r="1122" spans="1:8" x14ac:dyDescent="0.25">
      <c r="A1122" t="s">
        <v>294</v>
      </c>
      <c r="B1122">
        <v>83689</v>
      </c>
      <c r="C1122" s="2">
        <v>126</v>
      </c>
      <c r="D1122" s="1">
        <v>43703</v>
      </c>
      <c r="E1122" t="str">
        <f>"201908261267"</f>
        <v>201908261267</v>
      </c>
      <c r="F1122" t="str">
        <f>"Miscellane"</f>
        <v>Miscellane</v>
      </c>
      <c r="G1122" s="2">
        <v>126</v>
      </c>
      <c r="H1122" t="str">
        <f>"SANDRA KAY GEORGE"</f>
        <v>SANDRA KAY GEORGE</v>
      </c>
    </row>
    <row r="1123" spans="1:8" x14ac:dyDescent="0.25">
      <c r="A1123" t="s">
        <v>295</v>
      </c>
      <c r="B1123">
        <v>83690</v>
      </c>
      <c r="C1123" s="2">
        <v>126</v>
      </c>
      <c r="D1123" s="1">
        <v>43703</v>
      </c>
      <c r="E1123" t="str">
        <f>"201908261268"</f>
        <v>201908261268</v>
      </c>
      <c r="F1123" t="str">
        <f>"Miscel"</f>
        <v>Miscel</v>
      </c>
      <c r="G1123" s="2">
        <v>126</v>
      </c>
      <c r="H1123" t="str">
        <f>"CHARLES LOUIS LEONARD"</f>
        <v>CHARLES LOUIS LEONARD</v>
      </c>
    </row>
    <row r="1124" spans="1:8" x14ac:dyDescent="0.25">
      <c r="A1124" t="s">
        <v>296</v>
      </c>
      <c r="B1124">
        <v>83691</v>
      </c>
      <c r="C1124" s="2">
        <v>126</v>
      </c>
      <c r="D1124" s="1">
        <v>43703</v>
      </c>
      <c r="E1124" t="str">
        <f>"201908261269"</f>
        <v>201908261269</v>
      </c>
      <c r="F1124" t="str">
        <f>"Miscellan"</f>
        <v>Miscellan</v>
      </c>
      <c r="G1124" s="2">
        <v>126</v>
      </c>
      <c r="H1124" t="str">
        <f>"REBECCA LEE BROOKS"</f>
        <v>REBECCA LEE BROOKS</v>
      </c>
    </row>
    <row r="1125" spans="1:8" x14ac:dyDescent="0.25">
      <c r="A1125" t="s">
        <v>297</v>
      </c>
      <c r="B1125">
        <v>83692</v>
      </c>
      <c r="C1125" s="2">
        <v>6</v>
      </c>
      <c r="D1125" s="1">
        <v>43703</v>
      </c>
      <c r="E1125" t="str">
        <f>"201908261270"</f>
        <v>201908261270</v>
      </c>
      <c r="F1125" t="str">
        <f>"Miscellaneo"</f>
        <v>Miscellaneo</v>
      </c>
      <c r="G1125" s="2">
        <v>6</v>
      </c>
      <c r="H1125" t="str">
        <f>"CRYSTAL RAE HALL"</f>
        <v>CRYSTAL RAE HALL</v>
      </c>
    </row>
    <row r="1126" spans="1:8" x14ac:dyDescent="0.25">
      <c r="A1126" t="s">
        <v>298</v>
      </c>
      <c r="B1126">
        <v>83693</v>
      </c>
      <c r="C1126" s="2">
        <v>6</v>
      </c>
      <c r="D1126" s="1">
        <v>43703</v>
      </c>
      <c r="E1126" t="str">
        <f>"201908261271"</f>
        <v>201908261271</v>
      </c>
      <c r="F1126" t="str">
        <f>"Misce"</f>
        <v>Misce</v>
      </c>
      <c r="G1126" s="2">
        <v>6</v>
      </c>
      <c r="H1126" t="str">
        <f>"JUSTIN MATTHEW LAGEMAN"</f>
        <v>JUSTIN MATTHEW LAGEMAN</v>
      </c>
    </row>
    <row r="1127" spans="1:8" x14ac:dyDescent="0.25">
      <c r="A1127" t="s">
        <v>299</v>
      </c>
      <c r="B1127">
        <v>83694</v>
      </c>
      <c r="C1127" s="2">
        <v>6</v>
      </c>
      <c r="D1127" s="1">
        <v>43703</v>
      </c>
      <c r="E1127" t="str">
        <f>"201908261272"</f>
        <v>201908261272</v>
      </c>
      <c r="F1127" t="str">
        <f>"Miscellaneo"</f>
        <v>Miscellaneo</v>
      </c>
      <c r="G1127" s="2">
        <v>6</v>
      </c>
      <c r="H1127" t="str">
        <f>"ANABELL GUERRERO"</f>
        <v>ANABELL GUERRERO</v>
      </c>
    </row>
    <row r="1128" spans="1:8" x14ac:dyDescent="0.25">
      <c r="A1128" t="s">
        <v>300</v>
      </c>
      <c r="B1128">
        <v>83695</v>
      </c>
      <c r="C1128" s="2">
        <v>6</v>
      </c>
      <c r="D1128" s="1">
        <v>43703</v>
      </c>
      <c r="E1128" t="str">
        <f>"201908261273"</f>
        <v>201908261273</v>
      </c>
      <c r="F1128" t="str">
        <f>"Mis"</f>
        <v>Mis</v>
      </c>
      <c r="G1128" s="2">
        <v>6</v>
      </c>
      <c r="H1128" t="str">
        <f>"CHRISTOPHER JACOB CROUCH"</f>
        <v>CHRISTOPHER JACOB CROUCH</v>
      </c>
    </row>
    <row r="1129" spans="1:8" x14ac:dyDescent="0.25">
      <c r="A1129" t="s">
        <v>301</v>
      </c>
      <c r="B1129">
        <v>83696</v>
      </c>
      <c r="C1129" s="2">
        <v>126</v>
      </c>
      <c r="D1129" s="1">
        <v>43703</v>
      </c>
      <c r="E1129" t="str">
        <f>"201908261274"</f>
        <v>201908261274</v>
      </c>
      <c r="F1129" t="str">
        <f>"Miscella"</f>
        <v>Miscella</v>
      </c>
      <c r="G1129" s="2">
        <v>126</v>
      </c>
      <c r="H1129" t="str">
        <f>"TREVOR RYAN FARWELL"</f>
        <v>TREVOR RYAN FARWELL</v>
      </c>
    </row>
    <row r="1130" spans="1:8" x14ac:dyDescent="0.25">
      <c r="A1130" t="s">
        <v>302</v>
      </c>
      <c r="B1130">
        <v>83697</v>
      </c>
      <c r="C1130" s="2">
        <v>6</v>
      </c>
      <c r="D1130" s="1">
        <v>43703</v>
      </c>
      <c r="E1130" t="str">
        <f>"201908261275"</f>
        <v>201908261275</v>
      </c>
      <c r="F1130" t="str">
        <f>"Miscell"</f>
        <v>Miscell</v>
      </c>
      <c r="G1130" s="2">
        <v>6</v>
      </c>
      <c r="H1130" t="str">
        <f>"ROBERT JAMES JOHNSON"</f>
        <v>ROBERT JAMES JOHNSON</v>
      </c>
    </row>
    <row r="1131" spans="1:8" x14ac:dyDescent="0.25">
      <c r="A1131" t="s">
        <v>303</v>
      </c>
      <c r="B1131">
        <v>83698</v>
      </c>
      <c r="C1131" s="2">
        <v>6</v>
      </c>
      <c r="D1131" s="1">
        <v>43703</v>
      </c>
      <c r="E1131" t="str">
        <f>"201908261276"</f>
        <v>201908261276</v>
      </c>
      <c r="F1131" t="str">
        <f>"Miscell"</f>
        <v>Miscell</v>
      </c>
      <c r="G1131" s="2">
        <v>6</v>
      </c>
      <c r="H1131" t="str">
        <f>"PAULENE ANN SCOGGINS"</f>
        <v>PAULENE ANN SCOGGINS</v>
      </c>
    </row>
    <row r="1132" spans="1:8" x14ac:dyDescent="0.25">
      <c r="A1132" t="s">
        <v>304</v>
      </c>
      <c r="B1132">
        <v>83699</v>
      </c>
      <c r="C1132" s="2">
        <v>6</v>
      </c>
      <c r="D1132" s="1">
        <v>43703</v>
      </c>
      <c r="E1132" t="str">
        <f>"201908261277"</f>
        <v>201908261277</v>
      </c>
      <c r="F1132" t="str">
        <f>"Miscella"</f>
        <v>Miscella</v>
      </c>
      <c r="G1132" s="2">
        <v>6</v>
      </c>
      <c r="H1132" t="str">
        <f>"SAM ROPER PHILLIPPI"</f>
        <v>SAM ROPER PHILLIPPI</v>
      </c>
    </row>
    <row r="1133" spans="1:8" x14ac:dyDescent="0.25">
      <c r="A1133" t="s">
        <v>305</v>
      </c>
      <c r="B1133">
        <v>83700</v>
      </c>
      <c r="C1133" s="2">
        <v>6</v>
      </c>
      <c r="D1133" s="1">
        <v>43703</v>
      </c>
      <c r="E1133" t="str">
        <f>"201908261278"</f>
        <v>201908261278</v>
      </c>
      <c r="F1133" t="str">
        <f>"Miscellaneo"</f>
        <v>Miscellaneo</v>
      </c>
      <c r="G1133" s="2">
        <v>6</v>
      </c>
      <c r="H1133" t="str">
        <f>"PAMELA GAIL MACK"</f>
        <v>PAMELA GAIL MACK</v>
      </c>
    </row>
    <row r="1134" spans="1:8" x14ac:dyDescent="0.25">
      <c r="A1134" t="s">
        <v>306</v>
      </c>
      <c r="B1134">
        <v>83701</v>
      </c>
      <c r="C1134" s="2">
        <v>6</v>
      </c>
      <c r="D1134" s="1">
        <v>43703</v>
      </c>
      <c r="E1134" t="str">
        <f>"201908261279"</f>
        <v>201908261279</v>
      </c>
      <c r="F1134" t="str">
        <f>"Miscellaneo"</f>
        <v>Miscellaneo</v>
      </c>
      <c r="G1134" s="2">
        <v>6</v>
      </c>
      <c r="H1134" t="str">
        <f>"MICHELE H NELSON"</f>
        <v>MICHELE H NELSON</v>
      </c>
    </row>
    <row r="1135" spans="1:8" x14ac:dyDescent="0.25">
      <c r="A1135" t="s">
        <v>307</v>
      </c>
      <c r="B1135">
        <v>83702</v>
      </c>
      <c r="C1135" s="2">
        <v>6</v>
      </c>
      <c r="D1135" s="1">
        <v>43703</v>
      </c>
      <c r="E1135" t="str">
        <f>"201908261280"</f>
        <v>201908261280</v>
      </c>
      <c r="F1135" t="str">
        <f>"Miscell"</f>
        <v>Miscell</v>
      </c>
      <c r="G1135" s="2">
        <v>6</v>
      </c>
      <c r="H1135" t="str">
        <f>"KYLE EDWARD HARRISON"</f>
        <v>KYLE EDWARD HARRISON</v>
      </c>
    </row>
    <row r="1136" spans="1:8" x14ac:dyDescent="0.25">
      <c r="A1136" t="s">
        <v>308</v>
      </c>
      <c r="B1136">
        <v>83703</v>
      </c>
      <c r="C1136" s="2">
        <v>6</v>
      </c>
      <c r="D1136" s="1">
        <v>43703</v>
      </c>
      <c r="E1136" t="str">
        <f>"201908261281"</f>
        <v>201908261281</v>
      </c>
      <c r="F1136" t="str">
        <f>"Miscella"</f>
        <v>Miscella</v>
      </c>
      <c r="G1136" s="2">
        <v>6</v>
      </c>
      <c r="H1136" t="str">
        <f>"TAIT MICHAEL CARTER"</f>
        <v>TAIT MICHAEL CARTER</v>
      </c>
    </row>
    <row r="1137" spans="1:8" x14ac:dyDescent="0.25">
      <c r="A1137" t="s">
        <v>309</v>
      </c>
      <c r="B1137">
        <v>83704</v>
      </c>
      <c r="C1137" s="2">
        <v>6</v>
      </c>
      <c r="D1137" s="1">
        <v>43703</v>
      </c>
      <c r="E1137" t="str">
        <f>"201908261282"</f>
        <v>201908261282</v>
      </c>
      <c r="F1137" t="str">
        <f>"Miscell"</f>
        <v>Miscell</v>
      </c>
      <c r="G1137" s="2">
        <v>6</v>
      </c>
      <c r="H1137" t="str">
        <f>"MARY MICHELLE POTTER"</f>
        <v>MARY MICHELLE POTTER</v>
      </c>
    </row>
    <row r="1138" spans="1:8" x14ac:dyDescent="0.25">
      <c r="A1138" t="s">
        <v>310</v>
      </c>
      <c r="B1138">
        <v>83705</v>
      </c>
      <c r="C1138" s="2">
        <v>6</v>
      </c>
      <c r="D1138" s="1">
        <v>43703</v>
      </c>
      <c r="E1138" t="str">
        <f>"201908261283"</f>
        <v>201908261283</v>
      </c>
      <c r="F1138" t="str">
        <f>"Miscellaneous"</f>
        <v>Miscellaneous</v>
      </c>
      <c r="G1138" s="2">
        <v>6</v>
      </c>
      <c r="H1138" t="str">
        <f>"DAWN ROBERSON"</f>
        <v>DAWN ROBERSON</v>
      </c>
    </row>
    <row r="1139" spans="1:8" x14ac:dyDescent="0.25">
      <c r="A1139" t="s">
        <v>311</v>
      </c>
      <c r="B1139">
        <v>83706</v>
      </c>
      <c r="C1139" s="2">
        <v>126</v>
      </c>
      <c r="D1139" s="1">
        <v>43703</v>
      </c>
      <c r="E1139" t="str">
        <f>"201908261284"</f>
        <v>201908261284</v>
      </c>
      <c r="F1139" t="str">
        <f>"Miscellan"</f>
        <v>Miscellan</v>
      </c>
      <c r="G1139" s="2">
        <v>126</v>
      </c>
      <c r="H1139" t="str">
        <f>"JAMES RANDALL RYAN"</f>
        <v>JAMES RANDALL RYAN</v>
      </c>
    </row>
    <row r="1140" spans="1:8" x14ac:dyDescent="0.25">
      <c r="A1140" t="s">
        <v>312</v>
      </c>
      <c r="B1140">
        <v>83707</v>
      </c>
      <c r="C1140" s="2">
        <v>6</v>
      </c>
      <c r="D1140" s="1">
        <v>43703</v>
      </c>
      <c r="E1140" t="str">
        <f>"201908261285"</f>
        <v>201908261285</v>
      </c>
      <c r="F1140" t="str">
        <f>"Miscellaneo"</f>
        <v>Miscellaneo</v>
      </c>
      <c r="G1140" s="2">
        <v>6</v>
      </c>
      <c r="H1140" t="str">
        <f>"CAROL ANN HANSEN"</f>
        <v>CAROL ANN HANSEN</v>
      </c>
    </row>
    <row r="1141" spans="1:8" x14ac:dyDescent="0.25">
      <c r="A1141" t="s">
        <v>313</v>
      </c>
      <c r="B1141">
        <v>83708</v>
      </c>
      <c r="C1141" s="2">
        <v>6</v>
      </c>
      <c r="D1141" s="1">
        <v>43703</v>
      </c>
      <c r="E1141" t="str">
        <f>"201908261286"</f>
        <v>201908261286</v>
      </c>
      <c r="F1141" t="str">
        <f>"Miscell"</f>
        <v>Miscell</v>
      </c>
      <c r="G1141" s="2">
        <v>6</v>
      </c>
      <c r="H1141" t="str">
        <f>"KARRIE LYNN TAUSCHER"</f>
        <v>KARRIE LYNN TAUSCHER</v>
      </c>
    </row>
    <row r="1142" spans="1:8" x14ac:dyDescent="0.25">
      <c r="A1142" t="s">
        <v>274</v>
      </c>
      <c r="B1142">
        <v>83709</v>
      </c>
      <c r="C1142" s="2">
        <v>12</v>
      </c>
      <c r="D1142" s="1">
        <v>43703</v>
      </c>
      <c r="E1142" t="str">
        <f>"201908261287"</f>
        <v>201908261287</v>
      </c>
      <c r="F1142" t="str">
        <f>"M"</f>
        <v>M</v>
      </c>
      <c r="G1142" s="2">
        <v>12</v>
      </c>
      <c r="H1142" t="str">
        <f>"Children's Advocacy Center"</f>
        <v>Children's Advocacy Center</v>
      </c>
    </row>
    <row r="1143" spans="1:8" x14ac:dyDescent="0.25">
      <c r="A1143" t="s">
        <v>275</v>
      </c>
      <c r="B1143">
        <v>83710</v>
      </c>
      <c r="C1143" s="2">
        <v>36</v>
      </c>
      <c r="D1143" s="1">
        <v>43703</v>
      </c>
      <c r="E1143" t="str">
        <f>"201908261288"</f>
        <v>201908261288</v>
      </c>
      <c r="F1143" t="str">
        <f>"Miscell"</f>
        <v>Miscell</v>
      </c>
      <c r="G1143" s="2">
        <v>36</v>
      </c>
      <c r="H1143" t="str">
        <f>"Family Crisis Center"</f>
        <v>Family Crisis Center</v>
      </c>
    </row>
    <row r="1144" spans="1:8" x14ac:dyDescent="0.25">
      <c r="A1144" t="s">
        <v>314</v>
      </c>
      <c r="B1144">
        <v>83711</v>
      </c>
      <c r="C1144" s="2">
        <v>6</v>
      </c>
      <c r="D1144" s="1">
        <v>43703</v>
      </c>
      <c r="E1144" t="str">
        <f>"201908261289"</f>
        <v>201908261289</v>
      </c>
      <c r="F1144" t="str">
        <f>"Mi"</f>
        <v>Mi</v>
      </c>
      <c r="G1144" s="2">
        <v>6</v>
      </c>
      <c r="H1144" t="str">
        <f>"EDWARD WILLIAM WHITELY JR"</f>
        <v>EDWARD WILLIAM WHITELY JR</v>
      </c>
    </row>
    <row r="1145" spans="1:8" x14ac:dyDescent="0.25">
      <c r="A1145" t="s">
        <v>315</v>
      </c>
      <c r="B1145">
        <v>83712</v>
      </c>
      <c r="C1145" s="2">
        <v>6</v>
      </c>
      <c r="D1145" s="1">
        <v>43703</v>
      </c>
      <c r="E1145" t="str">
        <f>"201908261290"</f>
        <v>201908261290</v>
      </c>
      <c r="F1145" t="str">
        <f>"Miscell"</f>
        <v>Miscell</v>
      </c>
      <c r="G1145" s="2">
        <v>6</v>
      </c>
      <c r="H1145" t="str">
        <f>"HARVEY JOE VINKLAREK"</f>
        <v>HARVEY JOE VINKLAREK</v>
      </c>
    </row>
    <row r="1146" spans="1:8" x14ac:dyDescent="0.25">
      <c r="A1146" t="s">
        <v>316</v>
      </c>
      <c r="B1146">
        <v>83713</v>
      </c>
      <c r="C1146" s="2">
        <v>6</v>
      </c>
      <c r="D1146" s="1">
        <v>43703</v>
      </c>
      <c r="E1146" t="str">
        <f>"201908261291"</f>
        <v>201908261291</v>
      </c>
      <c r="F1146" t="str">
        <f>"Miscel"</f>
        <v>Miscel</v>
      </c>
      <c r="G1146" s="2">
        <v>6</v>
      </c>
      <c r="H1146" t="str">
        <f>"ROBBIN DUNGAN SIEVERT"</f>
        <v>ROBBIN DUNGAN SIEVERT</v>
      </c>
    </row>
    <row r="1147" spans="1:8" x14ac:dyDescent="0.25">
      <c r="A1147" t="s">
        <v>317</v>
      </c>
      <c r="B1147">
        <v>83714</v>
      </c>
      <c r="C1147" s="2">
        <v>6</v>
      </c>
      <c r="D1147" s="1">
        <v>43703</v>
      </c>
      <c r="E1147" t="str">
        <f>"201908261292"</f>
        <v>201908261292</v>
      </c>
      <c r="F1147" t="str">
        <f>"Miscellane"</f>
        <v>Miscellane</v>
      </c>
      <c r="G1147" s="2">
        <v>6</v>
      </c>
      <c r="H1147" t="str">
        <f>"MARK WAYNE NYGARD"</f>
        <v>MARK WAYNE NYGARD</v>
      </c>
    </row>
    <row r="1148" spans="1:8" x14ac:dyDescent="0.25">
      <c r="A1148" t="s">
        <v>318</v>
      </c>
      <c r="B1148">
        <v>83715</v>
      </c>
      <c r="C1148" s="2">
        <v>6</v>
      </c>
      <c r="D1148" s="1">
        <v>43703</v>
      </c>
      <c r="E1148" t="str">
        <f>"201908261293"</f>
        <v>201908261293</v>
      </c>
      <c r="F1148" t="str">
        <f>"Miscellaneo"</f>
        <v>Miscellaneo</v>
      </c>
      <c r="G1148" s="2">
        <v>6</v>
      </c>
      <c r="H1148" t="str">
        <f>"LOGAN CODY LOPEZ"</f>
        <v>LOGAN CODY LOPEZ</v>
      </c>
    </row>
    <row r="1149" spans="1:8" x14ac:dyDescent="0.25">
      <c r="A1149" t="s">
        <v>319</v>
      </c>
      <c r="B1149">
        <v>83716</v>
      </c>
      <c r="C1149" s="2">
        <v>6</v>
      </c>
      <c r="D1149" s="1">
        <v>43703</v>
      </c>
      <c r="E1149" t="str">
        <f>"201908261294"</f>
        <v>201908261294</v>
      </c>
      <c r="F1149" t="str">
        <f>"Miscella"</f>
        <v>Miscella</v>
      </c>
      <c r="G1149" s="2">
        <v>6</v>
      </c>
      <c r="H1149" t="str">
        <f>"ANDREW ALBERT LEWIS"</f>
        <v>ANDREW ALBERT LEWIS</v>
      </c>
    </row>
    <row r="1150" spans="1:8" x14ac:dyDescent="0.25">
      <c r="A1150" t="s">
        <v>320</v>
      </c>
      <c r="B1150">
        <v>83717</v>
      </c>
      <c r="C1150" s="2">
        <v>6</v>
      </c>
      <c r="D1150" s="1">
        <v>43703</v>
      </c>
      <c r="E1150" t="str">
        <f>"201908261295"</f>
        <v>201908261295</v>
      </c>
      <c r="F1150" t="str">
        <f>"Miscellaneo"</f>
        <v>Miscellaneo</v>
      </c>
      <c r="G1150" s="2">
        <v>6</v>
      </c>
      <c r="H1150" t="str">
        <f>"KRISTANNA HAYNER"</f>
        <v>KRISTANNA HAYNER</v>
      </c>
    </row>
    <row r="1151" spans="1:8" x14ac:dyDescent="0.25">
      <c r="A1151" t="s">
        <v>321</v>
      </c>
      <c r="B1151">
        <v>83718</v>
      </c>
      <c r="C1151" s="2">
        <v>6</v>
      </c>
      <c r="D1151" s="1">
        <v>43703</v>
      </c>
      <c r="E1151" t="str">
        <f>"201908261296"</f>
        <v>201908261296</v>
      </c>
      <c r="F1151" t="str">
        <f>"Miscell"</f>
        <v>Miscell</v>
      </c>
      <c r="G1151" s="2">
        <v>6</v>
      </c>
      <c r="H1151" t="str">
        <f>"KEEGAN RENEE WINDHAM"</f>
        <v>KEEGAN RENEE WINDHAM</v>
      </c>
    </row>
    <row r="1152" spans="1:8" x14ac:dyDescent="0.25">
      <c r="A1152" t="s">
        <v>322</v>
      </c>
      <c r="B1152">
        <v>83719</v>
      </c>
      <c r="C1152" s="2">
        <v>6</v>
      </c>
      <c r="D1152" s="1">
        <v>43703</v>
      </c>
      <c r="E1152" t="str">
        <f>"201908261297"</f>
        <v>201908261297</v>
      </c>
      <c r="F1152" t="str">
        <f>"Miscella"</f>
        <v>Miscella</v>
      </c>
      <c r="G1152" s="2">
        <v>6</v>
      </c>
      <c r="H1152" t="str">
        <f>"MONTERREY JAY GRANT"</f>
        <v>MONTERREY JAY GRANT</v>
      </c>
    </row>
    <row r="1153" spans="1:8" x14ac:dyDescent="0.25">
      <c r="A1153" t="s">
        <v>323</v>
      </c>
      <c r="B1153">
        <v>83720</v>
      </c>
      <c r="C1153" s="2">
        <v>6</v>
      </c>
      <c r="D1153" s="1">
        <v>43703</v>
      </c>
      <c r="E1153" t="str">
        <f>"201908261298"</f>
        <v>201908261298</v>
      </c>
      <c r="F1153" t="str">
        <f>"Miscellaneo"</f>
        <v>Miscellaneo</v>
      </c>
      <c r="G1153" s="2">
        <v>6</v>
      </c>
      <c r="H1153" t="str">
        <f>"GONZALO GONZALES"</f>
        <v>GONZALO GONZALES</v>
      </c>
    </row>
    <row r="1154" spans="1:8" x14ac:dyDescent="0.25">
      <c r="A1154" t="s">
        <v>324</v>
      </c>
      <c r="B1154">
        <v>83721</v>
      </c>
      <c r="C1154" s="2">
        <v>6</v>
      </c>
      <c r="D1154" s="1">
        <v>43703</v>
      </c>
      <c r="E1154" t="str">
        <f>"201908261299"</f>
        <v>201908261299</v>
      </c>
      <c r="F1154" t="str">
        <f>"Miscellaneous"</f>
        <v>Miscellaneous</v>
      </c>
      <c r="G1154" s="2">
        <v>6</v>
      </c>
      <c r="H1154" t="str">
        <f>"ROSALIE A CARD"</f>
        <v>ROSALIE A CARD</v>
      </c>
    </row>
    <row r="1155" spans="1:8" x14ac:dyDescent="0.25">
      <c r="A1155" t="s">
        <v>325</v>
      </c>
      <c r="B1155">
        <v>83722</v>
      </c>
      <c r="C1155" s="2">
        <v>6</v>
      </c>
      <c r="D1155" s="1">
        <v>43703</v>
      </c>
      <c r="E1155" t="str">
        <f>"201908261300"</f>
        <v>201908261300</v>
      </c>
      <c r="F1155" t="str">
        <f>"Miscellaneous"</f>
        <v>Miscellaneous</v>
      </c>
      <c r="G1155" s="2">
        <v>6</v>
      </c>
      <c r="H1155" t="str">
        <f>"BRADY BROWN"</f>
        <v>BRADY BROWN</v>
      </c>
    </row>
    <row r="1156" spans="1:8" x14ac:dyDescent="0.25">
      <c r="A1156" t="s">
        <v>326</v>
      </c>
      <c r="B1156">
        <v>83723</v>
      </c>
      <c r="C1156" s="2">
        <v>6</v>
      </c>
      <c r="D1156" s="1">
        <v>43703</v>
      </c>
      <c r="E1156" t="str">
        <f>"201908261301"</f>
        <v>201908261301</v>
      </c>
      <c r="F1156" t="str">
        <f>"Miscel"</f>
        <v>Miscel</v>
      </c>
      <c r="G1156" s="2">
        <v>6</v>
      </c>
      <c r="H1156" t="str">
        <f>"KENDALL JADE ALVARADO"</f>
        <v>KENDALL JADE ALVARADO</v>
      </c>
    </row>
    <row r="1157" spans="1:8" x14ac:dyDescent="0.25">
      <c r="A1157" t="s">
        <v>327</v>
      </c>
      <c r="B1157">
        <v>83724</v>
      </c>
      <c r="C1157" s="2">
        <v>6</v>
      </c>
      <c r="D1157" s="1">
        <v>43703</v>
      </c>
      <c r="E1157" t="str">
        <f>"201908261302"</f>
        <v>201908261302</v>
      </c>
      <c r="F1157" t="str">
        <f>"Miscellan"</f>
        <v>Miscellan</v>
      </c>
      <c r="G1157" s="2">
        <v>6</v>
      </c>
      <c r="H1157" t="str">
        <f>"JADWIN LEE HUBBARD"</f>
        <v>JADWIN LEE HUBBARD</v>
      </c>
    </row>
    <row r="1158" spans="1:8" x14ac:dyDescent="0.25">
      <c r="A1158" t="s">
        <v>328</v>
      </c>
      <c r="B1158">
        <v>83725</v>
      </c>
      <c r="C1158" s="2">
        <v>6</v>
      </c>
      <c r="D1158" s="1">
        <v>43703</v>
      </c>
      <c r="E1158" t="str">
        <f>"201908261303"</f>
        <v>201908261303</v>
      </c>
      <c r="F1158" t="str">
        <f>"Miscel"</f>
        <v>Miscel</v>
      </c>
      <c r="G1158" s="2">
        <v>6</v>
      </c>
      <c r="H1158" t="str">
        <f>"BROOKE MICHELLE WYLES"</f>
        <v>BROOKE MICHELLE WYLES</v>
      </c>
    </row>
    <row r="1159" spans="1:8" x14ac:dyDescent="0.25">
      <c r="A1159" t="s">
        <v>329</v>
      </c>
      <c r="B1159">
        <v>83729</v>
      </c>
      <c r="C1159" s="2">
        <v>40</v>
      </c>
      <c r="D1159" s="1">
        <v>43706</v>
      </c>
      <c r="E1159" t="str">
        <f>"201908291355"</f>
        <v>201908291355</v>
      </c>
      <c r="F1159" t="str">
        <f>"Miscellaneo"</f>
        <v>Miscellaneo</v>
      </c>
      <c r="G1159" s="2">
        <v>40</v>
      </c>
      <c r="H1159" t="str">
        <f>"LONNY RAY BOSTIC"</f>
        <v>LONNY RAY BOSTIC</v>
      </c>
    </row>
    <row r="1160" spans="1:8" x14ac:dyDescent="0.25">
      <c r="A1160" t="s">
        <v>330</v>
      </c>
      <c r="B1160">
        <v>83730</v>
      </c>
      <c r="C1160" s="2">
        <v>40</v>
      </c>
      <c r="D1160" s="1">
        <v>43706</v>
      </c>
      <c r="E1160" t="str">
        <f>"201908291356"</f>
        <v>201908291356</v>
      </c>
      <c r="F1160" t="str">
        <f>"Miscellaneous"</f>
        <v>Miscellaneous</v>
      </c>
      <c r="G1160" s="2">
        <v>40</v>
      </c>
      <c r="H1160" t="str">
        <f>"JAMIE DEE FORD"</f>
        <v>JAMIE DEE FORD</v>
      </c>
    </row>
    <row r="1161" spans="1:8" x14ac:dyDescent="0.25">
      <c r="A1161" t="s">
        <v>331</v>
      </c>
      <c r="B1161">
        <v>83731</v>
      </c>
      <c r="C1161" s="2">
        <v>40</v>
      </c>
      <c r="D1161" s="1">
        <v>43706</v>
      </c>
      <c r="E1161" t="str">
        <f>"201908291357"</f>
        <v>201908291357</v>
      </c>
      <c r="F1161" t="str">
        <f>"Miscella"</f>
        <v>Miscella</v>
      </c>
      <c r="G1161" s="2">
        <v>40</v>
      </c>
      <c r="H1161" t="str">
        <f>"GERALDINE ANN MCCOY"</f>
        <v>GERALDINE ANN MCCOY</v>
      </c>
    </row>
    <row r="1162" spans="1:8" x14ac:dyDescent="0.25">
      <c r="A1162" t="s">
        <v>332</v>
      </c>
      <c r="B1162">
        <v>83732</v>
      </c>
      <c r="C1162" s="2">
        <v>40</v>
      </c>
      <c r="D1162" s="1">
        <v>43706</v>
      </c>
      <c r="E1162" t="str">
        <f>"201908291358"</f>
        <v>201908291358</v>
      </c>
      <c r="F1162" t="str">
        <f>"Miscellan"</f>
        <v>Miscellan</v>
      </c>
      <c r="G1162" s="2">
        <v>40</v>
      </c>
      <c r="H1162" t="str">
        <f>"PAMELA PIPER CRABB"</f>
        <v>PAMELA PIPER CRABB</v>
      </c>
    </row>
    <row r="1163" spans="1:8" x14ac:dyDescent="0.25">
      <c r="A1163" t="s">
        <v>333</v>
      </c>
      <c r="B1163">
        <v>83733</v>
      </c>
      <c r="C1163" s="2">
        <v>40</v>
      </c>
      <c r="D1163" s="1">
        <v>43706</v>
      </c>
      <c r="E1163" t="str">
        <f>"201908291359"</f>
        <v>201908291359</v>
      </c>
      <c r="F1163" t="str">
        <f>"Misc"</f>
        <v>Misc</v>
      </c>
      <c r="G1163" s="2">
        <v>40</v>
      </c>
      <c r="H1163" t="str">
        <f>"SHERILYN KAATZ KISAMORE"</f>
        <v>SHERILYN KAATZ KISAMORE</v>
      </c>
    </row>
    <row r="1164" spans="1:8" x14ac:dyDescent="0.25">
      <c r="A1164" t="s">
        <v>334</v>
      </c>
      <c r="B1164">
        <v>83734</v>
      </c>
      <c r="C1164" s="2">
        <v>40</v>
      </c>
      <c r="D1164" s="1">
        <v>43706</v>
      </c>
      <c r="E1164" t="str">
        <f>"201908291360"</f>
        <v>201908291360</v>
      </c>
      <c r="F1164" t="str">
        <f>"Miscellaneou"</f>
        <v>Miscellaneou</v>
      </c>
      <c r="G1164" s="2">
        <v>40</v>
      </c>
      <c r="H1164" t="str">
        <f>"RUSSELL JAY ASH"</f>
        <v>RUSSELL JAY ASH</v>
      </c>
    </row>
    <row r="1165" spans="1:8" x14ac:dyDescent="0.25">
      <c r="A1165" t="s">
        <v>335</v>
      </c>
      <c r="B1165">
        <v>83735</v>
      </c>
      <c r="C1165" s="2">
        <v>40</v>
      </c>
      <c r="D1165" s="1">
        <v>43706</v>
      </c>
      <c r="E1165" t="str">
        <f>"201908291361"</f>
        <v>201908291361</v>
      </c>
      <c r="F1165" t="str">
        <f>"Misce"</f>
        <v>Misce</v>
      </c>
      <c r="G1165" s="2">
        <v>40</v>
      </c>
      <c r="H1165" t="str">
        <f>"STACY ROY CARPENTER JR"</f>
        <v>STACY ROY CARPENTER JR</v>
      </c>
    </row>
    <row r="1166" spans="1:8" x14ac:dyDescent="0.25">
      <c r="A1166" t="s">
        <v>336</v>
      </c>
      <c r="B1166">
        <v>83736</v>
      </c>
      <c r="C1166" s="2">
        <v>40</v>
      </c>
      <c r="D1166" s="1">
        <v>43706</v>
      </c>
      <c r="E1166" t="str">
        <f>"201908291362"</f>
        <v>201908291362</v>
      </c>
      <c r="F1166" t="str">
        <f>"Miscel"</f>
        <v>Miscel</v>
      </c>
      <c r="G1166" s="2">
        <v>40</v>
      </c>
      <c r="H1166" t="str">
        <f>"SCOTT JAY QUINTANILLA"</f>
        <v>SCOTT JAY QUINTANILLA</v>
      </c>
    </row>
    <row r="1167" spans="1:8" x14ac:dyDescent="0.25">
      <c r="A1167" t="s">
        <v>337</v>
      </c>
      <c r="B1167">
        <v>83737</v>
      </c>
      <c r="C1167" s="2">
        <v>40</v>
      </c>
      <c r="D1167" s="1">
        <v>43706</v>
      </c>
      <c r="E1167" t="str">
        <f>"201908291363"</f>
        <v>201908291363</v>
      </c>
      <c r="F1167" t="str">
        <f>"Miscellane"</f>
        <v>Miscellane</v>
      </c>
      <c r="G1167" s="2">
        <v>40</v>
      </c>
      <c r="H1167" t="str">
        <f>"JON HAROLD KEENER"</f>
        <v>JON HAROLD KEENER</v>
      </c>
    </row>
    <row r="1168" spans="1:8" x14ac:dyDescent="0.25">
      <c r="A1168" t="s">
        <v>338</v>
      </c>
      <c r="B1168">
        <v>83738</v>
      </c>
      <c r="C1168" s="2">
        <v>40</v>
      </c>
      <c r="D1168" s="1">
        <v>43706</v>
      </c>
      <c r="E1168" t="str">
        <f>"201908291364"</f>
        <v>201908291364</v>
      </c>
      <c r="F1168" t="str">
        <f>"Miscellane"</f>
        <v>Miscellane</v>
      </c>
      <c r="G1168" s="2">
        <v>40</v>
      </c>
      <c r="H1168" t="str">
        <f>"DONNA JAYE MEZERA"</f>
        <v>DONNA JAYE MEZERA</v>
      </c>
    </row>
    <row r="1169" spans="1:8" x14ac:dyDescent="0.25">
      <c r="A1169" t="s">
        <v>339</v>
      </c>
      <c r="B1169">
        <v>83739</v>
      </c>
      <c r="C1169" s="2">
        <v>40</v>
      </c>
      <c r="D1169" s="1">
        <v>43706</v>
      </c>
      <c r="E1169" t="str">
        <f>"201908291365"</f>
        <v>201908291365</v>
      </c>
      <c r="F1169" t="str">
        <f>"Mis"</f>
        <v>Mis</v>
      </c>
      <c r="G1169" s="2">
        <v>40</v>
      </c>
      <c r="H1169" t="str">
        <f>"JEFFERY LEE TUFFENTSAMER"</f>
        <v>JEFFERY LEE TUFFENTSAMER</v>
      </c>
    </row>
    <row r="1170" spans="1:8" x14ac:dyDescent="0.25">
      <c r="A1170" t="s">
        <v>340</v>
      </c>
      <c r="B1170">
        <v>83740</v>
      </c>
      <c r="C1170" s="2">
        <v>40</v>
      </c>
      <c r="D1170" s="1">
        <v>43706</v>
      </c>
      <c r="E1170" t="str">
        <f>"201908291366"</f>
        <v>201908291366</v>
      </c>
      <c r="F1170" t="str">
        <f>"Miscellan"</f>
        <v>Miscellan</v>
      </c>
      <c r="G1170" s="2">
        <v>40</v>
      </c>
      <c r="H1170" t="str">
        <f>"SCOTT TYLER TUCKER"</f>
        <v>SCOTT TYLER TUCKER</v>
      </c>
    </row>
    <row r="1171" spans="1:8" x14ac:dyDescent="0.25">
      <c r="A1171" t="s">
        <v>341</v>
      </c>
      <c r="B1171">
        <v>83410</v>
      </c>
      <c r="C1171" s="2">
        <v>430</v>
      </c>
      <c r="D1171" s="1">
        <v>43689</v>
      </c>
      <c r="E1171" t="str">
        <f>"2394681"</f>
        <v>2394681</v>
      </c>
      <c r="F1171" t="str">
        <f>"CUST#195585/ORD#2511263"</f>
        <v>CUST#195585/ORD#2511263</v>
      </c>
      <c r="G1171" s="2">
        <v>430</v>
      </c>
      <c r="H1171" t="str">
        <f>"CUST#195585/ORD#2511263"</f>
        <v>CUST#195585/ORD#2511263</v>
      </c>
    </row>
    <row r="1172" spans="1:8" x14ac:dyDescent="0.25">
      <c r="A1172" t="s">
        <v>342</v>
      </c>
      <c r="B1172">
        <v>83609</v>
      </c>
      <c r="C1172" s="2">
        <v>155</v>
      </c>
      <c r="D1172" s="1">
        <v>43703</v>
      </c>
      <c r="E1172" t="str">
        <f>"8028"</f>
        <v>8028</v>
      </c>
      <c r="F1172" t="str">
        <f>"DUMPSTER RENTAL-4 YD/GEN SVCS"</f>
        <v>DUMPSTER RENTAL-4 YD/GEN SVCS</v>
      </c>
      <c r="G1172" s="2">
        <v>155</v>
      </c>
      <c r="H1172" t="str">
        <f>"DUMPSTER RENTAL-4 YD/GEN SVCS"</f>
        <v>DUMPSTER RENTAL-4 YD/GEN SVCS</v>
      </c>
    </row>
    <row r="1173" spans="1:8" x14ac:dyDescent="0.25">
      <c r="A1173" t="s">
        <v>343</v>
      </c>
      <c r="B1173">
        <v>83411</v>
      </c>
      <c r="C1173" s="2">
        <v>926.53</v>
      </c>
      <c r="D1173" s="1">
        <v>43689</v>
      </c>
      <c r="E1173" t="str">
        <f>"16060152"</f>
        <v>16060152</v>
      </c>
      <c r="F1173" t="str">
        <f>"Radio Batteries PCT 3"</f>
        <v>Radio Batteries PCT 3</v>
      </c>
      <c r="G1173" s="2">
        <v>358.4</v>
      </c>
      <c r="H1173" t="str">
        <f>"NTN9858C"</f>
        <v>NTN9858C</v>
      </c>
    </row>
    <row r="1174" spans="1:8" x14ac:dyDescent="0.25">
      <c r="E1174" t="str">
        <f>"16061998"</f>
        <v>16061998</v>
      </c>
      <c r="F1174" t="str">
        <f>"Motorola Order"</f>
        <v>Motorola Order</v>
      </c>
      <c r="G1174" s="2">
        <v>495.88</v>
      </c>
      <c r="H1174" t="str">
        <f>"HKN6184C"</f>
        <v>HKN6184C</v>
      </c>
    </row>
    <row r="1175" spans="1:8" x14ac:dyDescent="0.25">
      <c r="E1175" t="str">
        <f>""</f>
        <v/>
      </c>
      <c r="F1175" t="str">
        <f>""</f>
        <v/>
      </c>
      <c r="H1175" t="str">
        <f>"1375044C10"</f>
        <v>1375044C10</v>
      </c>
    </row>
    <row r="1176" spans="1:8" x14ac:dyDescent="0.25">
      <c r="E1176" t="str">
        <f>"16061999"</f>
        <v>16061999</v>
      </c>
      <c r="F1176" t="str">
        <f>"Motorola Antennas"</f>
        <v>Motorola Antennas</v>
      </c>
      <c r="G1176" s="2">
        <v>72.25</v>
      </c>
      <c r="H1176" t="str">
        <f>"RDF6031A"</f>
        <v>RDF6031A</v>
      </c>
    </row>
    <row r="1177" spans="1:8" x14ac:dyDescent="0.25">
      <c r="E1177" t="str">
        <f>""</f>
        <v/>
      </c>
      <c r="F1177" t="str">
        <f>""</f>
        <v/>
      </c>
      <c r="H1177" t="str">
        <f>"3080384M45"</f>
        <v>3080384M45</v>
      </c>
    </row>
    <row r="1178" spans="1:8" x14ac:dyDescent="0.25">
      <c r="A1178" t="s">
        <v>343</v>
      </c>
      <c r="B1178">
        <v>83610</v>
      </c>
      <c r="C1178" s="2">
        <v>20769.349999999999</v>
      </c>
      <c r="D1178" s="1">
        <v>43703</v>
      </c>
      <c r="E1178" t="str">
        <f>"8230232883"</f>
        <v>8230232883</v>
      </c>
      <c r="F1178" t="str">
        <f>"ACCT#1036215277"</f>
        <v>ACCT#1036215277</v>
      </c>
      <c r="G1178" s="2">
        <v>20769.349999999999</v>
      </c>
      <c r="H1178" t="str">
        <f>"ACCT#1036215277"</f>
        <v>ACCT#1036215277</v>
      </c>
    </row>
    <row r="1179" spans="1:8" x14ac:dyDescent="0.25">
      <c r="A1179" t="s">
        <v>344</v>
      </c>
      <c r="B1179">
        <v>83412</v>
      </c>
      <c r="C1179" s="2">
        <v>826.8</v>
      </c>
      <c r="D1179" s="1">
        <v>43689</v>
      </c>
      <c r="E1179" t="str">
        <f>"866694683"</f>
        <v>866694683</v>
      </c>
      <c r="F1179" t="str">
        <f>"ACCT#150344157/GEN SVCS"</f>
        <v>ACCT#150344157/GEN SVCS</v>
      </c>
      <c r="G1179" s="2">
        <v>826.8</v>
      </c>
      <c r="H1179" t="str">
        <f>"ACCT#150344157/GEN SVCS"</f>
        <v>ACCT#150344157/GEN SVCS</v>
      </c>
    </row>
    <row r="1180" spans="1:8" x14ac:dyDescent="0.25">
      <c r="A1180" t="s">
        <v>344</v>
      </c>
      <c r="B1180">
        <v>83611</v>
      </c>
      <c r="C1180" s="2">
        <v>826.8</v>
      </c>
      <c r="D1180" s="1">
        <v>43703</v>
      </c>
      <c r="E1180" t="str">
        <f>"86710169"</f>
        <v>86710169</v>
      </c>
      <c r="F1180" t="str">
        <f>"ACCT#150344157/GEN SVCS"</f>
        <v>ACCT#150344157/GEN SVCS</v>
      </c>
      <c r="G1180" s="2">
        <v>826.8</v>
      </c>
      <c r="H1180" t="str">
        <f>"ACCT#150344157/GEN SVCS"</f>
        <v>ACCT#150344157/GEN SVCS</v>
      </c>
    </row>
    <row r="1181" spans="1:8" x14ac:dyDescent="0.25">
      <c r="A1181" t="s">
        <v>345</v>
      </c>
      <c r="B1181">
        <v>83413</v>
      </c>
      <c r="C1181" s="2">
        <v>1062.5</v>
      </c>
      <c r="D1181" s="1">
        <v>43689</v>
      </c>
      <c r="E1181" t="str">
        <f>"201908071025"</f>
        <v>201908071025</v>
      </c>
      <c r="F1181" t="str">
        <f>"JOB 7-30-19-01"</f>
        <v>JOB 7-30-19-01</v>
      </c>
      <c r="G1181" s="2">
        <v>680</v>
      </c>
      <c r="H1181" t="str">
        <f>"JOB 7-30-19-01"</f>
        <v>JOB 7-30-19-01</v>
      </c>
    </row>
    <row r="1182" spans="1:8" x14ac:dyDescent="0.25">
      <c r="E1182" t="str">
        <f>"201908071026"</f>
        <v>201908071026</v>
      </c>
      <c r="F1182" t="str">
        <f>"JOB 7-24-19-02"</f>
        <v>JOB 7-24-19-02</v>
      </c>
      <c r="G1182" s="2">
        <v>170</v>
      </c>
      <c r="H1182" t="str">
        <f>"JOB 7-24-19-02"</f>
        <v>JOB 7-24-19-02</v>
      </c>
    </row>
    <row r="1183" spans="1:8" x14ac:dyDescent="0.25">
      <c r="E1183" t="str">
        <f>"201908071027"</f>
        <v>201908071027</v>
      </c>
      <c r="F1183" t="str">
        <f>"JOB 7-24-19-01"</f>
        <v>JOB 7-24-19-01</v>
      </c>
      <c r="G1183" s="2">
        <v>212.5</v>
      </c>
      <c r="H1183" t="str">
        <f>"JOB 7-24-19-01"</f>
        <v>JOB 7-24-19-01</v>
      </c>
    </row>
    <row r="1184" spans="1:8" x14ac:dyDescent="0.25">
      <c r="A1184" t="s">
        <v>346</v>
      </c>
      <c r="B1184">
        <v>83414</v>
      </c>
      <c r="C1184" s="2">
        <v>1160</v>
      </c>
      <c r="D1184" s="1">
        <v>43689</v>
      </c>
      <c r="E1184" t="str">
        <f>"2019-13-1"</f>
        <v>2019-13-1</v>
      </c>
      <c r="F1184" t="str">
        <f>"SUB REPORTER/JULY29-30/AUG1-2"</f>
        <v>SUB REPORTER/JULY29-30/AUG1-2</v>
      </c>
      <c r="G1184" s="2">
        <v>1160</v>
      </c>
      <c r="H1184" t="str">
        <f>"SUB REPORTER/JULY29-30/AUG1-2"</f>
        <v>SUB REPORTER/JULY29-30/AUG1-2</v>
      </c>
    </row>
    <row r="1185" spans="1:8" x14ac:dyDescent="0.25">
      <c r="A1185" t="s">
        <v>347</v>
      </c>
      <c r="B1185">
        <v>83612</v>
      </c>
      <c r="C1185" s="2">
        <v>495</v>
      </c>
      <c r="D1185" s="1">
        <v>43703</v>
      </c>
      <c r="E1185" t="str">
        <f>"201908211226"</f>
        <v>201908211226</v>
      </c>
      <c r="F1185" t="str">
        <f>"REGISTRATION"</f>
        <v>REGISTRATION</v>
      </c>
      <c r="G1185" s="2">
        <v>495</v>
      </c>
    </row>
    <row r="1186" spans="1:8" x14ac:dyDescent="0.25">
      <c r="A1186" t="s">
        <v>347</v>
      </c>
      <c r="B1186">
        <v>83612</v>
      </c>
      <c r="C1186" s="2">
        <v>495</v>
      </c>
      <c r="D1186" s="1">
        <v>43705</v>
      </c>
      <c r="E1186" t="str">
        <f>"CHECK"</f>
        <v>CHECK</v>
      </c>
      <c r="F1186" t="str">
        <f>""</f>
        <v/>
      </c>
      <c r="G1186" s="2">
        <v>495</v>
      </c>
    </row>
    <row r="1187" spans="1:8" x14ac:dyDescent="0.25">
      <c r="A1187" t="s">
        <v>347</v>
      </c>
      <c r="B1187">
        <v>83727</v>
      </c>
      <c r="C1187" s="2">
        <v>465</v>
      </c>
      <c r="D1187" s="1">
        <v>43705</v>
      </c>
      <c r="E1187" t="str">
        <f>"201908281306"</f>
        <v>201908281306</v>
      </c>
      <c r="F1187" t="str">
        <f>"REGISTRATION - WEI-ANN LIN"</f>
        <v>REGISTRATION - WEI-ANN LIN</v>
      </c>
      <c r="G1187" s="2">
        <v>465</v>
      </c>
      <c r="H1187" t="str">
        <f>"REGISTRATION - WEI-ANN LIN"</f>
        <v>REGISTRATION - WEI-ANN LIN</v>
      </c>
    </row>
    <row r="1188" spans="1:8" x14ac:dyDescent="0.25">
      <c r="A1188" t="s">
        <v>348</v>
      </c>
      <c r="B1188">
        <v>1147</v>
      </c>
      <c r="C1188" s="2">
        <v>4587.1400000000003</v>
      </c>
      <c r="D1188" s="1">
        <v>43690</v>
      </c>
      <c r="E1188" t="str">
        <f>"IN0825623"</f>
        <v>IN0825623</v>
      </c>
      <c r="F1188" t="str">
        <f>"INV IN0825623"</f>
        <v>INV IN0825623</v>
      </c>
      <c r="G1188" s="2">
        <v>4587.1400000000003</v>
      </c>
      <c r="H1188" t="str">
        <f>"INV IN0825623"</f>
        <v>INV IN0825623</v>
      </c>
    </row>
    <row r="1189" spans="1:8" x14ac:dyDescent="0.25">
      <c r="A1189" t="s">
        <v>348</v>
      </c>
      <c r="B1189">
        <v>1224</v>
      </c>
      <c r="C1189" s="2">
        <v>11161.92</v>
      </c>
      <c r="D1189" s="1">
        <v>43704</v>
      </c>
      <c r="E1189" t="str">
        <f>"IN0825848"</f>
        <v>IN0825848</v>
      </c>
      <c r="F1189" t="str">
        <f>"INV IN0825848"</f>
        <v>INV IN0825848</v>
      </c>
      <c r="G1189" s="2">
        <v>4445.28</v>
      </c>
      <c r="H1189" t="str">
        <f>"INV IN0825848"</f>
        <v>INV IN0825848</v>
      </c>
    </row>
    <row r="1190" spans="1:8" x14ac:dyDescent="0.25">
      <c r="E1190" t="str">
        <f>"IN0826375"</f>
        <v>IN0826375</v>
      </c>
      <c r="F1190" t="str">
        <f>"INV IN0826375"</f>
        <v>INV IN0826375</v>
      </c>
      <c r="G1190" s="2">
        <v>2793.6</v>
      </c>
      <c r="H1190" t="str">
        <f>"INV IN0826375"</f>
        <v>INV IN0826375</v>
      </c>
    </row>
    <row r="1191" spans="1:8" x14ac:dyDescent="0.25">
      <c r="E1191" t="str">
        <f>"IN0826555"</f>
        <v>IN0826555</v>
      </c>
      <c r="F1191" t="str">
        <f>"INV IN0826555"</f>
        <v>INV IN0826555</v>
      </c>
      <c r="G1191" s="2">
        <v>3923.04</v>
      </c>
      <c r="H1191" t="str">
        <f>"INV IN0826555"</f>
        <v>INV IN0826555</v>
      </c>
    </row>
    <row r="1192" spans="1:8" x14ac:dyDescent="0.25">
      <c r="A1192" t="s">
        <v>349</v>
      </c>
      <c r="B1192">
        <v>83613</v>
      </c>
      <c r="C1192" s="2">
        <v>33673.120000000003</v>
      </c>
      <c r="D1192" s="1">
        <v>43703</v>
      </c>
      <c r="E1192" t="str">
        <f>"1090"</f>
        <v>1090</v>
      </c>
      <c r="F1192" t="str">
        <f>"inv# 1090"</f>
        <v>inv# 1090</v>
      </c>
      <c r="G1192" s="2">
        <v>33673.120000000003</v>
      </c>
      <c r="H1192" t="str">
        <f>"inv# 1090"</f>
        <v>inv# 1090</v>
      </c>
    </row>
    <row r="1193" spans="1:8" x14ac:dyDescent="0.25">
      <c r="A1193" t="s">
        <v>350</v>
      </c>
      <c r="B1193">
        <v>83614</v>
      </c>
      <c r="C1193" s="2">
        <v>900</v>
      </c>
      <c r="D1193" s="1">
        <v>43703</v>
      </c>
      <c r="E1193" t="str">
        <f>"201908211227"</f>
        <v>201908211227</v>
      </c>
      <c r="F1193" t="str">
        <f>"INV  AUGUST 19  2019"</f>
        <v>INV  AUGUST 19  2019</v>
      </c>
      <c r="G1193" s="2">
        <v>900</v>
      </c>
      <c r="H1193" t="str">
        <f>"INV  AUGUST 19  2019"</f>
        <v>INV  AUGUST 19  2019</v>
      </c>
    </row>
    <row r="1194" spans="1:8" x14ac:dyDescent="0.25">
      <c r="A1194" t="s">
        <v>351</v>
      </c>
      <c r="B1194">
        <v>83415</v>
      </c>
      <c r="C1194" s="2">
        <v>92.79</v>
      </c>
      <c r="D1194" s="1">
        <v>43689</v>
      </c>
      <c r="E1194" t="str">
        <f>"201908020823"</f>
        <v>201908020823</v>
      </c>
      <c r="F1194" t="str">
        <f>"REIMBURSE-MEALS"</f>
        <v>REIMBURSE-MEALS</v>
      </c>
      <c r="G1194" s="2">
        <v>92.79</v>
      </c>
      <c r="H1194" t="str">
        <f>"REIMBURSE-MEALS"</f>
        <v>REIMBURSE-MEALS</v>
      </c>
    </row>
    <row r="1195" spans="1:8" x14ac:dyDescent="0.25">
      <c r="A1195" t="s">
        <v>352</v>
      </c>
      <c r="B1195">
        <v>83416</v>
      </c>
      <c r="C1195" s="2">
        <v>1169.3399999999999</v>
      </c>
      <c r="D1195" s="1">
        <v>43689</v>
      </c>
      <c r="E1195" t="str">
        <f>"30929S"</f>
        <v>30929S</v>
      </c>
      <c r="F1195" t="str">
        <f>"ACCT#38859/PCT#2"</f>
        <v>ACCT#38859/PCT#2</v>
      </c>
      <c r="G1195" s="2">
        <v>1169.3399999999999</v>
      </c>
      <c r="H1195" t="str">
        <f>"ACCT#38859/PCT#2"</f>
        <v>ACCT#38859/PCT#2</v>
      </c>
    </row>
    <row r="1196" spans="1:8" x14ac:dyDescent="0.25">
      <c r="A1196" t="s">
        <v>353</v>
      </c>
      <c r="B1196">
        <v>1213</v>
      </c>
      <c r="C1196" s="2">
        <v>125.15</v>
      </c>
      <c r="D1196" s="1">
        <v>43690</v>
      </c>
      <c r="E1196" t="str">
        <f>"0581-471808"</f>
        <v>0581-471808</v>
      </c>
      <c r="F1196" t="str">
        <f>"INV 0581-471808"</f>
        <v>INV 0581-471808</v>
      </c>
      <c r="G1196" s="2">
        <v>11.53</v>
      </c>
      <c r="H1196" t="str">
        <f>"INV 0581-471808"</f>
        <v>INV 0581-471808</v>
      </c>
    </row>
    <row r="1197" spans="1:8" x14ac:dyDescent="0.25">
      <c r="E1197" t="str">
        <f>"0581-480325"</f>
        <v>0581-480325</v>
      </c>
      <c r="F1197" t="str">
        <f>"INV 0581-480325"</f>
        <v>INV 0581-480325</v>
      </c>
      <c r="G1197" s="2">
        <v>49.99</v>
      </c>
      <c r="H1197" t="str">
        <f>"INV 0581-480325"</f>
        <v>INV 0581-480325</v>
      </c>
    </row>
    <row r="1198" spans="1:8" x14ac:dyDescent="0.25">
      <c r="E1198" t="str">
        <f>"201908060900"</f>
        <v>201908060900</v>
      </c>
      <c r="F1198" t="str">
        <f>"CUST#99088/PCT#4"</f>
        <v>CUST#99088/PCT#4</v>
      </c>
      <c r="G1198" s="2">
        <v>63.63</v>
      </c>
      <c r="H1198" t="str">
        <f>"CUST#99088/PCT#4"</f>
        <v>CUST#99088/PCT#4</v>
      </c>
    </row>
    <row r="1199" spans="1:8" x14ac:dyDescent="0.25">
      <c r="A1199" t="s">
        <v>354</v>
      </c>
      <c r="B1199">
        <v>83417</v>
      </c>
      <c r="C1199" s="2">
        <v>1473.39</v>
      </c>
      <c r="D1199" s="1">
        <v>43689</v>
      </c>
      <c r="E1199" t="str">
        <f>"1691468 1688267 16"</f>
        <v>1691468 1688267 16</v>
      </c>
      <c r="F1199" t="str">
        <f>"INV 1691468"</f>
        <v>INV 1691468</v>
      </c>
      <c r="G1199" s="2">
        <v>1473.39</v>
      </c>
      <c r="H1199" t="str">
        <f>"INV 1691468"</f>
        <v>INV 1691468</v>
      </c>
    </row>
    <row r="1200" spans="1:8" x14ac:dyDescent="0.25">
      <c r="E1200" t="str">
        <f>""</f>
        <v/>
      </c>
      <c r="F1200" t="str">
        <f>""</f>
        <v/>
      </c>
      <c r="H1200" t="str">
        <f>"INV 1688267"</f>
        <v>INV 1688267</v>
      </c>
    </row>
    <row r="1201" spans="1:8" x14ac:dyDescent="0.25">
      <c r="E1201" t="str">
        <f>""</f>
        <v/>
      </c>
      <c r="F1201" t="str">
        <f>""</f>
        <v/>
      </c>
      <c r="H1201" t="str">
        <f>"INV 1693776"</f>
        <v>INV 1693776</v>
      </c>
    </row>
    <row r="1202" spans="1:8" x14ac:dyDescent="0.25">
      <c r="E1202" t="str">
        <f>""</f>
        <v/>
      </c>
      <c r="F1202" t="str">
        <f>""</f>
        <v/>
      </c>
      <c r="H1202" t="str">
        <f>"INV 1685943"</f>
        <v>INV 1685943</v>
      </c>
    </row>
    <row r="1203" spans="1:8" x14ac:dyDescent="0.25">
      <c r="E1203" t="str">
        <f>""</f>
        <v/>
      </c>
      <c r="F1203" t="str">
        <f>""</f>
        <v/>
      </c>
      <c r="H1203" t="str">
        <f>"INV 1696914"</f>
        <v>INV 1696914</v>
      </c>
    </row>
    <row r="1204" spans="1:8" x14ac:dyDescent="0.25">
      <c r="E1204" t="str">
        <f>""</f>
        <v/>
      </c>
      <c r="F1204" t="str">
        <f>""</f>
        <v/>
      </c>
      <c r="H1204" t="str">
        <f>"INV 1699231"</f>
        <v>INV 1699231</v>
      </c>
    </row>
    <row r="1205" spans="1:8" x14ac:dyDescent="0.25">
      <c r="A1205" t="s">
        <v>354</v>
      </c>
      <c r="B1205">
        <v>83615</v>
      </c>
      <c r="C1205" s="2">
        <v>1036.83</v>
      </c>
      <c r="D1205" s="1">
        <v>43703</v>
      </c>
      <c r="E1205" t="str">
        <f>"1704668 1710561 40"</f>
        <v>1704668 1710561 40</v>
      </c>
      <c r="F1205" t="str">
        <f>"INV 40174339"</f>
        <v>INV 40174339</v>
      </c>
      <c r="G1205" s="2">
        <v>1036.83</v>
      </c>
      <c r="H1205" t="str">
        <f>"INV 40174339"</f>
        <v>INV 40174339</v>
      </c>
    </row>
    <row r="1206" spans="1:8" x14ac:dyDescent="0.25">
      <c r="E1206" t="str">
        <f>""</f>
        <v/>
      </c>
      <c r="F1206" t="str">
        <f>""</f>
        <v/>
      </c>
      <c r="H1206" t="str">
        <f>"INV 1704668"</f>
        <v>INV 1704668</v>
      </c>
    </row>
    <row r="1207" spans="1:8" x14ac:dyDescent="0.25">
      <c r="E1207" t="str">
        <f>""</f>
        <v/>
      </c>
      <c r="F1207" t="str">
        <f>""</f>
        <v/>
      </c>
      <c r="H1207" t="str">
        <f>"INV 1710561"</f>
        <v>INV 1710561</v>
      </c>
    </row>
    <row r="1208" spans="1:8" x14ac:dyDescent="0.25">
      <c r="A1208" t="s">
        <v>355</v>
      </c>
      <c r="B1208">
        <v>83418</v>
      </c>
      <c r="C1208" s="2">
        <v>6441.8</v>
      </c>
      <c r="D1208" s="1">
        <v>43689</v>
      </c>
      <c r="E1208" t="str">
        <f>"11995237"</f>
        <v>11995237</v>
      </c>
      <c r="F1208" t="str">
        <f>"Bill# 11995237"</f>
        <v>Bill# 11995237</v>
      </c>
      <c r="G1208" s="2">
        <v>572.75</v>
      </c>
      <c r="H1208" t="str">
        <f>"Ord# 337477286001"</f>
        <v>Ord# 337477286001</v>
      </c>
    </row>
    <row r="1209" spans="1:8" x14ac:dyDescent="0.25">
      <c r="E1209" t="str">
        <f>""</f>
        <v/>
      </c>
      <c r="F1209" t="str">
        <f>""</f>
        <v/>
      </c>
      <c r="H1209" t="str">
        <f>"Ord# 340031291001"</f>
        <v>Ord# 340031291001</v>
      </c>
    </row>
    <row r="1210" spans="1:8" x14ac:dyDescent="0.25">
      <c r="E1210" t="str">
        <f>""</f>
        <v/>
      </c>
      <c r="F1210" t="str">
        <f>""</f>
        <v/>
      </c>
      <c r="H1210" t="str">
        <f>"Ord# 341112137001"</f>
        <v>Ord# 341112137001</v>
      </c>
    </row>
    <row r="1211" spans="1:8" x14ac:dyDescent="0.25">
      <c r="E1211" t="str">
        <f>""</f>
        <v/>
      </c>
      <c r="F1211" t="str">
        <f>""</f>
        <v/>
      </c>
      <c r="H1211" t="str">
        <f>"Ord# 341116926001"</f>
        <v>Ord# 341116926001</v>
      </c>
    </row>
    <row r="1212" spans="1:8" x14ac:dyDescent="0.25">
      <c r="E1212" t="str">
        <f>""</f>
        <v/>
      </c>
      <c r="F1212" t="str">
        <f>""</f>
        <v/>
      </c>
      <c r="H1212" t="str">
        <f>"Ord# 337798943001"</f>
        <v>Ord# 337798943001</v>
      </c>
    </row>
    <row r="1213" spans="1:8" x14ac:dyDescent="0.25">
      <c r="E1213" t="str">
        <f>""</f>
        <v/>
      </c>
      <c r="F1213" t="str">
        <f>""</f>
        <v/>
      </c>
      <c r="H1213" t="str">
        <f>"Ord# 341192429001"</f>
        <v>Ord# 341192429001</v>
      </c>
    </row>
    <row r="1214" spans="1:8" x14ac:dyDescent="0.25">
      <c r="E1214" t="str">
        <f>""</f>
        <v/>
      </c>
      <c r="F1214" t="str">
        <f>""</f>
        <v/>
      </c>
      <c r="H1214" t="str">
        <f>"Ord# 341192429002"</f>
        <v>Ord# 341192429002</v>
      </c>
    </row>
    <row r="1215" spans="1:8" x14ac:dyDescent="0.25">
      <c r="E1215" t="str">
        <f>""</f>
        <v/>
      </c>
      <c r="F1215" t="str">
        <f>""</f>
        <v/>
      </c>
      <c r="H1215" t="str">
        <f>"Ord# 341194014001"</f>
        <v>Ord# 341194014001</v>
      </c>
    </row>
    <row r="1216" spans="1:8" x14ac:dyDescent="0.25">
      <c r="E1216" t="str">
        <f>"12144003"</f>
        <v>12144003</v>
      </c>
      <c r="F1216" t="str">
        <f>"bill# 12144003"</f>
        <v>bill# 12144003</v>
      </c>
      <c r="G1216" s="2">
        <v>3540.14</v>
      </c>
      <c r="H1216" t="str">
        <f>"ord# 343216571001"</f>
        <v>ord# 343216571001</v>
      </c>
    </row>
    <row r="1217" spans="5:8" x14ac:dyDescent="0.25">
      <c r="E1217" t="str">
        <f>""</f>
        <v/>
      </c>
      <c r="F1217" t="str">
        <f>""</f>
        <v/>
      </c>
      <c r="H1217" t="str">
        <f>"ord# 346392156001"</f>
        <v>ord# 346392156001</v>
      </c>
    </row>
    <row r="1218" spans="5:8" x14ac:dyDescent="0.25">
      <c r="E1218" t="str">
        <f>""</f>
        <v/>
      </c>
      <c r="F1218" t="str">
        <f>""</f>
        <v/>
      </c>
      <c r="H1218" t="str">
        <f>"ord# 346400591001"</f>
        <v>ord# 346400591001</v>
      </c>
    </row>
    <row r="1219" spans="5:8" x14ac:dyDescent="0.25">
      <c r="E1219" t="str">
        <f>""</f>
        <v/>
      </c>
      <c r="F1219" t="str">
        <f>""</f>
        <v/>
      </c>
      <c r="H1219" t="str">
        <f>"ord# 353466827001"</f>
        <v>ord# 353466827001</v>
      </c>
    </row>
    <row r="1220" spans="5:8" x14ac:dyDescent="0.25">
      <c r="E1220" t="str">
        <f>""</f>
        <v/>
      </c>
      <c r="F1220" t="str">
        <f>""</f>
        <v/>
      </c>
      <c r="H1220" t="str">
        <f>"ord# 351593334001"</f>
        <v>ord# 351593334001</v>
      </c>
    </row>
    <row r="1221" spans="5:8" x14ac:dyDescent="0.25">
      <c r="E1221" t="str">
        <f>""</f>
        <v/>
      </c>
      <c r="F1221" t="str">
        <f>""</f>
        <v/>
      </c>
      <c r="H1221" t="str">
        <f>"ord# 351606458001"</f>
        <v>ord# 351606458001</v>
      </c>
    </row>
    <row r="1222" spans="5:8" x14ac:dyDescent="0.25">
      <c r="E1222" t="str">
        <f>""</f>
        <v/>
      </c>
      <c r="F1222" t="str">
        <f>""</f>
        <v/>
      </c>
      <c r="H1222" t="str">
        <f>"ord# 351606459001"</f>
        <v>ord# 351606459001</v>
      </c>
    </row>
    <row r="1223" spans="5:8" x14ac:dyDescent="0.25">
      <c r="E1223" t="str">
        <f>""</f>
        <v/>
      </c>
      <c r="F1223" t="str">
        <f>""</f>
        <v/>
      </c>
      <c r="H1223" t="str">
        <f>"ord# 347577911001"</f>
        <v>ord# 347577911001</v>
      </c>
    </row>
    <row r="1224" spans="5:8" x14ac:dyDescent="0.25">
      <c r="E1224" t="str">
        <f>""</f>
        <v/>
      </c>
      <c r="F1224" t="str">
        <f>""</f>
        <v/>
      </c>
      <c r="H1224" t="str">
        <f>"ord# 347577911002"</f>
        <v>ord# 347577911002</v>
      </c>
    </row>
    <row r="1225" spans="5:8" x14ac:dyDescent="0.25">
      <c r="E1225" t="str">
        <f>""</f>
        <v/>
      </c>
      <c r="F1225" t="str">
        <f>""</f>
        <v/>
      </c>
      <c r="H1225" t="str">
        <f>"ord# 347583804001"</f>
        <v>ord# 347583804001</v>
      </c>
    </row>
    <row r="1226" spans="5:8" x14ac:dyDescent="0.25">
      <c r="E1226" t="str">
        <f>""</f>
        <v/>
      </c>
      <c r="F1226" t="str">
        <f>""</f>
        <v/>
      </c>
      <c r="H1226" t="str">
        <f>"ord# 354458324001"</f>
        <v>ord# 354458324001</v>
      </c>
    </row>
    <row r="1227" spans="5:8" x14ac:dyDescent="0.25">
      <c r="E1227" t="str">
        <f>""</f>
        <v/>
      </c>
      <c r="F1227" t="str">
        <f>""</f>
        <v/>
      </c>
      <c r="H1227" t="str">
        <f>"ord# 354460444001"</f>
        <v>ord# 354460444001</v>
      </c>
    </row>
    <row r="1228" spans="5:8" x14ac:dyDescent="0.25">
      <c r="E1228" t="str">
        <f>""</f>
        <v/>
      </c>
      <c r="F1228" t="str">
        <f>""</f>
        <v/>
      </c>
      <c r="H1228" t="str">
        <f>"ord# 352792440001"</f>
        <v>ord# 352792440001</v>
      </c>
    </row>
    <row r="1229" spans="5:8" x14ac:dyDescent="0.25">
      <c r="E1229" t="str">
        <f>""</f>
        <v/>
      </c>
      <c r="F1229" t="str">
        <f>""</f>
        <v/>
      </c>
      <c r="H1229" t="str">
        <f>"ord# 352793162001"</f>
        <v>ord# 352793162001</v>
      </c>
    </row>
    <row r="1230" spans="5:8" x14ac:dyDescent="0.25">
      <c r="E1230" t="str">
        <f>""</f>
        <v/>
      </c>
      <c r="F1230" t="str">
        <f>""</f>
        <v/>
      </c>
      <c r="H1230" t="str">
        <f>"ord# 3527923163001"</f>
        <v>ord# 3527923163001</v>
      </c>
    </row>
    <row r="1231" spans="5:8" x14ac:dyDescent="0.25">
      <c r="E1231" t="str">
        <f>""</f>
        <v/>
      </c>
      <c r="F1231" t="str">
        <f>""</f>
        <v/>
      </c>
      <c r="H1231" t="str">
        <f>"ord# 345016391001"</f>
        <v>ord# 345016391001</v>
      </c>
    </row>
    <row r="1232" spans="5:8" x14ac:dyDescent="0.25">
      <c r="E1232" t="str">
        <f>""</f>
        <v/>
      </c>
      <c r="F1232" t="str">
        <f>""</f>
        <v/>
      </c>
      <c r="H1232" t="str">
        <f>"ord# 349052927001"</f>
        <v>ord# 349052927001</v>
      </c>
    </row>
    <row r="1233" spans="1:8" x14ac:dyDescent="0.25">
      <c r="E1233" t="str">
        <f>""</f>
        <v/>
      </c>
      <c r="F1233" t="str">
        <f>""</f>
        <v/>
      </c>
      <c r="H1233" t="str">
        <f>"ord# 349055235001"</f>
        <v>ord# 349055235001</v>
      </c>
    </row>
    <row r="1234" spans="1:8" x14ac:dyDescent="0.25">
      <c r="E1234" t="str">
        <f>""</f>
        <v/>
      </c>
      <c r="F1234" t="str">
        <f>""</f>
        <v/>
      </c>
      <c r="H1234" t="str">
        <f>"ord# 349055236001"</f>
        <v>ord# 349055236001</v>
      </c>
    </row>
    <row r="1235" spans="1:8" x14ac:dyDescent="0.25">
      <c r="E1235" t="str">
        <f>""</f>
        <v/>
      </c>
      <c r="F1235" t="str">
        <f>""</f>
        <v/>
      </c>
      <c r="H1235" t="str">
        <f>"ord# 349055838001"</f>
        <v>ord# 349055838001</v>
      </c>
    </row>
    <row r="1236" spans="1:8" x14ac:dyDescent="0.25">
      <c r="E1236" t="str">
        <f>""</f>
        <v/>
      </c>
      <c r="F1236" t="str">
        <f>""</f>
        <v/>
      </c>
      <c r="H1236" t="str">
        <f>"ord# 349056120001"</f>
        <v>ord# 349056120001</v>
      </c>
    </row>
    <row r="1237" spans="1:8" x14ac:dyDescent="0.25">
      <c r="E1237" t="str">
        <f>""</f>
        <v/>
      </c>
      <c r="F1237" t="str">
        <f>""</f>
        <v/>
      </c>
      <c r="H1237" t="str">
        <f>"ord# 349056121001"</f>
        <v>ord# 349056121001</v>
      </c>
    </row>
    <row r="1238" spans="1:8" x14ac:dyDescent="0.25">
      <c r="E1238" t="str">
        <f>""</f>
        <v/>
      </c>
      <c r="F1238" t="str">
        <f>""</f>
        <v/>
      </c>
      <c r="H1238" t="str">
        <f>"ord# 349056122001"</f>
        <v>ord# 349056122001</v>
      </c>
    </row>
    <row r="1239" spans="1:8" x14ac:dyDescent="0.25">
      <c r="E1239" t="str">
        <f>""</f>
        <v/>
      </c>
      <c r="F1239" t="str">
        <f>""</f>
        <v/>
      </c>
      <c r="H1239" t="str">
        <f>"ord# 347677537001"</f>
        <v>ord# 347677537001</v>
      </c>
    </row>
    <row r="1240" spans="1:8" x14ac:dyDescent="0.25">
      <c r="E1240" t="str">
        <f>""</f>
        <v/>
      </c>
      <c r="F1240" t="str">
        <f>""</f>
        <v/>
      </c>
      <c r="H1240" t="str">
        <f>"ord# 343844713001"</f>
        <v>ord# 343844713001</v>
      </c>
    </row>
    <row r="1241" spans="1:8" x14ac:dyDescent="0.25">
      <c r="E1241" t="str">
        <f>"347326647"</f>
        <v>347326647</v>
      </c>
      <c r="F1241" t="str">
        <f>"Furniture for Mike Fisher"</f>
        <v>Furniture for Mike Fisher</v>
      </c>
      <c r="G1241" s="2">
        <v>2328.91</v>
      </c>
      <c r="H1241" t="str">
        <f>"H10563"</f>
        <v>H10563</v>
      </c>
    </row>
    <row r="1242" spans="1:8" x14ac:dyDescent="0.25">
      <c r="E1242" t="str">
        <f>""</f>
        <v/>
      </c>
      <c r="F1242" t="str">
        <f>""</f>
        <v/>
      </c>
      <c r="H1242" t="str">
        <f>"H105292"</f>
        <v>H105292</v>
      </c>
    </row>
    <row r="1243" spans="1:8" x14ac:dyDescent="0.25">
      <c r="E1243" t="str">
        <f>""</f>
        <v/>
      </c>
      <c r="F1243" t="str">
        <f>""</f>
        <v/>
      </c>
      <c r="H1243" t="str">
        <f>"H10592"</f>
        <v>H10592</v>
      </c>
    </row>
    <row r="1244" spans="1:8" x14ac:dyDescent="0.25">
      <c r="E1244" t="str">
        <f>""</f>
        <v/>
      </c>
      <c r="F1244" t="str">
        <f>""</f>
        <v/>
      </c>
      <c r="H1244" t="str">
        <f>"H10502"</f>
        <v>H10502</v>
      </c>
    </row>
    <row r="1245" spans="1:8" x14ac:dyDescent="0.25">
      <c r="E1245" t="str">
        <f>""</f>
        <v/>
      </c>
      <c r="F1245" t="str">
        <f>""</f>
        <v/>
      </c>
      <c r="H1245" t="str">
        <f>"H10504"</f>
        <v>H10504</v>
      </c>
    </row>
    <row r="1246" spans="1:8" x14ac:dyDescent="0.25">
      <c r="E1246" t="str">
        <f>""</f>
        <v/>
      </c>
      <c r="F1246" t="str">
        <f>""</f>
        <v/>
      </c>
      <c r="H1246" t="str">
        <f>"H10541"</f>
        <v>H10541</v>
      </c>
    </row>
    <row r="1247" spans="1:8" x14ac:dyDescent="0.25">
      <c r="A1247" t="s">
        <v>355</v>
      </c>
      <c r="B1247">
        <v>83616</v>
      </c>
      <c r="C1247" s="2">
        <v>693.76</v>
      </c>
      <c r="D1247" s="1">
        <v>43703</v>
      </c>
      <c r="E1247" t="str">
        <f>"12253660"</f>
        <v>12253660</v>
      </c>
      <c r="F1247" t="str">
        <f>"bill# 12253660"</f>
        <v>bill# 12253660</v>
      </c>
      <c r="G1247" s="2">
        <v>693.76</v>
      </c>
      <c r="H1247" t="str">
        <f>"ord# 359947730001"</f>
        <v>ord# 359947730001</v>
      </c>
    </row>
    <row r="1248" spans="1:8" x14ac:dyDescent="0.25">
      <c r="E1248" t="str">
        <f>""</f>
        <v/>
      </c>
      <c r="F1248" t="str">
        <f>""</f>
        <v/>
      </c>
      <c r="H1248" t="str">
        <f>"ord# 359950944001"</f>
        <v>ord# 359950944001</v>
      </c>
    </row>
    <row r="1249" spans="1:8" x14ac:dyDescent="0.25">
      <c r="E1249" t="str">
        <f>""</f>
        <v/>
      </c>
      <c r="F1249" t="str">
        <f>""</f>
        <v/>
      </c>
      <c r="H1249" t="str">
        <f>"ord# 363947752001"</f>
        <v>ord# 363947752001</v>
      </c>
    </row>
    <row r="1250" spans="1:8" x14ac:dyDescent="0.25">
      <c r="E1250" t="str">
        <f>""</f>
        <v/>
      </c>
      <c r="F1250" t="str">
        <f>""</f>
        <v/>
      </c>
      <c r="H1250" t="str">
        <f>"ord# 361307487001"</f>
        <v>ord# 361307487001</v>
      </c>
    </row>
    <row r="1251" spans="1:8" x14ac:dyDescent="0.25">
      <c r="E1251" t="str">
        <f>""</f>
        <v/>
      </c>
      <c r="F1251" t="str">
        <f>""</f>
        <v/>
      </c>
      <c r="H1251" t="str">
        <f>"ord# 357395886001"</f>
        <v>ord# 357395886001</v>
      </c>
    </row>
    <row r="1252" spans="1:8" x14ac:dyDescent="0.25">
      <c r="E1252" t="str">
        <f>""</f>
        <v/>
      </c>
      <c r="F1252" t="str">
        <f>""</f>
        <v/>
      </c>
      <c r="H1252" t="str">
        <f>"ord# 357401166001"</f>
        <v>ord# 357401166001</v>
      </c>
    </row>
    <row r="1253" spans="1:8" x14ac:dyDescent="0.25">
      <c r="E1253" t="str">
        <f>""</f>
        <v/>
      </c>
      <c r="F1253" t="str">
        <f>""</f>
        <v/>
      </c>
      <c r="H1253" t="str">
        <f>"ord# 354926186001"</f>
        <v>ord# 354926186001</v>
      </c>
    </row>
    <row r="1254" spans="1:8" x14ac:dyDescent="0.25">
      <c r="E1254" t="str">
        <f>""</f>
        <v/>
      </c>
      <c r="F1254" t="str">
        <f>""</f>
        <v/>
      </c>
      <c r="H1254" t="str">
        <f>"ord# 363319395001"</f>
        <v>ord# 363319395001</v>
      </c>
    </row>
    <row r="1255" spans="1:8" x14ac:dyDescent="0.25">
      <c r="E1255" t="str">
        <f>""</f>
        <v/>
      </c>
      <c r="F1255" t="str">
        <f>""</f>
        <v/>
      </c>
      <c r="H1255" t="str">
        <f>"ord# 363337529001"</f>
        <v>ord# 363337529001</v>
      </c>
    </row>
    <row r="1256" spans="1:8" x14ac:dyDescent="0.25">
      <c r="E1256" t="str">
        <f>""</f>
        <v/>
      </c>
      <c r="F1256" t="str">
        <f>""</f>
        <v/>
      </c>
      <c r="H1256" t="str">
        <f>"ord# 362555373001"</f>
        <v>ord# 362555373001</v>
      </c>
    </row>
    <row r="1257" spans="1:8" x14ac:dyDescent="0.25">
      <c r="A1257" t="s">
        <v>356</v>
      </c>
      <c r="B1257">
        <v>83419</v>
      </c>
      <c r="C1257" s="2">
        <v>35</v>
      </c>
      <c r="D1257" s="1">
        <v>43689</v>
      </c>
      <c r="E1257" t="str">
        <f>"285937"</f>
        <v>285937</v>
      </c>
      <c r="F1257" t="str">
        <f>"CUST ID:BASCOU/DRUG SCREEN"</f>
        <v>CUST ID:BASCOU/DRUG SCREEN</v>
      </c>
      <c r="G1257" s="2">
        <v>35</v>
      </c>
      <c r="H1257" t="str">
        <f>"CUST ID:BASCOU/DRUG SCREEN"</f>
        <v>CUST ID:BASCOU/DRUG SCREEN</v>
      </c>
    </row>
    <row r="1258" spans="1:8" x14ac:dyDescent="0.25">
      <c r="A1258" t="s">
        <v>357</v>
      </c>
      <c r="B1258">
        <v>83420</v>
      </c>
      <c r="C1258" s="2">
        <v>260</v>
      </c>
      <c r="D1258" s="1">
        <v>43689</v>
      </c>
      <c r="E1258" t="str">
        <f>"201908060960"</f>
        <v>201908060960</v>
      </c>
      <c r="F1258" t="str">
        <f>"STATE BAR DUES-REIMBURSEMENT"</f>
        <v>STATE BAR DUES-REIMBURSEMENT</v>
      </c>
      <c r="G1258" s="2">
        <v>260</v>
      </c>
      <c r="H1258" t="str">
        <f>"STATE BAR DUES-REIMBURSEMENT"</f>
        <v>STATE BAR DUES-REIMBURSEMENT</v>
      </c>
    </row>
    <row r="1259" spans="1:8" x14ac:dyDescent="0.25">
      <c r="A1259" t="s">
        <v>358</v>
      </c>
      <c r="B1259">
        <v>83421</v>
      </c>
      <c r="C1259" s="2">
        <v>70</v>
      </c>
      <c r="D1259" s="1">
        <v>43689</v>
      </c>
      <c r="E1259" t="str">
        <f>"55940"</f>
        <v>55940</v>
      </c>
      <c r="F1259" t="str">
        <f>"INV 55940"</f>
        <v>INV 55940</v>
      </c>
      <c r="G1259" s="2">
        <v>70</v>
      </c>
      <c r="H1259" t="str">
        <f>"INV 55940"</f>
        <v>INV 55940</v>
      </c>
    </row>
    <row r="1260" spans="1:8" x14ac:dyDescent="0.25">
      <c r="A1260" t="s">
        <v>359</v>
      </c>
      <c r="B1260">
        <v>83422</v>
      </c>
      <c r="C1260" s="2">
        <v>170.37</v>
      </c>
      <c r="D1260" s="1">
        <v>43689</v>
      </c>
      <c r="E1260" t="str">
        <f>"69510"</f>
        <v>69510</v>
      </c>
      <c r="F1260" t="str">
        <f>"ITEM#602864/BLADE/PCT#4"</f>
        <v>ITEM#602864/BLADE/PCT#4</v>
      </c>
      <c r="G1260" s="2">
        <v>98.37</v>
      </c>
      <c r="H1260" t="str">
        <f>"ITEM#602864/BLADE/PCT#4"</f>
        <v>ITEM#602864/BLADE/PCT#4</v>
      </c>
    </row>
    <row r="1261" spans="1:8" x14ac:dyDescent="0.25">
      <c r="E1261" t="str">
        <f>"69828"</f>
        <v>69828</v>
      </c>
      <c r="F1261" t="str">
        <f>"CLAMP/TRIMMER HEAD/GEN SVCS"</f>
        <v>CLAMP/TRIMMER HEAD/GEN SVCS</v>
      </c>
      <c r="G1261" s="2">
        <v>72</v>
      </c>
      <c r="H1261" t="str">
        <f>"CLAMP/TRIMMER HEAD/GEN SVCS"</f>
        <v>CLAMP/TRIMMER HEAD/GEN SVCS</v>
      </c>
    </row>
    <row r="1262" spans="1:8" x14ac:dyDescent="0.25">
      <c r="A1262" t="s">
        <v>360</v>
      </c>
      <c r="B1262">
        <v>83423</v>
      </c>
      <c r="C1262" s="2">
        <v>717.21</v>
      </c>
      <c r="D1262" s="1">
        <v>43689</v>
      </c>
      <c r="E1262" t="str">
        <f>"201908060905"</f>
        <v>201908060905</v>
      </c>
      <c r="F1262" t="str">
        <f>"ACCT#1137/PCT#4"</f>
        <v>ACCT#1137/PCT#4</v>
      </c>
      <c r="G1262" s="2">
        <v>717.21</v>
      </c>
      <c r="H1262" t="str">
        <f>"ACCT#1137/PCT#4"</f>
        <v>ACCT#1137/PCT#4</v>
      </c>
    </row>
    <row r="1263" spans="1:8" x14ac:dyDescent="0.25">
      <c r="A1263" t="s">
        <v>361</v>
      </c>
      <c r="B1263">
        <v>83424</v>
      </c>
      <c r="C1263" s="2">
        <v>2501.1</v>
      </c>
      <c r="D1263" s="1">
        <v>43689</v>
      </c>
      <c r="E1263" t="str">
        <f>"201908060954"</f>
        <v>201908060954</v>
      </c>
      <c r="F1263" t="str">
        <f>"ACCT#0200140783/ANIMAL SVCS"</f>
        <v>ACCT#0200140783/ANIMAL SVCS</v>
      </c>
      <c r="G1263" s="2">
        <v>2501.1</v>
      </c>
      <c r="H1263" t="str">
        <f>"ACCT#0200140783/ANIMAL SVCS"</f>
        <v>ACCT#0200140783/ANIMAL SVCS</v>
      </c>
    </row>
    <row r="1264" spans="1:8" x14ac:dyDescent="0.25">
      <c r="E1264" t="str">
        <f>""</f>
        <v/>
      </c>
      <c r="F1264" t="str">
        <f>""</f>
        <v/>
      </c>
      <c r="H1264" t="str">
        <f>"ACCT#0200140783/ANIMAL SVCS"</f>
        <v>ACCT#0200140783/ANIMAL SVCS</v>
      </c>
    </row>
    <row r="1265" spans="1:8" x14ac:dyDescent="0.25">
      <c r="A1265" t="s">
        <v>362</v>
      </c>
      <c r="B1265">
        <v>83617</v>
      </c>
      <c r="C1265" s="2">
        <v>316.31</v>
      </c>
      <c r="D1265" s="1">
        <v>43703</v>
      </c>
      <c r="E1265" t="str">
        <f>"X0132484591"</f>
        <v>X0132484591</v>
      </c>
      <c r="F1265" t="str">
        <f>"ACCT#336320/PCT#3"</f>
        <v>ACCT#336320/PCT#3</v>
      </c>
      <c r="G1265" s="2">
        <v>316.31</v>
      </c>
      <c r="H1265" t="str">
        <f>"ACCT#336320/PCT#3"</f>
        <v>ACCT#336320/PCT#3</v>
      </c>
    </row>
    <row r="1266" spans="1:8" x14ac:dyDescent="0.25">
      <c r="A1266" t="s">
        <v>363</v>
      </c>
      <c r="B1266">
        <v>83425</v>
      </c>
      <c r="C1266" s="2">
        <v>2000</v>
      </c>
      <c r="D1266" s="1">
        <v>43689</v>
      </c>
      <c r="E1266" t="str">
        <f>"105471"</f>
        <v>105471</v>
      </c>
      <c r="F1266" t="str">
        <f>"PROJ#05.00077.002/2014 CERT"</f>
        <v>PROJ#05.00077.002/2014 CERT</v>
      </c>
      <c r="G1266" s="2">
        <v>2000</v>
      </c>
      <c r="H1266" t="str">
        <f>"PROJ#05.00077.002/2014 CERT"</f>
        <v>PROJ#05.00077.002/2014 CERT</v>
      </c>
    </row>
    <row r="1267" spans="1:8" x14ac:dyDescent="0.25">
      <c r="A1267" t="s">
        <v>364</v>
      </c>
      <c r="B1267">
        <v>83426</v>
      </c>
      <c r="C1267" s="2">
        <v>126.44</v>
      </c>
      <c r="D1267" s="1">
        <v>43689</v>
      </c>
      <c r="E1267" t="str">
        <f>"201908060959"</f>
        <v>201908060959</v>
      </c>
      <c r="F1267" t="str">
        <f>"MILEAGE REIMBURSEMENT"</f>
        <v>MILEAGE REIMBURSEMENT</v>
      </c>
      <c r="G1267" s="2">
        <v>126.44</v>
      </c>
      <c r="H1267" t="str">
        <f>"MILEAGE REIMBURSEMENT"</f>
        <v>MILEAGE REIMBURSEMENT</v>
      </c>
    </row>
    <row r="1268" spans="1:8" x14ac:dyDescent="0.25">
      <c r="A1268" t="s">
        <v>365</v>
      </c>
      <c r="B1268">
        <v>1199</v>
      </c>
      <c r="C1268" s="2">
        <v>3314.5</v>
      </c>
      <c r="D1268" s="1">
        <v>43690</v>
      </c>
      <c r="E1268" t="str">
        <f>"201907310725"</f>
        <v>201907310725</v>
      </c>
      <c r="F1268" t="str">
        <f>"56794"</f>
        <v>56794</v>
      </c>
      <c r="G1268" s="2">
        <v>250</v>
      </c>
      <c r="H1268" t="str">
        <f>"56794"</f>
        <v>56794</v>
      </c>
    </row>
    <row r="1269" spans="1:8" x14ac:dyDescent="0.25">
      <c r="E1269" t="str">
        <f>"201907310734"</f>
        <v>201907310734</v>
      </c>
      <c r="F1269" t="str">
        <f>"19-19638"</f>
        <v>19-19638</v>
      </c>
      <c r="G1269" s="2">
        <v>332</v>
      </c>
      <c r="H1269" t="str">
        <f>"19-19638"</f>
        <v>19-19638</v>
      </c>
    </row>
    <row r="1270" spans="1:8" x14ac:dyDescent="0.25">
      <c r="E1270" t="str">
        <f>"201907310737"</f>
        <v>201907310737</v>
      </c>
      <c r="F1270" t="str">
        <f>"19-S-03813"</f>
        <v>19-S-03813</v>
      </c>
      <c r="G1270" s="2">
        <v>100</v>
      </c>
      <c r="H1270" t="str">
        <f>"19-S-03813"</f>
        <v>19-S-03813</v>
      </c>
    </row>
    <row r="1271" spans="1:8" x14ac:dyDescent="0.25">
      <c r="E1271" t="str">
        <f>"201907310741"</f>
        <v>201907310741</v>
      </c>
      <c r="F1271" t="str">
        <f>"19-19740"</f>
        <v>19-19740</v>
      </c>
      <c r="G1271" s="2">
        <v>475</v>
      </c>
      <c r="H1271" t="str">
        <f>"19-19740"</f>
        <v>19-19740</v>
      </c>
    </row>
    <row r="1272" spans="1:8" x14ac:dyDescent="0.25">
      <c r="E1272" t="str">
        <f>"201908060976"</f>
        <v>201908060976</v>
      </c>
      <c r="F1272" t="str">
        <f>"18-19392"</f>
        <v>18-19392</v>
      </c>
      <c r="G1272" s="2">
        <v>292.5</v>
      </c>
      <c r="H1272" t="str">
        <f>"18-19392"</f>
        <v>18-19392</v>
      </c>
    </row>
    <row r="1273" spans="1:8" x14ac:dyDescent="0.25">
      <c r="E1273" t="str">
        <f>"201908070989"</f>
        <v>201908070989</v>
      </c>
      <c r="F1273" t="str">
        <f>"17-18617"</f>
        <v>17-18617</v>
      </c>
      <c r="G1273" s="2">
        <v>1615</v>
      </c>
      <c r="H1273" t="str">
        <f>"17-18617"</f>
        <v>17-18617</v>
      </c>
    </row>
    <row r="1274" spans="1:8" x14ac:dyDescent="0.25">
      <c r="E1274" t="str">
        <f>"201908070995"</f>
        <v>201908070995</v>
      </c>
      <c r="F1274" t="str">
        <f>"DCPC19067"</f>
        <v>DCPC19067</v>
      </c>
      <c r="G1274" s="2">
        <v>250</v>
      </c>
      <c r="H1274" t="str">
        <f>"DCPC19067"</f>
        <v>DCPC19067</v>
      </c>
    </row>
    <row r="1275" spans="1:8" x14ac:dyDescent="0.25">
      <c r="A1275" t="s">
        <v>365</v>
      </c>
      <c r="B1275">
        <v>1268</v>
      </c>
      <c r="C1275" s="2">
        <v>1593</v>
      </c>
      <c r="D1275" s="1">
        <v>43704</v>
      </c>
      <c r="E1275" t="str">
        <f>"201908201144"</f>
        <v>201908201144</v>
      </c>
      <c r="F1275" t="str">
        <f>"56894"</f>
        <v>56894</v>
      </c>
      <c r="G1275" s="2">
        <v>250</v>
      </c>
      <c r="H1275" t="str">
        <f>"56894"</f>
        <v>56894</v>
      </c>
    </row>
    <row r="1276" spans="1:8" x14ac:dyDescent="0.25">
      <c r="E1276" t="str">
        <f>"201908201145"</f>
        <v>201908201145</v>
      </c>
      <c r="F1276" t="str">
        <f>"56556"</f>
        <v>56556</v>
      </c>
      <c r="G1276" s="2">
        <v>250</v>
      </c>
      <c r="H1276" t="str">
        <f>"56556"</f>
        <v>56556</v>
      </c>
    </row>
    <row r="1277" spans="1:8" x14ac:dyDescent="0.25">
      <c r="E1277" t="str">
        <f>"201908201201"</f>
        <v>201908201201</v>
      </c>
      <c r="F1277" t="str">
        <f>"18-19050"</f>
        <v>18-19050</v>
      </c>
      <c r="G1277" s="2">
        <v>363</v>
      </c>
      <c r="H1277" t="str">
        <f>"18-19050"</f>
        <v>18-19050</v>
      </c>
    </row>
    <row r="1278" spans="1:8" x14ac:dyDescent="0.25">
      <c r="E1278" t="str">
        <f>"201908201202"</f>
        <v>201908201202</v>
      </c>
      <c r="F1278" t="str">
        <f>"19-19811"</f>
        <v>19-19811</v>
      </c>
      <c r="G1278" s="2">
        <v>257.5</v>
      </c>
      <c r="H1278" t="str">
        <f>"19-19811"</f>
        <v>19-19811</v>
      </c>
    </row>
    <row r="1279" spans="1:8" x14ac:dyDescent="0.25">
      <c r="E1279" t="str">
        <f>"201908201203"</f>
        <v>201908201203</v>
      </c>
      <c r="F1279" t="str">
        <f>"19-19463"</f>
        <v>19-19463</v>
      </c>
      <c r="G1279" s="2">
        <v>307.5</v>
      </c>
      <c r="H1279" t="str">
        <f>"19-19463"</f>
        <v>19-19463</v>
      </c>
    </row>
    <row r="1280" spans="1:8" x14ac:dyDescent="0.25">
      <c r="E1280" t="str">
        <f>"201908201204"</f>
        <v>201908201204</v>
      </c>
      <c r="F1280" t="str">
        <f>"18-18974"</f>
        <v>18-18974</v>
      </c>
      <c r="G1280" s="2">
        <v>165</v>
      </c>
      <c r="H1280" t="str">
        <f>"18-18974"</f>
        <v>18-18974</v>
      </c>
    </row>
    <row r="1281" spans="1:8" x14ac:dyDescent="0.25">
      <c r="A1281" t="s">
        <v>366</v>
      </c>
      <c r="B1281">
        <v>1235</v>
      </c>
      <c r="C1281" s="2">
        <v>250</v>
      </c>
      <c r="D1281" s="1">
        <v>43704</v>
      </c>
      <c r="E1281" t="str">
        <f>"201908201140"</f>
        <v>201908201140</v>
      </c>
      <c r="F1281" t="str">
        <f>"56 004"</f>
        <v>56 004</v>
      </c>
      <c r="G1281" s="2">
        <v>250</v>
      </c>
      <c r="H1281" t="str">
        <f>"56 004"</f>
        <v>56 004</v>
      </c>
    </row>
    <row r="1282" spans="1:8" x14ac:dyDescent="0.25">
      <c r="A1282" t="s">
        <v>367</v>
      </c>
      <c r="B1282">
        <v>1176</v>
      </c>
      <c r="C1282" s="2">
        <v>605.37</v>
      </c>
      <c r="D1282" s="1">
        <v>43690</v>
      </c>
      <c r="E1282" t="str">
        <f>"201908060924"</f>
        <v>201908060924</v>
      </c>
      <c r="F1282" t="str">
        <f>"ACCT#0005/PCT#4"</f>
        <v>ACCT#0005/PCT#4</v>
      </c>
      <c r="G1282" s="2">
        <v>605.37</v>
      </c>
      <c r="H1282" t="str">
        <f>"ACCT#0005/PCT#4"</f>
        <v>ACCT#0005/PCT#4</v>
      </c>
    </row>
    <row r="1283" spans="1:8" x14ac:dyDescent="0.25">
      <c r="A1283" t="s">
        <v>368</v>
      </c>
      <c r="B1283">
        <v>83618</v>
      </c>
      <c r="C1283" s="2">
        <v>1390</v>
      </c>
      <c r="D1283" s="1">
        <v>43703</v>
      </c>
      <c r="E1283" t="str">
        <f>"2019089"</f>
        <v>2019089</v>
      </c>
      <c r="F1283" t="str">
        <f>"TRANSPORT-S.L. PROCTOR"</f>
        <v>TRANSPORT-S.L. PROCTOR</v>
      </c>
      <c r="G1283" s="2">
        <v>695</v>
      </c>
      <c r="H1283" t="str">
        <f>"TRANSPORT-S.L. PROCTOR"</f>
        <v>TRANSPORT-S.L. PROCTOR</v>
      </c>
    </row>
    <row r="1284" spans="1:8" x14ac:dyDescent="0.25">
      <c r="E1284" t="str">
        <f>"2019093"</f>
        <v>2019093</v>
      </c>
      <c r="F1284" t="str">
        <f>"TRANSPORT-L.S. SHUGART"</f>
        <v>TRANSPORT-L.S. SHUGART</v>
      </c>
      <c r="G1284" s="2">
        <v>695</v>
      </c>
      <c r="H1284" t="str">
        <f>"TRANSPORT-L.S. SHUGART"</f>
        <v>TRANSPORT-L.S. SHUGART</v>
      </c>
    </row>
    <row r="1285" spans="1:8" x14ac:dyDescent="0.25">
      <c r="A1285" t="s">
        <v>369</v>
      </c>
      <c r="B1285">
        <v>83619</v>
      </c>
      <c r="C1285" s="2">
        <v>16.760000000000002</v>
      </c>
      <c r="D1285" s="1">
        <v>43703</v>
      </c>
      <c r="E1285" t="str">
        <f>"201908201171"</f>
        <v>201908201171</v>
      </c>
      <c r="F1285" t="str">
        <f>"INDIGENT HEALTH"</f>
        <v>INDIGENT HEALTH</v>
      </c>
      <c r="G1285" s="2">
        <v>16.760000000000002</v>
      </c>
      <c r="H1285" t="str">
        <f>"INDIGENT HEALTH"</f>
        <v>INDIGENT HEALTH</v>
      </c>
    </row>
    <row r="1286" spans="1:8" x14ac:dyDescent="0.25">
      <c r="A1286" t="s">
        <v>370</v>
      </c>
      <c r="B1286">
        <v>83427</v>
      </c>
      <c r="C1286" s="2">
        <v>90</v>
      </c>
      <c r="D1286" s="1">
        <v>43689</v>
      </c>
      <c r="E1286" t="str">
        <f>"043798"</f>
        <v>043798</v>
      </c>
      <c r="F1286" t="str">
        <f>"INV 043798"</f>
        <v>INV 043798</v>
      </c>
      <c r="G1286" s="2">
        <v>90</v>
      </c>
      <c r="H1286" t="str">
        <f>"INV 043798"</f>
        <v>INV 043798</v>
      </c>
    </row>
    <row r="1287" spans="1:8" x14ac:dyDescent="0.25">
      <c r="A1287" t="s">
        <v>371</v>
      </c>
      <c r="B1287">
        <v>83428</v>
      </c>
      <c r="C1287" s="2">
        <v>95</v>
      </c>
      <c r="D1287" s="1">
        <v>43689</v>
      </c>
      <c r="E1287" t="str">
        <f>"201907230652"</f>
        <v>201907230652</v>
      </c>
      <c r="F1287" t="str">
        <f>"PER DIEM"</f>
        <v>PER DIEM</v>
      </c>
      <c r="G1287" s="2">
        <v>95</v>
      </c>
      <c r="H1287" t="str">
        <f>"PER DIEM"</f>
        <v>PER DIEM</v>
      </c>
    </row>
    <row r="1288" spans="1:8" x14ac:dyDescent="0.25">
      <c r="A1288" t="s">
        <v>372</v>
      </c>
      <c r="B1288">
        <v>1225</v>
      </c>
      <c r="C1288" s="2">
        <v>170.58</v>
      </c>
      <c r="D1288" s="1">
        <v>43704</v>
      </c>
      <c r="E1288" t="str">
        <f>"19H0121569859"</f>
        <v>19H0121569859</v>
      </c>
      <c r="F1288" t="str">
        <f>"ACCT#0121569859/JP#4"</f>
        <v>ACCT#0121569859/JP#4</v>
      </c>
      <c r="G1288" s="2">
        <v>54.91</v>
      </c>
      <c r="H1288" t="str">
        <f>"ACCT#0121569859/JP#4"</f>
        <v>ACCT#0121569859/JP#4</v>
      </c>
    </row>
    <row r="1289" spans="1:8" x14ac:dyDescent="0.25">
      <c r="E1289" t="str">
        <f>"19H0121587851"</f>
        <v>19H0121587851</v>
      </c>
      <c r="F1289" t="str">
        <f>"ACCT#0121587851/PCT#4"</f>
        <v>ACCT#0121587851/PCT#4</v>
      </c>
      <c r="G1289" s="2">
        <v>115.67</v>
      </c>
      <c r="H1289" t="str">
        <f>"ACCT#0121587851/PCT#4"</f>
        <v>ACCT#0121587851/PCT#4</v>
      </c>
    </row>
    <row r="1290" spans="1:8" x14ac:dyDescent="0.25">
      <c r="A1290" t="s">
        <v>373</v>
      </c>
      <c r="B1290">
        <v>83286</v>
      </c>
      <c r="C1290" s="2">
        <v>1743.69</v>
      </c>
      <c r="D1290" s="1">
        <v>43685</v>
      </c>
      <c r="E1290" t="str">
        <f>"315 000 294 214 2"</f>
        <v>315 000 294 214 2</v>
      </c>
      <c r="F1290" t="str">
        <f>"ACCT#15 070 712-3 / 07262019"</f>
        <v>ACCT#15 070 712-3 / 07262019</v>
      </c>
      <c r="G1290" s="2">
        <v>17.86</v>
      </c>
      <c r="H1290" t="str">
        <f>"ACCT#15 070 712-3 / 07262019"</f>
        <v>ACCT#15 070 712-3 / 07262019</v>
      </c>
    </row>
    <row r="1291" spans="1:8" x14ac:dyDescent="0.25">
      <c r="E1291" t="str">
        <f>"315 000 294 215 9"</f>
        <v>315 000 294 215 9</v>
      </c>
      <c r="F1291" t="str">
        <f>"ACCT#15 070 713-1 / 07262019"</f>
        <v>ACCT#15 070 713-1 / 07262019</v>
      </c>
      <c r="G1291" s="2">
        <v>21.33</v>
      </c>
      <c r="H1291" t="str">
        <f>"ACCT#15 070 713-1 / 07262019"</f>
        <v>ACCT#15 070 713-1 / 07262019</v>
      </c>
    </row>
    <row r="1292" spans="1:8" x14ac:dyDescent="0.25">
      <c r="E1292" t="str">
        <f>"315 000 294 216 7"</f>
        <v>315 000 294 216 7</v>
      </c>
      <c r="F1292" t="str">
        <f>"ACCT#15 072 199-1 / 07262019"</f>
        <v>ACCT#15 072 199-1 / 07262019</v>
      </c>
      <c r="G1292" s="2">
        <v>31.61</v>
      </c>
      <c r="H1292" t="str">
        <f>"ACCT#15 072 199-1 / 07262019"</f>
        <v>ACCT#15 072 199-1 / 07262019</v>
      </c>
    </row>
    <row r="1293" spans="1:8" x14ac:dyDescent="0.25">
      <c r="E1293" t="str">
        <f>"315 000 294 217 5"</f>
        <v>315 000 294 217 5</v>
      </c>
      <c r="F1293" t="str">
        <f>"ACCT#15 072200-7 / 07262019"</f>
        <v>ACCT#15 072200-7 / 07262019</v>
      </c>
      <c r="G1293" s="2">
        <v>278.52</v>
      </c>
      <c r="H1293" t="str">
        <f>"ACCT#15 072200-7 / 07262019"</f>
        <v>ACCT#15 072200-7 / 07262019</v>
      </c>
    </row>
    <row r="1294" spans="1:8" x14ac:dyDescent="0.25">
      <c r="E1294" t="str">
        <f>"315 000 294 218 3"</f>
        <v>315 000 294 218 3</v>
      </c>
      <c r="F1294" t="str">
        <f>"ACCT#15 072 201-5 / 07262019"</f>
        <v>ACCT#15 072 201-5 / 07262019</v>
      </c>
      <c r="G1294" s="2">
        <v>558</v>
      </c>
      <c r="H1294" t="str">
        <f>"ACCT#15 072 201-5 / 07262019"</f>
        <v>ACCT#15 072 201-5 / 07262019</v>
      </c>
    </row>
    <row r="1295" spans="1:8" x14ac:dyDescent="0.25">
      <c r="E1295" t="str">
        <f>"315 000 294 219 1"</f>
        <v>315 000 294 219 1</v>
      </c>
      <c r="F1295" t="str">
        <f>"ACCT#15 072 202-3 / 07262019"</f>
        <v>ACCT#15 072 202-3 / 07262019</v>
      </c>
      <c r="G1295" s="2">
        <v>25.87</v>
      </c>
      <c r="H1295" t="str">
        <f>"ACCT#15 072 202-3 / 07262019"</f>
        <v>ACCT#15 072 202-3 / 07262019</v>
      </c>
    </row>
    <row r="1296" spans="1:8" x14ac:dyDescent="0.25">
      <c r="E1296" t="str">
        <f>"315 000 294 220 9"</f>
        <v>315 000 294 220 9</v>
      </c>
      <c r="F1296" t="str">
        <f>"ACCT#15 072 203-1 / 07262019"</f>
        <v>ACCT#15 072 203-1 / 07262019</v>
      </c>
      <c r="G1296" s="2">
        <v>16.7</v>
      </c>
      <c r="H1296" t="str">
        <f>"ACCT#15 072 203-1 / 07262019"</f>
        <v>ACCT#15 072 203-1 / 07262019</v>
      </c>
    </row>
    <row r="1297" spans="1:8" x14ac:dyDescent="0.25">
      <c r="E1297" t="str">
        <f>"315 000 294 221 7"</f>
        <v>315 000 294 221 7</v>
      </c>
      <c r="F1297" t="str">
        <f>"ACCT#15 072 204-9 / 07262019"</f>
        <v>ACCT#15 072 204-9 / 07262019</v>
      </c>
      <c r="G1297" s="2">
        <v>352.35</v>
      </c>
      <c r="H1297" t="str">
        <f>"ACCT#15 072 204-9 / 07262019"</f>
        <v>ACCT#15 072 204-9 / 07262019</v>
      </c>
    </row>
    <row r="1298" spans="1:8" x14ac:dyDescent="0.25">
      <c r="E1298" t="str">
        <f>"344 000 255 477 7"</f>
        <v>344 000 255 477 7</v>
      </c>
      <c r="F1298" t="str">
        <f>"ACCT#15 069 451-1 / 07252019"</f>
        <v>ACCT#15 069 451-1 / 07252019</v>
      </c>
      <c r="G1298" s="2">
        <v>441.45</v>
      </c>
      <c r="H1298" t="str">
        <f>"ACCT#15 069 451-1 / 07252019"</f>
        <v>ACCT#15 069 451-1 / 07252019</v>
      </c>
    </row>
    <row r="1299" spans="1:8" x14ac:dyDescent="0.25">
      <c r="A1299" t="s">
        <v>374</v>
      </c>
      <c r="B1299">
        <v>1172</v>
      </c>
      <c r="C1299" s="2">
        <v>2144.9899999999998</v>
      </c>
      <c r="D1299" s="1">
        <v>43690</v>
      </c>
      <c r="E1299" t="str">
        <f>"0000012536"</f>
        <v>0000012536</v>
      </c>
      <c r="F1299" t="str">
        <f>"WK ORD#0000013655/PCT#4"</f>
        <v>WK ORD#0000013655/PCT#4</v>
      </c>
      <c r="G1299" s="2">
        <v>2144.9899999999998</v>
      </c>
      <c r="H1299" t="str">
        <f>"WK ORD#0000013655/PCT#4"</f>
        <v>WK ORD#0000013655/PCT#4</v>
      </c>
    </row>
    <row r="1300" spans="1:8" x14ac:dyDescent="0.25">
      <c r="A1300" t="s">
        <v>375</v>
      </c>
      <c r="B1300">
        <v>83429</v>
      </c>
      <c r="C1300" s="2">
        <v>2500</v>
      </c>
      <c r="D1300" s="1">
        <v>43689</v>
      </c>
      <c r="E1300" t="str">
        <f>"201908071036"</f>
        <v>201908071036</v>
      </c>
      <c r="F1300" t="str">
        <f>"ACCT 36251536"</f>
        <v>ACCT 36251536</v>
      </c>
      <c r="G1300" s="2">
        <v>2500</v>
      </c>
      <c r="H1300" t="str">
        <f>"ACCT 36251536"</f>
        <v>ACCT 36251536</v>
      </c>
    </row>
    <row r="1301" spans="1:8" x14ac:dyDescent="0.25">
      <c r="A1301" t="s">
        <v>375</v>
      </c>
      <c r="B1301">
        <v>83430</v>
      </c>
      <c r="C1301" s="2">
        <v>9000</v>
      </c>
      <c r="D1301" s="1">
        <v>43689</v>
      </c>
      <c r="E1301" t="str">
        <f>"201907310755"</f>
        <v>201907310755</v>
      </c>
      <c r="F1301" t="str">
        <f>"ACCT#34549337/POSTAGE/MAY2019"</f>
        <v>ACCT#34549337/POSTAGE/MAY2019</v>
      </c>
      <c r="G1301" s="2">
        <v>9000</v>
      </c>
      <c r="H1301" t="str">
        <f>"ACCT#34549337/POSTAGE/MAY2019"</f>
        <v>ACCT#34549337/POSTAGE/MAY2019</v>
      </c>
    </row>
    <row r="1302" spans="1:8" x14ac:dyDescent="0.25">
      <c r="A1302" t="s">
        <v>376</v>
      </c>
      <c r="B1302">
        <v>1271</v>
      </c>
      <c r="C1302" s="2">
        <v>477.95</v>
      </c>
      <c r="D1302" s="1">
        <v>43704</v>
      </c>
      <c r="E1302" t="str">
        <f>"201908201153"</f>
        <v>201908201153</v>
      </c>
      <c r="F1302" t="str">
        <f>"408308-1  408308-2"</f>
        <v>408308-1  408308-2</v>
      </c>
      <c r="G1302" s="2">
        <v>375</v>
      </c>
      <c r="H1302" t="str">
        <f>"408308-1  408308-2"</f>
        <v>408308-1  408308-2</v>
      </c>
    </row>
    <row r="1303" spans="1:8" x14ac:dyDescent="0.25">
      <c r="E1303" t="str">
        <f>"201908201197"</f>
        <v>201908201197</v>
      </c>
      <c r="F1303" t="str">
        <f>"19-19783"</f>
        <v>19-19783</v>
      </c>
      <c r="G1303" s="2">
        <v>102.95</v>
      </c>
      <c r="H1303" t="str">
        <f>"19-19783"</f>
        <v>19-19783</v>
      </c>
    </row>
    <row r="1304" spans="1:8" x14ac:dyDescent="0.25">
      <c r="A1304" t="s">
        <v>377</v>
      </c>
      <c r="B1304">
        <v>83620</v>
      </c>
      <c r="C1304" s="2">
        <v>225</v>
      </c>
      <c r="D1304" s="1">
        <v>43703</v>
      </c>
      <c r="E1304" t="str">
        <f>"201908141095"</f>
        <v>201908141095</v>
      </c>
      <c r="F1304" t="str">
        <f>"PER DIEM"</f>
        <v>PER DIEM</v>
      </c>
      <c r="G1304" s="2">
        <v>170</v>
      </c>
      <c r="H1304" t="str">
        <f>"PER DIEM"</f>
        <v>PER DIEM</v>
      </c>
    </row>
    <row r="1305" spans="1:8" x14ac:dyDescent="0.25">
      <c r="E1305" t="str">
        <f>"201908211225"</f>
        <v>201908211225</v>
      </c>
      <c r="F1305" t="str">
        <f>"PER DIEM"</f>
        <v>PER DIEM</v>
      </c>
      <c r="G1305" s="2">
        <v>55</v>
      </c>
      <c r="H1305" t="str">
        <f>"PER DIEM"</f>
        <v>PER DIEM</v>
      </c>
    </row>
    <row r="1306" spans="1:8" x14ac:dyDescent="0.25">
      <c r="A1306" t="s">
        <v>378</v>
      </c>
      <c r="B1306">
        <v>83431</v>
      </c>
      <c r="C1306" s="2">
        <v>1050</v>
      </c>
      <c r="D1306" s="1">
        <v>43689</v>
      </c>
      <c r="E1306" t="str">
        <f>"201908060946"</f>
        <v>201908060946</v>
      </c>
      <c r="F1306" t="str">
        <f>"16 707"</f>
        <v>16 707</v>
      </c>
      <c r="G1306" s="2">
        <v>1050</v>
      </c>
      <c r="H1306" t="str">
        <f>"16 707"</f>
        <v>16 707</v>
      </c>
    </row>
    <row r="1307" spans="1:8" x14ac:dyDescent="0.25">
      <c r="A1307" t="s">
        <v>379</v>
      </c>
      <c r="B1307">
        <v>1149</v>
      </c>
      <c r="C1307" s="2">
        <v>2284.48</v>
      </c>
      <c r="D1307" s="1">
        <v>43690</v>
      </c>
      <c r="E1307" t="str">
        <f>"5057153137"</f>
        <v>5057153137</v>
      </c>
      <c r="F1307" t="str">
        <f>"CONTRACT#4746243/CUST#12847097"</f>
        <v>CONTRACT#4746243/CUST#12847097</v>
      </c>
      <c r="G1307" s="2">
        <v>1658.86</v>
      </c>
      <c r="H1307" t="str">
        <f t="shared" ref="H1307:H1328" si="18">"CONTRACT#4746243/CUST#12847097"</f>
        <v>CONTRACT#4746243/CUST#12847097</v>
      </c>
    </row>
    <row r="1308" spans="1:8" x14ac:dyDescent="0.25">
      <c r="E1308" t="str">
        <f>""</f>
        <v/>
      </c>
      <c r="F1308" t="str">
        <f>""</f>
        <v/>
      </c>
      <c r="H1308" t="str">
        <f t="shared" si="18"/>
        <v>CONTRACT#4746243/CUST#12847097</v>
      </c>
    </row>
    <row r="1309" spans="1:8" x14ac:dyDescent="0.25">
      <c r="E1309" t="str">
        <f>""</f>
        <v/>
      </c>
      <c r="F1309" t="str">
        <f>""</f>
        <v/>
      </c>
      <c r="H1309" t="str">
        <f t="shared" si="18"/>
        <v>CONTRACT#4746243/CUST#12847097</v>
      </c>
    </row>
    <row r="1310" spans="1:8" x14ac:dyDescent="0.25">
      <c r="E1310" t="str">
        <f>""</f>
        <v/>
      </c>
      <c r="F1310" t="str">
        <f>""</f>
        <v/>
      </c>
      <c r="H1310" t="str">
        <f t="shared" si="18"/>
        <v>CONTRACT#4746243/CUST#12847097</v>
      </c>
    </row>
    <row r="1311" spans="1:8" x14ac:dyDescent="0.25">
      <c r="E1311" t="str">
        <f>""</f>
        <v/>
      </c>
      <c r="F1311" t="str">
        <f>""</f>
        <v/>
      </c>
      <c r="H1311" t="str">
        <f t="shared" si="18"/>
        <v>CONTRACT#4746243/CUST#12847097</v>
      </c>
    </row>
    <row r="1312" spans="1:8" x14ac:dyDescent="0.25">
      <c r="E1312" t="str">
        <f>""</f>
        <v/>
      </c>
      <c r="F1312" t="str">
        <f>""</f>
        <v/>
      </c>
      <c r="H1312" t="str">
        <f t="shared" si="18"/>
        <v>CONTRACT#4746243/CUST#12847097</v>
      </c>
    </row>
    <row r="1313" spans="5:8" x14ac:dyDescent="0.25">
      <c r="E1313" t="str">
        <f>""</f>
        <v/>
      </c>
      <c r="F1313" t="str">
        <f>""</f>
        <v/>
      </c>
      <c r="H1313" t="str">
        <f t="shared" si="18"/>
        <v>CONTRACT#4746243/CUST#12847097</v>
      </c>
    </row>
    <row r="1314" spans="5:8" x14ac:dyDescent="0.25">
      <c r="E1314" t="str">
        <f>""</f>
        <v/>
      </c>
      <c r="F1314" t="str">
        <f>""</f>
        <v/>
      </c>
      <c r="H1314" t="str">
        <f t="shared" si="18"/>
        <v>CONTRACT#4746243/CUST#12847097</v>
      </c>
    </row>
    <row r="1315" spans="5:8" x14ac:dyDescent="0.25">
      <c r="E1315" t="str">
        <f>""</f>
        <v/>
      </c>
      <c r="F1315" t="str">
        <f>""</f>
        <v/>
      </c>
      <c r="H1315" t="str">
        <f t="shared" si="18"/>
        <v>CONTRACT#4746243/CUST#12847097</v>
      </c>
    </row>
    <row r="1316" spans="5:8" x14ac:dyDescent="0.25">
      <c r="E1316" t="str">
        <f>""</f>
        <v/>
      </c>
      <c r="F1316" t="str">
        <f>""</f>
        <v/>
      </c>
      <c r="H1316" t="str">
        <f t="shared" si="18"/>
        <v>CONTRACT#4746243/CUST#12847097</v>
      </c>
    </row>
    <row r="1317" spans="5:8" x14ac:dyDescent="0.25">
      <c r="E1317" t="str">
        <f>""</f>
        <v/>
      </c>
      <c r="F1317" t="str">
        <f>""</f>
        <v/>
      </c>
      <c r="H1317" t="str">
        <f t="shared" si="18"/>
        <v>CONTRACT#4746243/CUST#12847097</v>
      </c>
    </row>
    <row r="1318" spans="5:8" x14ac:dyDescent="0.25">
      <c r="E1318" t="str">
        <f>""</f>
        <v/>
      </c>
      <c r="F1318" t="str">
        <f>""</f>
        <v/>
      </c>
      <c r="H1318" t="str">
        <f t="shared" si="18"/>
        <v>CONTRACT#4746243/CUST#12847097</v>
      </c>
    </row>
    <row r="1319" spans="5:8" x14ac:dyDescent="0.25">
      <c r="E1319" t="str">
        <f>""</f>
        <v/>
      </c>
      <c r="F1319" t="str">
        <f>""</f>
        <v/>
      </c>
      <c r="H1319" t="str">
        <f t="shared" si="18"/>
        <v>CONTRACT#4746243/CUST#12847097</v>
      </c>
    </row>
    <row r="1320" spans="5:8" x14ac:dyDescent="0.25">
      <c r="E1320" t="str">
        <f>""</f>
        <v/>
      </c>
      <c r="F1320" t="str">
        <f>""</f>
        <v/>
      </c>
      <c r="H1320" t="str">
        <f t="shared" si="18"/>
        <v>CONTRACT#4746243/CUST#12847097</v>
      </c>
    </row>
    <row r="1321" spans="5:8" x14ac:dyDescent="0.25">
      <c r="E1321" t="str">
        <f>""</f>
        <v/>
      </c>
      <c r="F1321" t="str">
        <f>""</f>
        <v/>
      </c>
      <c r="H1321" t="str">
        <f t="shared" si="18"/>
        <v>CONTRACT#4746243/CUST#12847097</v>
      </c>
    </row>
    <row r="1322" spans="5:8" x14ac:dyDescent="0.25">
      <c r="E1322" t="str">
        <f>""</f>
        <v/>
      </c>
      <c r="F1322" t="str">
        <f>""</f>
        <v/>
      </c>
      <c r="H1322" t="str">
        <f t="shared" si="18"/>
        <v>CONTRACT#4746243/CUST#12847097</v>
      </c>
    </row>
    <row r="1323" spans="5:8" x14ac:dyDescent="0.25">
      <c r="E1323" t="str">
        <f>""</f>
        <v/>
      </c>
      <c r="F1323" t="str">
        <f>""</f>
        <v/>
      </c>
      <c r="H1323" t="str">
        <f t="shared" si="18"/>
        <v>CONTRACT#4746243/CUST#12847097</v>
      </c>
    </row>
    <row r="1324" spans="5:8" x14ac:dyDescent="0.25">
      <c r="E1324" t="str">
        <f>""</f>
        <v/>
      </c>
      <c r="F1324" t="str">
        <f>""</f>
        <v/>
      </c>
      <c r="H1324" t="str">
        <f t="shared" si="18"/>
        <v>CONTRACT#4746243/CUST#12847097</v>
      </c>
    </row>
    <row r="1325" spans="5:8" x14ac:dyDescent="0.25">
      <c r="E1325" t="str">
        <f>""</f>
        <v/>
      </c>
      <c r="F1325" t="str">
        <f>""</f>
        <v/>
      </c>
      <c r="H1325" t="str">
        <f t="shared" si="18"/>
        <v>CONTRACT#4746243/CUST#12847097</v>
      </c>
    </row>
    <row r="1326" spans="5:8" x14ac:dyDescent="0.25">
      <c r="E1326" t="str">
        <f>""</f>
        <v/>
      </c>
      <c r="F1326" t="str">
        <f>""</f>
        <v/>
      </c>
      <c r="H1326" t="str">
        <f t="shared" si="18"/>
        <v>CONTRACT#4746243/CUST#12847097</v>
      </c>
    </row>
    <row r="1327" spans="5:8" x14ac:dyDescent="0.25">
      <c r="E1327" t="str">
        <f>""</f>
        <v/>
      </c>
      <c r="F1327" t="str">
        <f>""</f>
        <v/>
      </c>
      <c r="H1327" t="str">
        <f t="shared" si="18"/>
        <v>CONTRACT#4746243/CUST#12847097</v>
      </c>
    </row>
    <row r="1328" spans="5:8" x14ac:dyDescent="0.25">
      <c r="E1328" t="str">
        <f>""</f>
        <v/>
      </c>
      <c r="F1328" t="str">
        <f>""</f>
        <v/>
      </c>
      <c r="H1328" t="str">
        <f t="shared" si="18"/>
        <v>CONTRACT#4746243/CUST#12847097</v>
      </c>
    </row>
    <row r="1329" spans="1:8" x14ac:dyDescent="0.25">
      <c r="E1329" t="str">
        <f>"5057153137 - P2"</f>
        <v>5057153137 - P2</v>
      </c>
      <c r="F1329" t="str">
        <f>"CONTRACT#4746243/PCT#2"</f>
        <v>CONTRACT#4746243/PCT#2</v>
      </c>
      <c r="G1329" s="2">
        <v>40.950000000000003</v>
      </c>
      <c r="H1329" t="str">
        <f>"CONTRACT#4746243/PCT#2"</f>
        <v>CONTRACT#4746243/PCT#2</v>
      </c>
    </row>
    <row r="1330" spans="1:8" x14ac:dyDescent="0.25">
      <c r="E1330" t="str">
        <f>"5057229420"</f>
        <v>5057229420</v>
      </c>
      <c r="F1330" t="str">
        <f>"CUST#12847097"</f>
        <v>CUST#12847097</v>
      </c>
      <c r="G1330" s="2">
        <v>584.66999999999996</v>
      </c>
      <c r="H1330" t="str">
        <f>"CUST#12847097"</f>
        <v>CUST#12847097</v>
      </c>
    </row>
    <row r="1331" spans="1:8" x14ac:dyDescent="0.25">
      <c r="A1331" t="s">
        <v>380</v>
      </c>
      <c r="B1331">
        <v>1223</v>
      </c>
      <c r="C1331" s="2">
        <v>393.99</v>
      </c>
      <c r="D1331" s="1">
        <v>43704</v>
      </c>
      <c r="E1331" t="str">
        <f>"I013197"</f>
        <v>I013197</v>
      </c>
      <c r="F1331" t="str">
        <f>"Window Repair"</f>
        <v>Window Repair</v>
      </c>
      <c r="G1331" s="2">
        <v>393.99</v>
      </c>
      <c r="H1331" t="str">
        <f>"MISC"</f>
        <v>MISC</v>
      </c>
    </row>
    <row r="1332" spans="1:8" x14ac:dyDescent="0.25">
      <c r="E1332" t="str">
        <f>""</f>
        <v/>
      </c>
      <c r="F1332" t="str">
        <f>""</f>
        <v/>
      </c>
      <c r="H1332" t="str">
        <f>"Labor"</f>
        <v>Labor</v>
      </c>
    </row>
    <row r="1333" spans="1:8" x14ac:dyDescent="0.25">
      <c r="A1333" t="s">
        <v>381</v>
      </c>
      <c r="B1333">
        <v>1170</v>
      </c>
      <c r="C1333" s="2">
        <v>650</v>
      </c>
      <c r="D1333" s="1">
        <v>43690</v>
      </c>
      <c r="E1333" t="str">
        <f>"BCSOJULY19"</f>
        <v>BCSOJULY19</v>
      </c>
      <c r="F1333" t="str">
        <f>"INV BCSOJULY19"</f>
        <v>INV BCSOJULY19</v>
      </c>
      <c r="G1333" s="2">
        <v>650</v>
      </c>
      <c r="H1333" t="str">
        <f>"INV BCSOJULY19"</f>
        <v>INV BCSOJULY19</v>
      </c>
    </row>
    <row r="1334" spans="1:8" x14ac:dyDescent="0.25">
      <c r="A1334" t="s">
        <v>382</v>
      </c>
      <c r="B1334">
        <v>1202</v>
      </c>
      <c r="C1334" s="2">
        <v>3600</v>
      </c>
      <c r="D1334" s="1">
        <v>43690</v>
      </c>
      <c r="E1334" t="str">
        <f>"201907230620"</f>
        <v>201907230620</v>
      </c>
      <c r="F1334" t="str">
        <f>"16 742"</f>
        <v>16 742</v>
      </c>
      <c r="G1334" s="2">
        <v>3600</v>
      </c>
      <c r="H1334" t="str">
        <f>"16 742"</f>
        <v>16 742</v>
      </c>
    </row>
    <row r="1335" spans="1:8" x14ac:dyDescent="0.25">
      <c r="A1335" t="s">
        <v>383</v>
      </c>
      <c r="B1335">
        <v>83432</v>
      </c>
      <c r="C1335" s="2">
        <v>203.94</v>
      </c>
      <c r="D1335" s="1">
        <v>43689</v>
      </c>
      <c r="E1335" t="str">
        <f>"4691279"</f>
        <v>4691279</v>
      </c>
      <c r="F1335" t="str">
        <f>"CUST ID:90564/ORD#2692346"</f>
        <v>CUST ID:90564/ORD#2692346</v>
      </c>
      <c r="G1335" s="2">
        <v>148.18</v>
      </c>
      <c r="H1335" t="str">
        <f>"CUST ID:90564/ORD#2692346"</f>
        <v>CUST ID:90564/ORD#2692346</v>
      </c>
    </row>
    <row r="1336" spans="1:8" x14ac:dyDescent="0.25">
      <c r="E1336" t="str">
        <f>"4694496"</f>
        <v>4694496</v>
      </c>
      <c r="F1336" t="str">
        <f>"INV 4694496"</f>
        <v>INV 4694496</v>
      </c>
      <c r="G1336" s="2">
        <v>55.76</v>
      </c>
      <c r="H1336" t="str">
        <f>"INV 4694496"</f>
        <v>INV 4694496</v>
      </c>
    </row>
    <row r="1337" spans="1:8" x14ac:dyDescent="0.25">
      <c r="A1337" t="s">
        <v>384</v>
      </c>
      <c r="B1337">
        <v>83433</v>
      </c>
      <c r="C1337" s="2">
        <v>125</v>
      </c>
      <c r="D1337" s="1">
        <v>43689</v>
      </c>
      <c r="E1337" t="str">
        <f>"201908071035"</f>
        <v>201908071035</v>
      </c>
      <c r="F1337" t="str">
        <f>"TRAINING"</f>
        <v>TRAINING</v>
      </c>
      <c r="G1337" s="2">
        <v>125</v>
      </c>
      <c r="H1337" t="str">
        <f>"TRAINING"</f>
        <v>TRAINING</v>
      </c>
    </row>
    <row r="1338" spans="1:8" x14ac:dyDescent="0.25">
      <c r="A1338" t="s">
        <v>385</v>
      </c>
      <c r="B1338">
        <v>83621</v>
      </c>
      <c r="C1338" s="2">
        <v>189</v>
      </c>
      <c r="D1338" s="1">
        <v>43703</v>
      </c>
      <c r="E1338" t="str">
        <f>"190802-2"</f>
        <v>190802-2</v>
      </c>
      <c r="F1338" t="str">
        <f>"INV 190802-2"</f>
        <v>INV 190802-2</v>
      </c>
      <c r="G1338" s="2">
        <v>189</v>
      </c>
      <c r="H1338" t="str">
        <f>"INV 190802-2"</f>
        <v>INV 190802-2</v>
      </c>
    </row>
    <row r="1339" spans="1:8" x14ac:dyDescent="0.25">
      <c r="A1339" t="s">
        <v>386</v>
      </c>
      <c r="B1339">
        <v>83434</v>
      </c>
      <c r="C1339" s="2">
        <v>108</v>
      </c>
      <c r="D1339" s="1">
        <v>43689</v>
      </c>
      <c r="E1339" t="str">
        <f>"201908060921"</f>
        <v>201908060921</v>
      </c>
      <c r="F1339" t="str">
        <f>"LPHCP RECORDING FEES"</f>
        <v>LPHCP RECORDING FEES</v>
      </c>
      <c r="G1339" s="2">
        <v>108</v>
      </c>
      <c r="H1339" t="str">
        <f>"LPHCP RECORDING FEES"</f>
        <v>LPHCP RECORDING FEES</v>
      </c>
    </row>
    <row r="1340" spans="1:8" x14ac:dyDescent="0.25">
      <c r="A1340" t="s">
        <v>386</v>
      </c>
      <c r="B1340">
        <v>83622</v>
      </c>
      <c r="C1340" s="2">
        <v>549</v>
      </c>
      <c r="D1340" s="1">
        <v>43703</v>
      </c>
      <c r="E1340" t="str">
        <f>"201908141081"</f>
        <v>201908141081</v>
      </c>
      <c r="F1340" t="str">
        <f>"DEVELOPMENT SVCS RECORDING FEE"</f>
        <v>DEVELOPMENT SVCS RECORDING FEE</v>
      </c>
      <c r="G1340" s="2">
        <v>244</v>
      </c>
      <c r="H1340" t="str">
        <f>"DEVELOPMENT SVCS RECORDING FEE"</f>
        <v>DEVELOPMENT SVCS RECORDING FEE</v>
      </c>
    </row>
    <row r="1341" spans="1:8" x14ac:dyDescent="0.25">
      <c r="E1341" t="str">
        <f>"201908201117"</f>
        <v>201908201117</v>
      </c>
      <c r="F1341" t="str">
        <f>"DEVELOPMENT SVCS RECORD FEE"</f>
        <v>DEVELOPMENT SVCS RECORD FEE</v>
      </c>
      <c r="G1341" s="2">
        <v>305</v>
      </c>
      <c r="H1341" t="str">
        <f>"DEVELOPMENT SVCS RECORD FEE"</f>
        <v>DEVELOPMENT SVCS RECORD FEE</v>
      </c>
    </row>
    <row r="1342" spans="1:8" x14ac:dyDescent="0.25">
      <c r="A1342" t="s">
        <v>387</v>
      </c>
      <c r="B1342">
        <v>83623</v>
      </c>
      <c r="C1342" s="2">
        <v>265.97000000000003</v>
      </c>
      <c r="D1342" s="1">
        <v>43703</v>
      </c>
      <c r="E1342" t="str">
        <f>"201908201174"</f>
        <v>201908201174</v>
      </c>
      <c r="F1342" t="str">
        <f>"INDIGENT HEALTH"</f>
        <v>INDIGENT HEALTH</v>
      </c>
      <c r="G1342" s="2">
        <v>265.97000000000003</v>
      </c>
      <c r="H1342" t="str">
        <f>"INDIGENT HEALTH"</f>
        <v>INDIGENT HEALTH</v>
      </c>
    </row>
    <row r="1343" spans="1:8" x14ac:dyDescent="0.25">
      <c r="A1343" t="s">
        <v>388</v>
      </c>
      <c r="B1343">
        <v>83435</v>
      </c>
      <c r="C1343" s="2">
        <v>2027.42</v>
      </c>
      <c r="D1343" s="1">
        <v>43689</v>
      </c>
      <c r="E1343" t="str">
        <f>"CVCS50343"</f>
        <v>CVCS50343</v>
      </c>
      <c r="F1343" t="str">
        <f>"2008 CHEV REPAIRS/PCT#4"</f>
        <v>2008 CHEV REPAIRS/PCT#4</v>
      </c>
      <c r="G1343" s="2">
        <v>2027.42</v>
      </c>
      <c r="H1343" t="str">
        <f>"2008 CHEV REPAIRS/PCT#4"</f>
        <v>2008 CHEV REPAIRS/PCT#4</v>
      </c>
    </row>
    <row r="1344" spans="1:8" x14ac:dyDescent="0.25">
      <c r="A1344" t="s">
        <v>389</v>
      </c>
      <c r="B1344">
        <v>83436</v>
      </c>
      <c r="C1344" s="2">
        <v>53.99</v>
      </c>
      <c r="D1344" s="1">
        <v>43689</v>
      </c>
      <c r="E1344" t="str">
        <f>"201908071031"</f>
        <v>201908071031</v>
      </c>
      <c r="F1344" t="str">
        <f>"REIMBURSEMENT"</f>
        <v>REIMBURSEMENT</v>
      </c>
      <c r="G1344" s="2">
        <v>53.99</v>
      </c>
      <c r="H1344" t="str">
        <f>"REIMBURSEMENT"</f>
        <v>REIMBURSEMENT</v>
      </c>
    </row>
    <row r="1345" spans="1:8" x14ac:dyDescent="0.25">
      <c r="A1345" t="s">
        <v>390</v>
      </c>
      <c r="B1345">
        <v>83624</v>
      </c>
      <c r="C1345" s="2">
        <v>802.98</v>
      </c>
      <c r="D1345" s="1">
        <v>43703</v>
      </c>
      <c r="E1345" t="str">
        <f>"00636-932751"</f>
        <v>00636-932751</v>
      </c>
      <c r="F1345" t="str">
        <f>"ACCT#353829/2018 INFINITI"</f>
        <v>ACCT#353829/2018 INFINITI</v>
      </c>
      <c r="G1345" s="2">
        <v>802.98</v>
      </c>
      <c r="H1345" t="str">
        <f>"ACCT#353829/2018 INFINITI"</f>
        <v>ACCT#353829/2018 INFINITI</v>
      </c>
    </row>
    <row r="1346" spans="1:8" x14ac:dyDescent="0.25">
      <c r="A1346" t="s">
        <v>391</v>
      </c>
      <c r="B1346">
        <v>83625</v>
      </c>
      <c r="C1346" s="2">
        <v>401.38</v>
      </c>
      <c r="D1346" s="1">
        <v>43703</v>
      </c>
      <c r="E1346" t="str">
        <f>"6078311"</f>
        <v>6078311</v>
      </c>
      <c r="F1346" t="str">
        <f>"INV 6078311"</f>
        <v>INV 6078311</v>
      </c>
      <c r="G1346" s="2">
        <v>401.38</v>
      </c>
      <c r="H1346" t="str">
        <f>"INV 6078311"</f>
        <v>INV 6078311</v>
      </c>
    </row>
    <row r="1347" spans="1:8" x14ac:dyDescent="0.25">
      <c r="A1347" t="s">
        <v>392</v>
      </c>
      <c r="B1347">
        <v>83437</v>
      </c>
      <c r="C1347" s="2">
        <v>580</v>
      </c>
      <c r="D1347" s="1">
        <v>43689</v>
      </c>
      <c r="E1347" t="str">
        <f>"201908071030"</f>
        <v>201908071030</v>
      </c>
      <c r="F1347" t="str">
        <f>"REGISTRATION"</f>
        <v>REGISTRATION</v>
      </c>
      <c r="G1347" s="2">
        <v>580</v>
      </c>
      <c r="H1347" t="str">
        <f>"REGISTRATION"</f>
        <v>REGISTRATION</v>
      </c>
    </row>
    <row r="1348" spans="1:8" x14ac:dyDescent="0.25">
      <c r="E1348" t="str">
        <f>""</f>
        <v/>
      </c>
      <c r="F1348" t="str">
        <f>""</f>
        <v/>
      </c>
      <c r="H1348" t="str">
        <f>"REGISTRATION"</f>
        <v>REGISTRATION</v>
      </c>
    </row>
    <row r="1349" spans="1:8" x14ac:dyDescent="0.25">
      <c r="A1349" t="s">
        <v>393</v>
      </c>
      <c r="B1349">
        <v>1273</v>
      </c>
      <c r="C1349" s="2">
        <v>359.91</v>
      </c>
      <c r="D1349" s="1">
        <v>43704</v>
      </c>
      <c r="E1349" t="str">
        <f>"201908201163"</f>
        <v>201908201163</v>
      </c>
      <c r="F1349" t="str">
        <f>"INDIGENT HEALTH"</f>
        <v>INDIGENT HEALTH</v>
      </c>
      <c r="G1349" s="2">
        <v>359.91</v>
      </c>
      <c r="H1349" t="str">
        <f>"INDIGENT HEALTH"</f>
        <v>INDIGENT HEALTH</v>
      </c>
    </row>
    <row r="1350" spans="1:8" x14ac:dyDescent="0.25">
      <c r="E1350" t="str">
        <f>""</f>
        <v/>
      </c>
      <c r="F1350" t="str">
        <f>""</f>
        <v/>
      </c>
      <c r="H1350" t="str">
        <f>"INDIGENT HEALTH"</f>
        <v>INDIGENT HEALTH</v>
      </c>
    </row>
    <row r="1351" spans="1:8" x14ac:dyDescent="0.25">
      <c r="A1351" t="s">
        <v>394</v>
      </c>
      <c r="B1351">
        <v>83438</v>
      </c>
      <c r="C1351" s="2">
        <v>225</v>
      </c>
      <c r="D1351" s="1">
        <v>43689</v>
      </c>
      <c r="E1351" t="str">
        <f>"201907230644"</f>
        <v>201907230644</v>
      </c>
      <c r="F1351" t="str">
        <f>"REFUND DEVELOPMENT PERMIT"</f>
        <v>REFUND DEVELOPMENT PERMIT</v>
      </c>
      <c r="G1351" s="2">
        <v>225</v>
      </c>
      <c r="H1351" t="str">
        <f>"REFUND DEVELOPMENT PERMIT"</f>
        <v>REFUND DEVELOPMENT PERMIT</v>
      </c>
    </row>
    <row r="1352" spans="1:8" x14ac:dyDescent="0.25">
      <c r="A1352" t="s">
        <v>395</v>
      </c>
      <c r="B1352">
        <v>1233</v>
      </c>
      <c r="C1352" s="2">
        <v>17448</v>
      </c>
      <c r="D1352" s="1">
        <v>43704</v>
      </c>
      <c r="E1352" t="str">
        <f>"PPDINV0013041-2"</f>
        <v>PPDINV0013041-2</v>
      </c>
      <c r="F1352" t="str">
        <f>"INV PPDINV0013041"</f>
        <v>INV PPDINV0013041</v>
      </c>
      <c r="G1352" s="2">
        <v>17448</v>
      </c>
      <c r="H1352" t="str">
        <f>"INV PPDINV0013041"</f>
        <v>INV PPDINV0013041</v>
      </c>
    </row>
    <row r="1353" spans="1:8" x14ac:dyDescent="0.25">
      <c r="E1353" t="str">
        <f>""</f>
        <v/>
      </c>
      <c r="F1353" t="str">
        <f>""</f>
        <v/>
      </c>
      <c r="H1353" t="str">
        <f>"INV PPDINV0013042"</f>
        <v>INV PPDINV0013042</v>
      </c>
    </row>
    <row r="1354" spans="1:8" x14ac:dyDescent="0.25">
      <c r="A1354" t="s">
        <v>133</v>
      </c>
      <c r="B1354">
        <v>83626</v>
      </c>
      <c r="C1354" s="2">
        <v>36.19</v>
      </c>
      <c r="D1354" s="1">
        <v>43703</v>
      </c>
      <c r="E1354" t="str">
        <f>"201908201175"</f>
        <v>201908201175</v>
      </c>
      <c r="F1354" t="str">
        <f>"INDIGENT HEALTH"</f>
        <v>INDIGENT HEALTH</v>
      </c>
      <c r="G1354" s="2">
        <v>36.19</v>
      </c>
      <c r="H1354" t="str">
        <f>"INDIGENT HEALTH"</f>
        <v>INDIGENT HEALTH</v>
      </c>
    </row>
    <row r="1355" spans="1:8" x14ac:dyDescent="0.25">
      <c r="E1355" t="str">
        <f>""</f>
        <v/>
      </c>
      <c r="F1355" t="str">
        <f>""</f>
        <v/>
      </c>
      <c r="H1355" t="str">
        <f>"INDIGENT HEALTH"</f>
        <v>INDIGENT HEALTH</v>
      </c>
    </row>
    <row r="1356" spans="1:8" x14ac:dyDescent="0.25">
      <c r="A1356" t="s">
        <v>396</v>
      </c>
      <c r="B1356">
        <v>83627</v>
      </c>
      <c r="C1356" s="2">
        <v>13872.31</v>
      </c>
      <c r="D1356" s="1">
        <v>43703</v>
      </c>
      <c r="E1356" t="str">
        <f>"201908201177"</f>
        <v>201908201177</v>
      </c>
      <c r="F1356" t="str">
        <f>"INDIGENT HEALTH"</f>
        <v>INDIGENT HEALTH</v>
      </c>
      <c r="G1356" s="2">
        <v>10539.31</v>
      </c>
      <c r="H1356" t="str">
        <f>"INDIGENT HEALTH"</f>
        <v>INDIGENT HEALTH</v>
      </c>
    </row>
    <row r="1357" spans="1:8" x14ac:dyDescent="0.25">
      <c r="E1357" t="str">
        <f>""</f>
        <v/>
      </c>
      <c r="F1357" t="str">
        <f>""</f>
        <v/>
      </c>
      <c r="H1357" t="str">
        <f>"INDIGENT HEALTH"</f>
        <v>INDIGENT HEALTH</v>
      </c>
    </row>
    <row r="1358" spans="1:8" x14ac:dyDescent="0.25">
      <c r="E1358" t="str">
        <f>"720191"</f>
        <v>720191</v>
      </c>
      <c r="F1358" t="str">
        <f>"RX ASSISTANCE PROGRAM-JULY2019"</f>
        <v>RX ASSISTANCE PROGRAM-JULY2019</v>
      </c>
      <c r="G1358" s="2">
        <v>3333</v>
      </c>
      <c r="H1358" t="str">
        <f>"RX ASSISTANCE PROGRAM-JULY2019"</f>
        <v>RX ASSISTANCE PROGRAM-JULY2019</v>
      </c>
    </row>
    <row r="1359" spans="1:8" x14ac:dyDescent="0.25">
      <c r="A1359" t="s">
        <v>397</v>
      </c>
      <c r="B1359">
        <v>83439</v>
      </c>
      <c r="C1359" s="2">
        <v>1880</v>
      </c>
      <c r="D1359" s="1">
        <v>43689</v>
      </c>
      <c r="E1359" t="str">
        <f>"201908020820"</f>
        <v>201908020820</v>
      </c>
      <c r="F1359" t="str">
        <f>"ACCT#35327/EMER MGMT"</f>
        <v>ACCT#35327/EMER MGMT</v>
      </c>
      <c r="G1359" s="2">
        <v>1880</v>
      </c>
      <c r="H1359" t="str">
        <f>"ACCT#35327/EMER MGMT"</f>
        <v>ACCT#35327/EMER MGMT</v>
      </c>
    </row>
    <row r="1360" spans="1:8" x14ac:dyDescent="0.25">
      <c r="A1360" t="s">
        <v>398</v>
      </c>
      <c r="B1360">
        <v>83628</v>
      </c>
      <c r="C1360" s="2">
        <v>104.99</v>
      </c>
      <c r="D1360" s="1">
        <v>43703</v>
      </c>
      <c r="E1360" t="str">
        <f>"201908201125"</f>
        <v>201908201125</v>
      </c>
      <c r="F1360" t="str">
        <f>"REIMBURSE-DESK WORKSTATION"</f>
        <v>REIMBURSE-DESK WORKSTATION</v>
      </c>
      <c r="G1360" s="2">
        <v>104.99</v>
      </c>
      <c r="H1360" t="str">
        <f>"REIMBURSE-DESK WORKSTATION"</f>
        <v>REIMBURSE-DESK WORKSTATION</v>
      </c>
    </row>
    <row r="1361" spans="1:8" x14ac:dyDescent="0.25">
      <c r="A1361" t="s">
        <v>399</v>
      </c>
      <c r="B1361">
        <v>83440</v>
      </c>
      <c r="C1361" s="2">
        <v>13068</v>
      </c>
      <c r="D1361" s="1">
        <v>43689</v>
      </c>
      <c r="E1361" t="str">
        <f>"GB00332328"</f>
        <v>GB00332328</v>
      </c>
      <c r="F1361" t="str">
        <f>"Adobe Acrobat Standard"</f>
        <v>Adobe Acrobat Standard</v>
      </c>
      <c r="G1361" s="2">
        <v>219</v>
      </c>
      <c r="H1361" t="str">
        <f>"Adobe Acrobat Standard"</f>
        <v>Adobe Acrobat Standard</v>
      </c>
    </row>
    <row r="1362" spans="1:8" x14ac:dyDescent="0.25">
      <c r="E1362" t="str">
        <f>"GB00332426"</f>
        <v>GB00332426</v>
      </c>
      <c r="F1362" t="str">
        <f>"Printer for SO- Booking"</f>
        <v>Printer for SO- Booking</v>
      </c>
      <c r="G1362" s="2">
        <v>209</v>
      </c>
      <c r="H1362" t="str">
        <f>"HP LaserJet Pro"</f>
        <v>HP LaserJet Pro</v>
      </c>
    </row>
    <row r="1363" spans="1:8" x14ac:dyDescent="0.25">
      <c r="E1363" t="str">
        <f>"GB00332464"</f>
        <v>GB00332464</v>
      </c>
      <c r="F1363" t="str">
        <f>"HP LaserJet Printer"</f>
        <v>HP LaserJet Printer</v>
      </c>
      <c r="G1363" s="2">
        <v>209</v>
      </c>
      <c r="H1363" t="str">
        <f>"HP LaserJet Printer"</f>
        <v>HP LaserJet Printer</v>
      </c>
    </row>
    <row r="1364" spans="1:8" x14ac:dyDescent="0.25">
      <c r="E1364" t="str">
        <f>"GB00332938"</f>
        <v>GB00332938</v>
      </c>
      <c r="F1364" t="str">
        <f>"Unicable 48 Inch Cables"</f>
        <v>Unicable 48 Inch Cables</v>
      </c>
      <c r="G1364" s="2">
        <v>195</v>
      </c>
      <c r="H1364" t="str">
        <f>"Unicable 48 Inch Cable"</f>
        <v>Unicable 48 Inch Cable</v>
      </c>
    </row>
    <row r="1365" spans="1:8" x14ac:dyDescent="0.25">
      <c r="E1365" t="str">
        <f>"GB00333265"</f>
        <v>GB00333265</v>
      </c>
      <c r="F1365" t="str">
        <f>"Forcepoint renewal"</f>
        <v>Forcepoint renewal</v>
      </c>
      <c r="G1365" s="2">
        <v>11936</v>
      </c>
      <c r="H1365" t="str">
        <f>"expense"</f>
        <v>expense</v>
      </c>
    </row>
    <row r="1366" spans="1:8" x14ac:dyDescent="0.25">
      <c r="E1366" t="str">
        <f>"GB00333693"</f>
        <v>GB00333693</v>
      </c>
      <c r="F1366" t="str">
        <f>"SHI Order"</f>
        <v>SHI Order</v>
      </c>
      <c r="G1366" s="2">
        <v>89</v>
      </c>
      <c r="H1366" t="str">
        <f>"DDR3"</f>
        <v>DDR3</v>
      </c>
    </row>
    <row r="1367" spans="1:8" x14ac:dyDescent="0.25">
      <c r="E1367" t="str">
        <f>"GB00333831"</f>
        <v>GB00333831</v>
      </c>
      <c r="F1367" t="str">
        <f>"Office Phone"</f>
        <v>Office Phone</v>
      </c>
      <c r="G1367" s="2">
        <v>211</v>
      </c>
      <c r="H1367" t="str">
        <f>"IP Phone 8811 Series"</f>
        <v>IP Phone 8811 Series</v>
      </c>
    </row>
    <row r="1368" spans="1:8" x14ac:dyDescent="0.25">
      <c r="A1368" t="s">
        <v>399</v>
      </c>
      <c r="B1368">
        <v>83629</v>
      </c>
      <c r="C1368" s="2">
        <v>38599</v>
      </c>
      <c r="D1368" s="1">
        <v>43703</v>
      </c>
      <c r="E1368" t="str">
        <f>"GB00334479"</f>
        <v>GB00334479</v>
      </c>
      <c r="F1368" t="str">
        <f>"Courthouse Cameras"</f>
        <v>Courthouse Cameras</v>
      </c>
      <c r="G1368" s="2">
        <v>18201</v>
      </c>
      <c r="H1368" t="str">
        <f>"Part#: 0804-001"</f>
        <v>Part#: 0804-001</v>
      </c>
    </row>
    <row r="1369" spans="1:8" x14ac:dyDescent="0.25">
      <c r="E1369" t="str">
        <f>""</f>
        <v/>
      </c>
      <c r="F1369" t="str">
        <f>""</f>
        <v/>
      </c>
      <c r="H1369" t="str">
        <f>"Part#: 0536-001"</f>
        <v>Part#: 0536-001</v>
      </c>
    </row>
    <row r="1370" spans="1:8" x14ac:dyDescent="0.25">
      <c r="E1370" t="str">
        <f>""</f>
        <v/>
      </c>
      <c r="F1370" t="str">
        <f>""</f>
        <v/>
      </c>
      <c r="H1370" t="str">
        <f>" Part#: 0930-001"</f>
        <v xml:space="preserve"> Part#: 0930-001</v>
      </c>
    </row>
    <row r="1371" spans="1:8" x14ac:dyDescent="0.25">
      <c r="E1371" t="str">
        <f>"GB00335745"</f>
        <v>GB00335745</v>
      </c>
      <c r="F1371" t="str">
        <f>"CommVault renewal"</f>
        <v>CommVault renewal</v>
      </c>
      <c r="G1371" s="2">
        <v>20398</v>
      </c>
      <c r="H1371" t="str">
        <f>" Part#: IC-CONS-SM-M"</f>
        <v xml:space="preserve"> Part#: IC-CONS-SM-M</v>
      </c>
    </row>
    <row r="1372" spans="1:8" x14ac:dyDescent="0.25">
      <c r="E1372" t="str">
        <f>""</f>
        <v/>
      </c>
      <c r="F1372" t="str">
        <f>""</f>
        <v/>
      </c>
      <c r="H1372" t="str">
        <f>"CommVault renewal"</f>
        <v>CommVault renewal</v>
      </c>
    </row>
    <row r="1373" spans="1:8" x14ac:dyDescent="0.25">
      <c r="E1373" t="str">
        <f>""</f>
        <v/>
      </c>
      <c r="F1373" t="str">
        <f>""</f>
        <v/>
      </c>
      <c r="H1373" t="str">
        <f>"Part#: CV-BR-MB"</f>
        <v>Part#: CV-BR-MB</v>
      </c>
    </row>
    <row r="1374" spans="1:8" x14ac:dyDescent="0.25">
      <c r="E1374" t="str">
        <f>""</f>
        <v/>
      </c>
      <c r="F1374" t="str">
        <f>""</f>
        <v/>
      </c>
      <c r="H1374" t="str">
        <f>"Part#: S-PREM-23"</f>
        <v>Part#: S-PREM-23</v>
      </c>
    </row>
    <row r="1375" spans="1:8" x14ac:dyDescent="0.25">
      <c r="A1375" t="s">
        <v>400</v>
      </c>
      <c r="B1375">
        <v>83441</v>
      </c>
      <c r="C1375" s="2">
        <v>1479.75</v>
      </c>
      <c r="D1375" s="1">
        <v>43689</v>
      </c>
      <c r="E1375" t="str">
        <f>"1004011"</f>
        <v>1004011</v>
      </c>
      <c r="F1375" t="str">
        <f>"ACCT#564591/PCT#2"</f>
        <v>ACCT#564591/PCT#2</v>
      </c>
      <c r="G1375" s="2">
        <v>1231.33</v>
      </c>
      <c r="H1375" t="str">
        <f>"ACCT#564591/PCT#2"</f>
        <v>ACCT#564591/PCT#2</v>
      </c>
    </row>
    <row r="1376" spans="1:8" x14ac:dyDescent="0.25">
      <c r="E1376" t="str">
        <f>"1015614"</f>
        <v>1015614</v>
      </c>
      <c r="F1376" t="str">
        <f>"ACCT#564591/GEN SVCS"</f>
        <v>ACCT#564591/GEN SVCS</v>
      </c>
      <c r="G1376" s="2">
        <v>248.42</v>
      </c>
      <c r="H1376" t="str">
        <f>"ACCT#564591/GEN SVCS"</f>
        <v>ACCT#564591/GEN SVCS</v>
      </c>
    </row>
    <row r="1377" spans="1:8" x14ac:dyDescent="0.25">
      <c r="A1377" t="s">
        <v>401</v>
      </c>
      <c r="B1377">
        <v>83442</v>
      </c>
      <c r="C1377" s="2">
        <v>538.07000000000005</v>
      </c>
      <c r="D1377" s="1">
        <v>43689</v>
      </c>
      <c r="E1377" t="str">
        <f>"8127859101"</f>
        <v>8127859101</v>
      </c>
      <c r="F1377" t="str">
        <f>"INV 8127859101"</f>
        <v>INV 8127859101</v>
      </c>
      <c r="G1377" s="2">
        <v>146.86000000000001</v>
      </c>
      <c r="H1377" t="str">
        <f>"INV 8127859101"</f>
        <v>INV 8127859101</v>
      </c>
    </row>
    <row r="1378" spans="1:8" x14ac:dyDescent="0.25">
      <c r="E1378" t="str">
        <f>"8127859716"</f>
        <v>8127859716</v>
      </c>
      <c r="F1378" t="str">
        <f>"CUST#16155373/SHREDDING SVCS"</f>
        <v>CUST#16155373/SHREDDING SVCS</v>
      </c>
      <c r="G1378" s="2">
        <v>123.99</v>
      </c>
      <c r="H1378" t="str">
        <f t="shared" ref="H1378:H1383" si="19">"CUST#16155373/SHREDDING SVCS"</f>
        <v>CUST#16155373/SHREDDING SVCS</v>
      </c>
    </row>
    <row r="1379" spans="1:8" x14ac:dyDescent="0.25">
      <c r="E1379" t="str">
        <f>""</f>
        <v/>
      </c>
      <c r="F1379" t="str">
        <f>""</f>
        <v/>
      </c>
      <c r="H1379" t="str">
        <f t="shared" si="19"/>
        <v>CUST#16155373/SHREDDING SVCS</v>
      </c>
    </row>
    <row r="1380" spans="1:8" x14ac:dyDescent="0.25">
      <c r="E1380" t="str">
        <f>""</f>
        <v/>
      </c>
      <c r="F1380" t="str">
        <f>""</f>
        <v/>
      </c>
      <c r="H1380" t="str">
        <f t="shared" si="19"/>
        <v>CUST#16155373/SHREDDING SVCS</v>
      </c>
    </row>
    <row r="1381" spans="1:8" x14ac:dyDescent="0.25">
      <c r="E1381" t="str">
        <f>""</f>
        <v/>
      </c>
      <c r="F1381" t="str">
        <f>""</f>
        <v/>
      </c>
      <c r="H1381" t="str">
        <f t="shared" si="19"/>
        <v>CUST#16155373/SHREDDING SVCS</v>
      </c>
    </row>
    <row r="1382" spans="1:8" x14ac:dyDescent="0.25">
      <c r="E1382" t="str">
        <f>""</f>
        <v/>
      </c>
      <c r="F1382" t="str">
        <f>""</f>
        <v/>
      </c>
      <c r="H1382" t="str">
        <f t="shared" si="19"/>
        <v>CUST#16155373/SHREDDING SVCS</v>
      </c>
    </row>
    <row r="1383" spans="1:8" x14ac:dyDescent="0.25">
      <c r="E1383" t="str">
        <f>""</f>
        <v/>
      </c>
      <c r="F1383" t="str">
        <f>""</f>
        <v/>
      </c>
      <c r="H1383" t="str">
        <f t="shared" si="19"/>
        <v>CUST#16155373/SHREDDING SVCS</v>
      </c>
    </row>
    <row r="1384" spans="1:8" x14ac:dyDescent="0.25">
      <c r="E1384" t="str">
        <f>"8127859759"</f>
        <v>8127859759</v>
      </c>
      <c r="F1384" t="str">
        <f>"CUST#16156071/TAX OFFICE"</f>
        <v>CUST#16156071/TAX OFFICE</v>
      </c>
      <c r="G1384" s="2">
        <v>77.040000000000006</v>
      </c>
      <c r="H1384" t="str">
        <f>"CUST#16156071/TAX OFFICE"</f>
        <v>CUST#16156071/TAX OFFICE</v>
      </c>
    </row>
    <row r="1385" spans="1:8" x14ac:dyDescent="0.25">
      <c r="E1385" t="str">
        <f>"8127859841"</f>
        <v>8127859841</v>
      </c>
      <c r="F1385" t="str">
        <f>"CUST#16158670/JP#4"</f>
        <v>CUST#16158670/JP#4</v>
      </c>
      <c r="G1385" s="2">
        <v>123.98</v>
      </c>
      <c r="H1385" t="str">
        <f>"CUST#16158670/JP#4"</f>
        <v>CUST#16158670/JP#4</v>
      </c>
    </row>
    <row r="1386" spans="1:8" x14ac:dyDescent="0.25">
      <c r="E1386" t="str">
        <f>"8127859979"</f>
        <v>8127859979</v>
      </c>
      <c r="F1386" t="str">
        <f>"CUST#16160327/OEM"</f>
        <v>CUST#16160327/OEM</v>
      </c>
      <c r="G1386" s="2">
        <v>66.2</v>
      </c>
      <c r="H1386" t="str">
        <f>"CUST#16160327/OEM"</f>
        <v>CUST#16160327/OEM</v>
      </c>
    </row>
    <row r="1387" spans="1:8" x14ac:dyDescent="0.25">
      <c r="E1387" t="str">
        <f>""</f>
        <v/>
      </c>
      <c r="F1387" t="str">
        <f>""</f>
        <v/>
      </c>
      <c r="H1387" t="str">
        <f>"CUST#16160327/OEM"</f>
        <v>CUST#16160327/OEM</v>
      </c>
    </row>
    <row r="1388" spans="1:8" x14ac:dyDescent="0.25">
      <c r="A1388" t="s">
        <v>402</v>
      </c>
      <c r="B1388">
        <v>83630</v>
      </c>
      <c r="C1388" s="2">
        <v>161.58000000000001</v>
      </c>
      <c r="D1388" s="1">
        <v>43703</v>
      </c>
      <c r="E1388" t="str">
        <f>"201908201178"</f>
        <v>201908201178</v>
      </c>
      <c r="F1388" t="str">
        <f>"INDIGENT HEALTH"</f>
        <v>INDIGENT HEALTH</v>
      </c>
      <c r="G1388" s="2">
        <v>161.58000000000001</v>
      </c>
      <c r="H1388" t="str">
        <f>"INDIGENT HEALTH"</f>
        <v>INDIGENT HEALTH</v>
      </c>
    </row>
    <row r="1389" spans="1:8" x14ac:dyDescent="0.25">
      <c r="A1389" t="s">
        <v>403</v>
      </c>
      <c r="B1389">
        <v>1160</v>
      </c>
      <c r="C1389" s="2">
        <v>58819.199999999997</v>
      </c>
      <c r="D1389" s="1">
        <v>43690</v>
      </c>
      <c r="E1389" t="str">
        <f>"201908060933"</f>
        <v>201908060933</v>
      </c>
      <c r="F1389" t="str">
        <f>"SILSBEE FORD"</f>
        <v>SILSBEE FORD</v>
      </c>
      <c r="G1389" s="2">
        <v>33691.699999999997</v>
      </c>
      <c r="H1389" t="str">
        <f>"Ford Interceptor"</f>
        <v>Ford Interceptor</v>
      </c>
    </row>
    <row r="1390" spans="1:8" x14ac:dyDescent="0.25">
      <c r="E1390" t="str">
        <f>""</f>
        <v/>
      </c>
      <c r="F1390" t="str">
        <f>""</f>
        <v/>
      </c>
      <c r="H1390" t="str">
        <f>"Good Buy Fee"</f>
        <v>Good Buy Fee</v>
      </c>
    </row>
    <row r="1391" spans="1:8" x14ac:dyDescent="0.25">
      <c r="E1391" t="str">
        <f>"201908060934"</f>
        <v>201908060934</v>
      </c>
      <c r="F1391" t="str">
        <f>"SILSBEE FORD"</f>
        <v>SILSBEE FORD</v>
      </c>
      <c r="G1391" s="2">
        <v>25127.5</v>
      </c>
      <c r="H1391" t="str">
        <f>"2018 Ford F150"</f>
        <v>2018 Ford F150</v>
      </c>
    </row>
    <row r="1392" spans="1:8" x14ac:dyDescent="0.25">
      <c r="A1392" t="s">
        <v>404</v>
      </c>
      <c r="B1392">
        <v>83443</v>
      </c>
      <c r="C1392" s="2">
        <v>50</v>
      </c>
      <c r="D1392" s="1">
        <v>43689</v>
      </c>
      <c r="E1392" t="str">
        <f>"201908060949"</f>
        <v>201908060949</v>
      </c>
      <c r="F1392" t="str">
        <f>"DRIVEWAY PERMIT FEE REFUND"</f>
        <v>DRIVEWAY PERMIT FEE REFUND</v>
      </c>
      <c r="G1392" s="2">
        <v>25</v>
      </c>
      <c r="H1392" t="str">
        <f>"DRIVEWAY PERMIT FEE REFUND"</f>
        <v>DRIVEWAY PERMIT FEE REFUND</v>
      </c>
    </row>
    <row r="1393" spans="1:8" x14ac:dyDescent="0.25">
      <c r="E1393" t="str">
        <f>"201908060950"</f>
        <v>201908060950</v>
      </c>
      <c r="F1393" t="str">
        <f>"DRIVEWAY PERMIT FEE REFUND"</f>
        <v>DRIVEWAY PERMIT FEE REFUND</v>
      </c>
      <c r="G1393" s="2">
        <v>25</v>
      </c>
      <c r="H1393" t="str">
        <f>"DRIVEWAY PERMIT FEE REFUND"</f>
        <v>DRIVEWAY PERMIT FEE REFUND</v>
      </c>
    </row>
    <row r="1394" spans="1:8" x14ac:dyDescent="0.25">
      <c r="A1394" t="s">
        <v>405</v>
      </c>
      <c r="B1394">
        <v>83444</v>
      </c>
      <c r="C1394" s="2">
        <v>93.92</v>
      </c>
      <c r="D1394" s="1">
        <v>43689</v>
      </c>
      <c r="E1394" t="str">
        <f>"31084"</f>
        <v>31084</v>
      </c>
      <c r="F1394" t="str">
        <f>"PARTS/PCT#2"</f>
        <v>PARTS/PCT#2</v>
      </c>
      <c r="G1394" s="2">
        <v>93.92</v>
      </c>
      <c r="H1394" t="str">
        <f>"PARTS/PCT#2"</f>
        <v>PARTS/PCT#2</v>
      </c>
    </row>
    <row r="1395" spans="1:8" x14ac:dyDescent="0.25">
      <c r="A1395" t="s">
        <v>406</v>
      </c>
      <c r="B1395">
        <v>83445</v>
      </c>
      <c r="C1395" s="2">
        <v>361.04</v>
      </c>
      <c r="D1395" s="1">
        <v>43689</v>
      </c>
      <c r="E1395" t="str">
        <f>"201908060957"</f>
        <v>201908060957</v>
      </c>
      <c r="F1395" t="str">
        <f>"ACCT#260/PCT#2"</f>
        <v>ACCT#260/PCT#2</v>
      </c>
      <c r="G1395" s="2">
        <v>361.04</v>
      </c>
      <c r="H1395" t="str">
        <f>"ACCT#260/PCT#2"</f>
        <v>ACCT#260/PCT#2</v>
      </c>
    </row>
    <row r="1396" spans="1:8" x14ac:dyDescent="0.25">
      <c r="A1396" t="s">
        <v>407</v>
      </c>
      <c r="B1396">
        <v>83446</v>
      </c>
      <c r="C1396" s="2">
        <v>10.220000000000001</v>
      </c>
      <c r="D1396" s="1">
        <v>43689</v>
      </c>
      <c r="E1396" t="str">
        <f>"201907240663"</f>
        <v>201907240663</v>
      </c>
      <c r="F1396" t="str">
        <f>"ARREST FEES 04/01/19-06/30/19"</f>
        <v>ARREST FEES 04/01/19-06/30/19</v>
      </c>
      <c r="G1396" s="2">
        <v>10.220000000000001</v>
      </c>
      <c r="H1396" t="str">
        <f>"ARREST FEES 04/01/19-06/30/19"</f>
        <v>ARREST FEES 04/01/19-06/30/19</v>
      </c>
    </row>
    <row r="1397" spans="1:8" x14ac:dyDescent="0.25">
      <c r="A1397" t="s">
        <v>408</v>
      </c>
      <c r="B1397">
        <v>83447</v>
      </c>
      <c r="C1397" s="2">
        <v>15000</v>
      </c>
      <c r="D1397" s="1">
        <v>43689</v>
      </c>
      <c r="E1397" t="str">
        <f>"201907230643"</f>
        <v>201907230643</v>
      </c>
      <c r="F1397" t="str">
        <f>"FY 18-19 FUNDS"</f>
        <v>FY 18-19 FUNDS</v>
      </c>
      <c r="G1397" s="2">
        <v>15000</v>
      </c>
      <c r="H1397" t="str">
        <f>"FY 18-19 FUNDS"</f>
        <v>FY 18-19 FUNDS</v>
      </c>
    </row>
    <row r="1398" spans="1:8" x14ac:dyDescent="0.25">
      <c r="A1398" t="s">
        <v>409</v>
      </c>
      <c r="B1398">
        <v>83631</v>
      </c>
      <c r="C1398" s="2">
        <v>18810</v>
      </c>
      <c r="D1398" s="1">
        <v>43703</v>
      </c>
      <c r="E1398" t="str">
        <f>"189676"</f>
        <v>189676</v>
      </c>
      <c r="F1398" t="str">
        <f>"FILE#70755-0001/EXP OF FED PER"</f>
        <v>FILE#70755-0001/EXP OF FED PER</v>
      </c>
      <c r="G1398" s="2">
        <v>18810</v>
      </c>
      <c r="H1398" t="str">
        <f>"FILE#70755-0001/EXP OF FED PER"</f>
        <v>FILE#70755-0001/EXP OF FED PER</v>
      </c>
    </row>
    <row r="1399" spans="1:8" x14ac:dyDescent="0.25">
      <c r="A1399" t="s">
        <v>410</v>
      </c>
      <c r="B1399">
        <v>83448</v>
      </c>
      <c r="C1399" s="2">
        <v>1656.9</v>
      </c>
      <c r="D1399" s="1">
        <v>43689</v>
      </c>
      <c r="E1399" t="str">
        <f>"4650016950"</f>
        <v>4650016950</v>
      </c>
      <c r="F1399" t="str">
        <f>"CUST#52157/PCT#4"</f>
        <v>CUST#52157/PCT#4</v>
      </c>
      <c r="G1399" s="2">
        <v>1508.4</v>
      </c>
      <c r="H1399" t="str">
        <f>"CUST#52157/PCT#4"</f>
        <v>CUST#52157/PCT#4</v>
      </c>
    </row>
    <row r="1400" spans="1:8" x14ac:dyDescent="0.25">
      <c r="E1400" t="str">
        <f>"4650018845"</f>
        <v>4650018845</v>
      </c>
      <c r="F1400" t="str">
        <f>"CUST#52157/PCT#3"</f>
        <v>CUST#52157/PCT#3</v>
      </c>
      <c r="G1400" s="2">
        <v>148.5</v>
      </c>
      <c r="H1400" t="str">
        <f>"CUST#52157/PCT#3"</f>
        <v>CUST#52157/PCT#3</v>
      </c>
    </row>
    <row r="1401" spans="1:8" x14ac:dyDescent="0.25">
      <c r="A1401" t="s">
        <v>410</v>
      </c>
      <c r="B1401">
        <v>83632</v>
      </c>
      <c r="C1401" s="2">
        <v>1667.05</v>
      </c>
      <c r="D1401" s="1">
        <v>43703</v>
      </c>
      <c r="E1401" t="str">
        <f>"4650018619"</f>
        <v>4650018619</v>
      </c>
      <c r="F1401" t="str">
        <f>"CUST#52157/PCT#3"</f>
        <v>CUST#52157/PCT#3</v>
      </c>
      <c r="G1401" s="2">
        <v>1449.56</v>
      </c>
      <c r="H1401" t="str">
        <f>"CUST#52157/PCT#3"</f>
        <v>CUST#52157/PCT#3</v>
      </c>
    </row>
    <row r="1402" spans="1:8" x14ac:dyDescent="0.25">
      <c r="E1402" t="str">
        <f>"4650021094"</f>
        <v>4650021094</v>
      </c>
      <c r="F1402" t="str">
        <f>"CUST#52157/PCT#3"</f>
        <v>CUST#52157/PCT#3</v>
      </c>
      <c r="G1402" s="2">
        <v>217.49</v>
      </c>
      <c r="H1402" t="str">
        <f>"CUST#52157/PCT#3"</f>
        <v>CUST#52157/PCT#3</v>
      </c>
    </row>
    <row r="1403" spans="1:8" x14ac:dyDescent="0.25">
      <c r="A1403" t="s">
        <v>411</v>
      </c>
      <c r="B1403">
        <v>83449</v>
      </c>
      <c r="C1403" s="2">
        <v>32.53</v>
      </c>
      <c r="D1403" s="1">
        <v>43689</v>
      </c>
      <c r="E1403" t="str">
        <f>"9604456 071819"</f>
        <v>9604456 071819</v>
      </c>
      <c r="F1403" t="str">
        <f>"ACCT#46668439604456/JP#2"</f>
        <v>ACCT#46668439604456/JP#2</v>
      </c>
      <c r="G1403" s="2">
        <v>32.53</v>
      </c>
      <c r="H1403" t="str">
        <f>"ACCT#46668439604456/JP#2"</f>
        <v>ACCT#46668439604456/JP#2</v>
      </c>
    </row>
    <row r="1404" spans="1:8" x14ac:dyDescent="0.25">
      <c r="A1404" t="s">
        <v>413</v>
      </c>
      <c r="B1404">
        <v>83633</v>
      </c>
      <c r="C1404" s="2">
        <v>383.71</v>
      </c>
      <c r="D1404" s="1">
        <v>43703</v>
      </c>
      <c r="E1404" t="str">
        <f>"201908201172"</f>
        <v>201908201172</v>
      </c>
      <c r="F1404" t="str">
        <f>"INDIGENT HEALTH"</f>
        <v>INDIGENT HEALTH</v>
      </c>
      <c r="G1404" s="2">
        <v>383.71</v>
      </c>
      <c r="H1404" t="str">
        <f>"INDIGENT HEALTH"</f>
        <v>INDIGENT HEALTH</v>
      </c>
    </row>
    <row r="1405" spans="1:8" x14ac:dyDescent="0.25">
      <c r="A1405" t="s">
        <v>414</v>
      </c>
      <c r="B1405">
        <v>83634</v>
      </c>
      <c r="C1405" s="2">
        <v>2805.15</v>
      </c>
      <c r="D1405" s="1">
        <v>43703</v>
      </c>
      <c r="E1405" t="str">
        <f>"201908201180"</f>
        <v>201908201180</v>
      </c>
      <c r="F1405" t="str">
        <f>"INDIGENT HEALTH"</f>
        <v>INDIGENT HEALTH</v>
      </c>
      <c r="G1405" s="2">
        <v>2584.02</v>
      </c>
      <c r="H1405" t="str">
        <f>"INDIGENT HEALTH"</f>
        <v>INDIGENT HEALTH</v>
      </c>
    </row>
    <row r="1406" spans="1:8" x14ac:dyDescent="0.25">
      <c r="E1406" t="str">
        <f>"4546*98030*1"</f>
        <v>4546*98030*1</v>
      </c>
      <c r="F1406" t="str">
        <f>"JAIL MEDICAL"</f>
        <v>JAIL MEDICAL</v>
      </c>
      <c r="G1406" s="2">
        <v>221.13</v>
      </c>
      <c r="H1406" t="str">
        <f>"JAIL MEDICAL"</f>
        <v>JAIL MEDICAL</v>
      </c>
    </row>
    <row r="1407" spans="1:8" x14ac:dyDescent="0.25">
      <c r="A1407" t="s">
        <v>415</v>
      </c>
      <c r="B1407">
        <v>83635</v>
      </c>
      <c r="C1407" s="2">
        <v>6.42</v>
      </c>
      <c r="D1407" s="1">
        <v>43703</v>
      </c>
      <c r="E1407" t="str">
        <f>"201908201179"</f>
        <v>201908201179</v>
      </c>
      <c r="F1407" t="str">
        <f>"INDIGENT HEALTH"</f>
        <v>INDIGENT HEALTH</v>
      </c>
      <c r="G1407" s="2">
        <v>6.42</v>
      </c>
      <c r="H1407" t="str">
        <f>"INDIGENT HEALTH"</f>
        <v>INDIGENT HEALTH</v>
      </c>
    </row>
    <row r="1408" spans="1:8" x14ac:dyDescent="0.25">
      <c r="A1408" t="s">
        <v>416</v>
      </c>
      <c r="B1408">
        <v>83636</v>
      </c>
      <c r="C1408" s="2">
        <v>11888.27</v>
      </c>
      <c r="D1408" s="1">
        <v>43703</v>
      </c>
      <c r="E1408" t="str">
        <f>"201908201181"</f>
        <v>201908201181</v>
      </c>
      <c r="F1408" t="str">
        <f>"INDIGENT HEALTH"</f>
        <v>INDIGENT HEALTH</v>
      </c>
      <c r="G1408" s="2">
        <v>11888.27</v>
      </c>
      <c r="H1408" t="str">
        <f>"INDIGENT HEALTH"</f>
        <v>INDIGENT HEALTH</v>
      </c>
    </row>
    <row r="1409" spans="1:8" x14ac:dyDescent="0.25">
      <c r="E1409" t="str">
        <f>""</f>
        <v/>
      </c>
      <c r="F1409" t="str">
        <f>""</f>
        <v/>
      </c>
      <c r="H1409" t="str">
        <f>"INDIGENT HEALTH"</f>
        <v>INDIGENT HEALTH</v>
      </c>
    </row>
    <row r="1410" spans="1:8" x14ac:dyDescent="0.25">
      <c r="A1410" t="s">
        <v>412</v>
      </c>
      <c r="B1410">
        <v>83637</v>
      </c>
      <c r="C1410" s="2">
        <v>13.09</v>
      </c>
      <c r="D1410" s="1">
        <v>43703</v>
      </c>
      <c r="E1410" t="str">
        <f>"11969495 080219"</f>
        <v>11969495 080219</v>
      </c>
      <c r="F1410" t="str">
        <f>"ACCT#556850411969495/DA OFFICE"</f>
        <v>ACCT#556850411969495/DA OFFICE</v>
      </c>
      <c r="G1410" s="2">
        <v>13.09</v>
      </c>
      <c r="H1410" t="str">
        <f>"ACCT#556850411969495/DA OFFICE"</f>
        <v>ACCT#556850411969495/DA OFFICE</v>
      </c>
    </row>
    <row r="1411" spans="1:8" x14ac:dyDescent="0.25">
      <c r="A1411" t="s">
        <v>417</v>
      </c>
      <c r="B1411">
        <v>83450</v>
      </c>
      <c r="C1411" s="2">
        <v>2932.05</v>
      </c>
      <c r="D1411" s="1">
        <v>43689</v>
      </c>
      <c r="E1411" t="str">
        <f>"201908091062"</f>
        <v>201908091062</v>
      </c>
      <c r="F1411" t="str">
        <f>"sum inv# 8055032521"</f>
        <v>sum inv# 8055032521</v>
      </c>
      <c r="G1411" s="2">
        <v>2932.05</v>
      </c>
      <c r="H1411" t="str">
        <f>"inv# 3419418298"</f>
        <v>inv# 3419418298</v>
      </c>
    </row>
    <row r="1412" spans="1:8" x14ac:dyDescent="0.25">
      <c r="E1412" t="str">
        <f>""</f>
        <v/>
      </c>
      <c r="F1412" t="str">
        <f>""</f>
        <v/>
      </c>
      <c r="H1412" t="str">
        <f>"inv# 3419418297"</f>
        <v>inv# 3419418297</v>
      </c>
    </row>
    <row r="1413" spans="1:8" x14ac:dyDescent="0.25">
      <c r="E1413" t="str">
        <f>""</f>
        <v/>
      </c>
      <c r="F1413" t="str">
        <f>""</f>
        <v/>
      </c>
      <c r="H1413" t="str">
        <f>"inv# 3419418299"</f>
        <v>inv# 3419418299</v>
      </c>
    </row>
    <row r="1414" spans="1:8" x14ac:dyDescent="0.25">
      <c r="E1414" t="str">
        <f>""</f>
        <v/>
      </c>
      <c r="F1414" t="str">
        <f>""</f>
        <v/>
      </c>
      <c r="H1414" t="str">
        <f>"inv# 3419418304"</f>
        <v>inv# 3419418304</v>
      </c>
    </row>
    <row r="1415" spans="1:8" x14ac:dyDescent="0.25">
      <c r="E1415" t="str">
        <f>""</f>
        <v/>
      </c>
      <c r="F1415" t="str">
        <f>""</f>
        <v/>
      </c>
      <c r="H1415" t="str">
        <f>"inv# 3419418300"</f>
        <v>inv# 3419418300</v>
      </c>
    </row>
    <row r="1416" spans="1:8" x14ac:dyDescent="0.25">
      <c r="E1416" t="str">
        <f>""</f>
        <v/>
      </c>
      <c r="F1416" t="str">
        <f>""</f>
        <v/>
      </c>
      <c r="H1416" t="str">
        <f>"inv# 3419418301"</f>
        <v>inv# 3419418301</v>
      </c>
    </row>
    <row r="1417" spans="1:8" x14ac:dyDescent="0.25">
      <c r="E1417" t="str">
        <f>""</f>
        <v/>
      </c>
      <c r="F1417" t="str">
        <f>""</f>
        <v/>
      </c>
      <c r="H1417" t="str">
        <f>"inv# 3419418302"</f>
        <v>inv# 3419418302</v>
      </c>
    </row>
    <row r="1418" spans="1:8" x14ac:dyDescent="0.25">
      <c r="E1418" t="str">
        <f>""</f>
        <v/>
      </c>
      <c r="F1418" t="str">
        <f>""</f>
        <v/>
      </c>
      <c r="H1418" t="str">
        <f>"inv# 3419418303"</f>
        <v>inv# 3419418303</v>
      </c>
    </row>
    <row r="1419" spans="1:8" x14ac:dyDescent="0.25">
      <c r="E1419" t="str">
        <f>""</f>
        <v/>
      </c>
      <c r="F1419" t="str">
        <f>""</f>
        <v/>
      </c>
      <c r="H1419" t="str">
        <f>"inv# 3419418296"</f>
        <v>inv# 3419418296</v>
      </c>
    </row>
    <row r="1420" spans="1:8" x14ac:dyDescent="0.25">
      <c r="A1420" t="s">
        <v>417</v>
      </c>
      <c r="B1420">
        <v>83638</v>
      </c>
      <c r="C1420" s="2">
        <v>4236.79</v>
      </c>
      <c r="D1420" s="1">
        <v>43703</v>
      </c>
      <c r="E1420" t="str">
        <f>"8055207090"</f>
        <v>8055207090</v>
      </c>
      <c r="F1420" t="str">
        <f>"sum inv# 8055207090"</f>
        <v>sum inv# 8055207090</v>
      </c>
      <c r="G1420" s="2">
        <v>4236.79</v>
      </c>
      <c r="H1420" t="str">
        <f>"inv# 3420931815"</f>
        <v>inv# 3420931815</v>
      </c>
    </row>
    <row r="1421" spans="1:8" x14ac:dyDescent="0.25">
      <c r="E1421" t="str">
        <f>""</f>
        <v/>
      </c>
      <c r="F1421" t="str">
        <f>""</f>
        <v/>
      </c>
      <c r="H1421" t="str">
        <f>"inv# 3420931808"</f>
        <v>inv# 3420931808</v>
      </c>
    </row>
    <row r="1422" spans="1:8" x14ac:dyDescent="0.25">
      <c r="E1422" t="str">
        <f>""</f>
        <v/>
      </c>
      <c r="F1422" t="str">
        <f>""</f>
        <v/>
      </c>
      <c r="H1422" t="str">
        <f>"inv# 3420931809"</f>
        <v>inv# 3420931809</v>
      </c>
    </row>
    <row r="1423" spans="1:8" x14ac:dyDescent="0.25">
      <c r="E1423" t="str">
        <f>""</f>
        <v/>
      </c>
      <c r="F1423" t="str">
        <f>""</f>
        <v/>
      </c>
      <c r="H1423" t="str">
        <f>"inv# 3420931813"</f>
        <v>inv# 3420931813</v>
      </c>
    </row>
    <row r="1424" spans="1:8" x14ac:dyDescent="0.25">
      <c r="E1424" t="str">
        <f>""</f>
        <v/>
      </c>
      <c r="F1424" t="str">
        <f>""</f>
        <v/>
      </c>
      <c r="H1424" t="str">
        <f>"inv# 3420931714"</f>
        <v>inv# 3420931714</v>
      </c>
    </row>
    <row r="1425" spans="5:8" x14ac:dyDescent="0.25">
      <c r="E1425" t="str">
        <f>""</f>
        <v/>
      </c>
      <c r="F1425" t="str">
        <f>""</f>
        <v/>
      </c>
      <c r="H1425" t="str">
        <f>"inv# 3420931817"</f>
        <v>inv# 3420931817</v>
      </c>
    </row>
    <row r="1426" spans="5:8" x14ac:dyDescent="0.25">
      <c r="E1426" t="str">
        <f>""</f>
        <v/>
      </c>
      <c r="F1426" t="str">
        <f>""</f>
        <v/>
      </c>
      <c r="H1426" t="str">
        <f>"inv# 3420931810"</f>
        <v>inv# 3420931810</v>
      </c>
    </row>
    <row r="1427" spans="5:8" x14ac:dyDescent="0.25">
      <c r="E1427" t="str">
        <f>""</f>
        <v/>
      </c>
      <c r="F1427" t="str">
        <f>""</f>
        <v/>
      </c>
      <c r="H1427" t="str">
        <f>"inv# 3420931811"</f>
        <v>inv# 3420931811</v>
      </c>
    </row>
    <row r="1428" spans="5:8" x14ac:dyDescent="0.25">
      <c r="E1428" t="str">
        <f>""</f>
        <v/>
      </c>
      <c r="F1428" t="str">
        <f>""</f>
        <v/>
      </c>
      <c r="H1428" t="str">
        <f>"inv# 3420931800"</f>
        <v>inv# 3420931800</v>
      </c>
    </row>
    <row r="1429" spans="5:8" x14ac:dyDescent="0.25">
      <c r="E1429" t="str">
        <f>""</f>
        <v/>
      </c>
      <c r="F1429" t="str">
        <f>""</f>
        <v/>
      </c>
      <c r="H1429" t="str">
        <f>"inv# 3420931801"</f>
        <v>inv# 3420931801</v>
      </c>
    </row>
    <row r="1430" spans="5:8" x14ac:dyDescent="0.25">
      <c r="E1430" t="str">
        <f>""</f>
        <v/>
      </c>
      <c r="F1430" t="str">
        <f>""</f>
        <v/>
      </c>
      <c r="H1430" t="str">
        <f>"inv# 3420931802"</f>
        <v>inv# 3420931802</v>
      </c>
    </row>
    <row r="1431" spans="5:8" x14ac:dyDescent="0.25">
      <c r="E1431" t="str">
        <f>""</f>
        <v/>
      </c>
      <c r="F1431" t="str">
        <f>""</f>
        <v/>
      </c>
      <c r="H1431" t="str">
        <f>"inv# 3420931803"</f>
        <v>inv# 3420931803</v>
      </c>
    </row>
    <row r="1432" spans="5:8" x14ac:dyDescent="0.25">
      <c r="E1432" t="str">
        <f>""</f>
        <v/>
      </c>
      <c r="F1432" t="str">
        <f>""</f>
        <v/>
      </c>
      <c r="H1432" t="str">
        <f>"inv# 3420931804"</f>
        <v>inv# 3420931804</v>
      </c>
    </row>
    <row r="1433" spans="5:8" x14ac:dyDescent="0.25">
      <c r="E1433" t="str">
        <f>""</f>
        <v/>
      </c>
      <c r="F1433" t="str">
        <f>""</f>
        <v/>
      </c>
      <c r="H1433" t="str">
        <f>"inv# 3420931805"</f>
        <v>inv# 3420931805</v>
      </c>
    </row>
    <row r="1434" spans="5:8" x14ac:dyDescent="0.25">
      <c r="E1434" t="str">
        <f>""</f>
        <v/>
      </c>
      <c r="F1434" t="str">
        <f>""</f>
        <v/>
      </c>
      <c r="H1434" t="str">
        <f>"inv# 3420931806"</f>
        <v>inv# 3420931806</v>
      </c>
    </row>
    <row r="1435" spans="5:8" x14ac:dyDescent="0.25">
      <c r="E1435" t="str">
        <f>""</f>
        <v/>
      </c>
      <c r="F1435" t="str">
        <f>""</f>
        <v/>
      </c>
      <c r="H1435" t="str">
        <f>"inv# 3420931807"</f>
        <v>inv# 3420931807</v>
      </c>
    </row>
    <row r="1436" spans="5:8" x14ac:dyDescent="0.25">
      <c r="E1436" t="str">
        <f>""</f>
        <v/>
      </c>
      <c r="F1436" t="str">
        <f>""</f>
        <v/>
      </c>
      <c r="H1436" t="str">
        <f>"inv# 3420931831"</f>
        <v>inv# 3420931831</v>
      </c>
    </row>
    <row r="1437" spans="5:8" x14ac:dyDescent="0.25">
      <c r="E1437" t="str">
        <f>""</f>
        <v/>
      </c>
      <c r="F1437" t="str">
        <f>""</f>
        <v/>
      </c>
      <c r="H1437" t="str">
        <f>"inv# 3420931829"</f>
        <v>inv# 3420931829</v>
      </c>
    </row>
    <row r="1438" spans="5:8" x14ac:dyDescent="0.25">
      <c r="E1438" t="str">
        <f>""</f>
        <v/>
      </c>
      <c r="F1438" t="str">
        <f>""</f>
        <v/>
      </c>
      <c r="H1438" t="str">
        <f>"inv# 3420931819"</f>
        <v>inv# 3420931819</v>
      </c>
    </row>
    <row r="1439" spans="5:8" x14ac:dyDescent="0.25">
      <c r="E1439" t="str">
        <f>""</f>
        <v/>
      </c>
      <c r="F1439" t="str">
        <f>""</f>
        <v/>
      </c>
      <c r="H1439" t="str">
        <f>"inv# 3420931820"</f>
        <v>inv# 3420931820</v>
      </c>
    </row>
    <row r="1440" spans="5:8" x14ac:dyDescent="0.25">
      <c r="E1440" t="str">
        <f>""</f>
        <v/>
      </c>
      <c r="F1440" t="str">
        <f>""</f>
        <v/>
      </c>
      <c r="H1440" t="str">
        <f>"inv# 3420931822"</f>
        <v>inv# 3420931822</v>
      </c>
    </row>
    <row r="1441" spans="1:8" x14ac:dyDescent="0.25">
      <c r="E1441" t="str">
        <f>""</f>
        <v/>
      </c>
      <c r="F1441" t="str">
        <f>""</f>
        <v/>
      </c>
      <c r="H1441" t="str">
        <f>"inv# 3420931823"</f>
        <v>inv# 3420931823</v>
      </c>
    </row>
    <row r="1442" spans="1:8" x14ac:dyDescent="0.25">
      <c r="E1442" t="str">
        <f>""</f>
        <v/>
      </c>
      <c r="F1442" t="str">
        <f>""</f>
        <v/>
      </c>
      <c r="H1442" t="str">
        <f>"inv# 3420931825"</f>
        <v>inv# 3420931825</v>
      </c>
    </row>
    <row r="1443" spans="1:8" x14ac:dyDescent="0.25">
      <c r="E1443" t="str">
        <f>""</f>
        <v/>
      </c>
      <c r="F1443" t="str">
        <f>""</f>
        <v/>
      </c>
      <c r="H1443" t="str">
        <f>"inv# 3420931827"</f>
        <v>inv# 3420931827</v>
      </c>
    </row>
    <row r="1444" spans="1:8" x14ac:dyDescent="0.25">
      <c r="E1444" t="str">
        <f>""</f>
        <v/>
      </c>
      <c r="F1444" t="str">
        <f>""</f>
        <v/>
      </c>
      <c r="H1444" t="str">
        <f>"inv# 3420931828"</f>
        <v>inv# 3420931828</v>
      </c>
    </row>
    <row r="1445" spans="1:8" x14ac:dyDescent="0.25">
      <c r="E1445" t="str">
        <f>""</f>
        <v/>
      </c>
      <c r="F1445" t="str">
        <f>""</f>
        <v/>
      </c>
      <c r="H1445" t="str">
        <f>"inv# 3420931832"</f>
        <v>inv# 3420931832</v>
      </c>
    </row>
    <row r="1446" spans="1:8" x14ac:dyDescent="0.25">
      <c r="E1446" t="str">
        <f>""</f>
        <v/>
      </c>
      <c r="F1446" t="str">
        <f>""</f>
        <v/>
      </c>
      <c r="H1446" t="str">
        <f>"inv# 3420931816"</f>
        <v>inv# 3420931816</v>
      </c>
    </row>
    <row r="1447" spans="1:8" x14ac:dyDescent="0.25">
      <c r="A1447" t="s">
        <v>418</v>
      </c>
      <c r="B1447">
        <v>83451</v>
      </c>
      <c r="C1447" s="2">
        <v>7.25</v>
      </c>
      <c r="D1447" s="1">
        <v>43689</v>
      </c>
      <c r="E1447" t="str">
        <f>"201907240666"</f>
        <v>201907240666</v>
      </c>
      <c r="F1447" t="str">
        <f>"RE:JOSHUA MUNDELL/DOC#161767"</f>
        <v>RE:JOSHUA MUNDELL/DOC#161767</v>
      </c>
      <c r="G1447" s="2">
        <v>7.25</v>
      </c>
      <c r="H1447" t="str">
        <f>"RE:JOSHUA MUNDELL/DOC#161767"</f>
        <v>RE:JOSHUA MUNDELL/DOC#161767</v>
      </c>
    </row>
    <row r="1448" spans="1:8" x14ac:dyDescent="0.25">
      <c r="A1448" t="s">
        <v>419</v>
      </c>
      <c r="B1448">
        <v>83639</v>
      </c>
      <c r="C1448" s="2">
        <v>633.30999999999995</v>
      </c>
      <c r="D1448" s="1">
        <v>43703</v>
      </c>
      <c r="E1448" t="str">
        <f>"201908151108"</f>
        <v>201908151108</v>
      </c>
      <c r="F1448" t="str">
        <f>"JULY 2019"</f>
        <v>JULY 2019</v>
      </c>
      <c r="G1448" s="2">
        <v>633.30999999999995</v>
      </c>
      <c r="H1448" t="str">
        <f>"JULY 2019"</f>
        <v>JULY 2019</v>
      </c>
    </row>
    <row r="1449" spans="1:8" x14ac:dyDescent="0.25">
      <c r="A1449" t="s">
        <v>420</v>
      </c>
      <c r="B1449">
        <v>83452</v>
      </c>
      <c r="C1449" s="2">
        <v>1750</v>
      </c>
      <c r="D1449" s="1">
        <v>43689</v>
      </c>
      <c r="E1449" t="str">
        <f>"201907230635"</f>
        <v>201907230635</v>
      </c>
      <c r="F1449" t="str">
        <f>"DCPC-19-055"</f>
        <v>DCPC-19-055</v>
      </c>
      <c r="G1449" s="2">
        <v>1750</v>
      </c>
      <c r="H1449" t="str">
        <f>"DCPC-19-055"</f>
        <v>DCPC-19-055</v>
      </c>
    </row>
    <row r="1450" spans="1:8" x14ac:dyDescent="0.25">
      <c r="A1450" t="s">
        <v>421</v>
      </c>
      <c r="B1450">
        <v>83453</v>
      </c>
      <c r="C1450" s="2">
        <v>795.59</v>
      </c>
      <c r="D1450" s="1">
        <v>43689</v>
      </c>
      <c r="E1450" t="str">
        <f>"4008736738"</f>
        <v>4008736738</v>
      </c>
      <c r="F1450" t="str">
        <f>"INV 4008736738"</f>
        <v>INV 4008736738</v>
      </c>
      <c r="G1450" s="2">
        <v>795.59</v>
      </c>
      <c r="H1450" t="str">
        <f>"INV 4008736738"</f>
        <v>INV 4008736738</v>
      </c>
    </row>
    <row r="1451" spans="1:8" x14ac:dyDescent="0.25">
      <c r="A1451" t="s">
        <v>422</v>
      </c>
      <c r="B1451">
        <v>83454</v>
      </c>
      <c r="C1451" s="2">
        <v>643.5</v>
      </c>
      <c r="D1451" s="1">
        <v>43689</v>
      </c>
      <c r="E1451" t="str">
        <f>"201908060901"</f>
        <v>201908060901</v>
      </c>
      <c r="F1451" t="str">
        <f>"TRASH REMOVAL 08/01-08/09/P4"</f>
        <v>TRASH REMOVAL 08/01-08/09/P4</v>
      </c>
      <c r="G1451" s="2">
        <v>286</v>
      </c>
      <c r="H1451" t="str">
        <f>"TRASH REMOVAL 08/01-08/09/P4"</f>
        <v>TRASH REMOVAL 08/01-08/09/P4</v>
      </c>
    </row>
    <row r="1452" spans="1:8" x14ac:dyDescent="0.25">
      <c r="E1452" t="str">
        <f>"201908060902"</f>
        <v>201908060902</v>
      </c>
      <c r="F1452" t="str">
        <f>"TRASH REMOVAL 07/22-07/31/P4"</f>
        <v>TRASH REMOVAL 07/22-07/31/P4</v>
      </c>
      <c r="G1452" s="2">
        <v>357.5</v>
      </c>
      <c r="H1452" t="str">
        <f>"TRASH REMOVAL 07/22-07/31/P4"</f>
        <v>TRASH REMOVAL 07/22-07/31/P4</v>
      </c>
    </row>
    <row r="1453" spans="1:8" x14ac:dyDescent="0.25">
      <c r="A1453" t="s">
        <v>422</v>
      </c>
      <c r="B1453">
        <v>83640</v>
      </c>
      <c r="C1453" s="2">
        <v>442</v>
      </c>
      <c r="D1453" s="1">
        <v>43703</v>
      </c>
      <c r="E1453" t="str">
        <f>"201908201118"</f>
        <v>201908201118</v>
      </c>
      <c r="F1453" t="str">
        <f>"TRASH REMOVAL 08/12-08/23/P4"</f>
        <v>TRASH REMOVAL 08/12-08/23/P4</v>
      </c>
      <c r="G1453" s="2">
        <v>442</v>
      </c>
      <c r="H1453" t="str">
        <f>"TRASH REMOVAL 08/12-08/23/P4"</f>
        <v>TRASH REMOVAL 08/12-08/23/P4</v>
      </c>
    </row>
    <row r="1454" spans="1:8" x14ac:dyDescent="0.25">
      <c r="A1454" t="s">
        <v>423</v>
      </c>
      <c r="B1454">
        <v>83455</v>
      </c>
      <c r="C1454" s="2">
        <v>1040.07</v>
      </c>
      <c r="D1454" s="1">
        <v>43689</v>
      </c>
      <c r="E1454" t="str">
        <f>"201907300703"</f>
        <v>201907300703</v>
      </c>
      <c r="F1454" t="str">
        <f>"TRAVEL ADVANCE-HOTEL/PER DIEM/"</f>
        <v>TRAVEL ADVANCE-HOTEL/PER DIEM/</v>
      </c>
      <c r="G1454" s="2">
        <v>1040.07</v>
      </c>
      <c r="H1454" t="str">
        <f>"TRAVEL ADVANCE-HOTEL/PER DIEM/"</f>
        <v>TRAVEL ADVANCE-HOTEL/PER DIEM/</v>
      </c>
    </row>
    <row r="1455" spans="1:8" x14ac:dyDescent="0.25">
      <c r="A1455" t="s">
        <v>424</v>
      </c>
      <c r="B1455">
        <v>1171</v>
      </c>
      <c r="C1455" s="2">
        <v>11440</v>
      </c>
      <c r="D1455" s="1">
        <v>43690</v>
      </c>
      <c r="E1455" t="str">
        <f>"320"</f>
        <v>320</v>
      </c>
      <c r="F1455" t="str">
        <f>"SHREDDING/MOWING/PCT#2"</f>
        <v>SHREDDING/MOWING/PCT#2</v>
      </c>
      <c r="G1455" s="2">
        <v>4160</v>
      </c>
      <c r="H1455" t="str">
        <f>"SHREDDING/MOWING/PCT#2"</f>
        <v>SHREDDING/MOWING/PCT#2</v>
      </c>
    </row>
    <row r="1456" spans="1:8" x14ac:dyDescent="0.25">
      <c r="E1456" t="str">
        <f>"321"</f>
        <v>321</v>
      </c>
      <c r="F1456" t="str">
        <f>"MOWING/SHREDDING/PCT#1"</f>
        <v>MOWING/SHREDDING/PCT#1</v>
      </c>
      <c r="G1456" s="2">
        <v>3120</v>
      </c>
      <c r="H1456" t="str">
        <f>"MOWING/SHREDDING/PCT#1"</f>
        <v>MOWING/SHREDDING/PCT#1</v>
      </c>
    </row>
    <row r="1457" spans="1:8" x14ac:dyDescent="0.25">
      <c r="E1457" t="str">
        <f>"328"</f>
        <v>328</v>
      </c>
      <c r="F1457" t="str">
        <f>"SHREDDING/MOWING/PCT#2"</f>
        <v>SHREDDING/MOWING/PCT#2</v>
      </c>
      <c r="G1457" s="2">
        <v>4160</v>
      </c>
      <c r="H1457" t="str">
        <f>"SHREDDING/MOWING/PCT#2"</f>
        <v>SHREDDING/MOWING/PCT#2</v>
      </c>
    </row>
    <row r="1458" spans="1:8" x14ac:dyDescent="0.25">
      <c r="A1458" t="s">
        <v>424</v>
      </c>
      <c r="B1458">
        <v>1246</v>
      </c>
      <c r="C1458" s="2">
        <v>9360</v>
      </c>
      <c r="D1458" s="1">
        <v>43704</v>
      </c>
      <c r="E1458" t="str">
        <f>"329"</f>
        <v>329</v>
      </c>
      <c r="F1458" t="str">
        <f>"SHREDDING/MOWING/PCT#2"</f>
        <v>SHREDDING/MOWING/PCT#2</v>
      </c>
      <c r="G1458" s="2">
        <v>9360</v>
      </c>
      <c r="H1458" t="str">
        <f>"SHREDDING/MOWING/PCT#2"</f>
        <v>SHREDDING/MOWING/PCT#2</v>
      </c>
    </row>
    <row r="1459" spans="1:8" x14ac:dyDescent="0.25">
      <c r="A1459" t="s">
        <v>425</v>
      </c>
      <c r="B1459">
        <v>1178</v>
      </c>
      <c r="C1459" s="2">
        <v>8823.0499999999993</v>
      </c>
      <c r="D1459" s="1">
        <v>43690</v>
      </c>
      <c r="E1459" t="str">
        <f>"95351766"</f>
        <v>95351766</v>
      </c>
      <c r="F1459" t="str">
        <f>"ACCT#10187718/FUEL/PCT#2"</f>
        <v>ACCT#10187718/FUEL/PCT#2</v>
      </c>
      <c r="G1459" s="2">
        <v>2534.1999999999998</v>
      </c>
      <c r="H1459" t="str">
        <f>"ACCT#10187718/FUEL/PCT#2"</f>
        <v>ACCT#10187718/FUEL/PCT#2</v>
      </c>
    </row>
    <row r="1460" spans="1:8" x14ac:dyDescent="0.25">
      <c r="E1460" t="str">
        <f>"95361176"</f>
        <v>95361176</v>
      </c>
      <c r="F1460" t="str">
        <f>"ACCT#10187718/FUEL/PCT#2"</f>
        <v>ACCT#10187718/FUEL/PCT#2</v>
      </c>
      <c r="G1460" s="2">
        <v>3391.67</v>
      </c>
      <c r="H1460" t="str">
        <f>"ACCT#10187718/FUEL/PCT#2"</f>
        <v>ACCT#10187718/FUEL/PCT#2</v>
      </c>
    </row>
    <row r="1461" spans="1:8" x14ac:dyDescent="0.25">
      <c r="E1461" t="str">
        <f>"95375626"</f>
        <v>95375626</v>
      </c>
      <c r="F1461" t="str">
        <f>"ACCT#10187718/FUEL/PCT#2"</f>
        <v>ACCT#10187718/FUEL/PCT#2</v>
      </c>
      <c r="G1461" s="2">
        <v>2897.18</v>
      </c>
      <c r="H1461" t="str">
        <f>"ACCT#10187718/FUEL/PCT#2"</f>
        <v>ACCT#10187718/FUEL/PCT#2</v>
      </c>
    </row>
    <row r="1462" spans="1:8" x14ac:dyDescent="0.25">
      <c r="A1462" t="s">
        <v>425</v>
      </c>
      <c r="B1462">
        <v>1252</v>
      </c>
      <c r="C1462" s="2">
        <v>2322.64</v>
      </c>
      <c r="D1462" s="1">
        <v>43704</v>
      </c>
      <c r="E1462" t="str">
        <f>"95386759"</f>
        <v>95386759</v>
      </c>
      <c r="F1462" t="str">
        <f>"ACCT#10187718/FUEL/PCT#2"</f>
        <v>ACCT#10187718/FUEL/PCT#2</v>
      </c>
      <c r="G1462" s="2">
        <v>2322.64</v>
      </c>
      <c r="H1462" t="str">
        <f>"ACCT#10187718/FUEL/PCT#2"</f>
        <v>ACCT#10187718/FUEL/PCT#2</v>
      </c>
    </row>
    <row r="1463" spans="1:8" x14ac:dyDescent="0.25">
      <c r="A1463" t="s">
        <v>426</v>
      </c>
      <c r="B1463">
        <v>83456</v>
      </c>
      <c r="C1463" s="2">
        <v>375</v>
      </c>
      <c r="D1463" s="1">
        <v>43689</v>
      </c>
      <c r="E1463" t="str">
        <f>"B636"</f>
        <v>B636</v>
      </c>
      <c r="F1463" t="str">
        <f>"INV B636"</f>
        <v>INV B636</v>
      </c>
      <c r="G1463" s="2">
        <v>145</v>
      </c>
      <c r="H1463" t="str">
        <f>"INV B636"</f>
        <v>INV B636</v>
      </c>
    </row>
    <row r="1464" spans="1:8" x14ac:dyDescent="0.25">
      <c r="E1464" t="str">
        <f>"C348"</f>
        <v>C348</v>
      </c>
      <c r="F1464" t="str">
        <f>"INV C348"</f>
        <v>INV C348</v>
      </c>
      <c r="G1464" s="2">
        <v>100</v>
      </c>
      <c r="H1464" t="str">
        <f>"INV C348"</f>
        <v>INV C348</v>
      </c>
    </row>
    <row r="1465" spans="1:8" x14ac:dyDescent="0.25">
      <c r="E1465" t="str">
        <f>"C408"</f>
        <v>C408</v>
      </c>
      <c r="F1465" t="str">
        <f>"INV C408 / UNIT 5291"</f>
        <v>INV C408 / UNIT 5291</v>
      </c>
      <c r="G1465" s="2">
        <v>130</v>
      </c>
      <c r="H1465" t="str">
        <f>"INV C408 / UNIT 5291"</f>
        <v>INV C408 / UNIT 5291</v>
      </c>
    </row>
    <row r="1466" spans="1:8" x14ac:dyDescent="0.25">
      <c r="A1466" t="s">
        <v>427</v>
      </c>
      <c r="B1466">
        <v>83457</v>
      </c>
      <c r="C1466" s="2">
        <v>215</v>
      </c>
      <c r="D1466" s="1">
        <v>43689</v>
      </c>
      <c r="E1466" t="str">
        <f>"201908060927"</f>
        <v>201908060927</v>
      </c>
      <c r="F1466" t="str">
        <f>"MEMBERSHIP DUES"</f>
        <v>MEMBERSHIP DUES</v>
      </c>
      <c r="G1466" s="2">
        <v>215</v>
      </c>
      <c r="H1466" t="str">
        <f>"MEMBERSHIP DUES"</f>
        <v>MEMBERSHIP DUES</v>
      </c>
    </row>
    <row r="1467" spans="1:8" x14ac:dyDescent="0.25">
      <c r="A1467" t="s">
        <v>428</v>
      </c>
      <c r="B1467">
        <v>83458</v>
      </c>
      <c r="C1467" s="2">
        <v>200</v>
      </c>
      <c r="D1467" s="1">
        <v>43689</v>
      </c>
      <c r="E1467" t="str">
        <f>"200003338"</f>
        <v>200003338</v>
      </c>
      <c r="F1467" t="str">
        <f>"THINK TANK LIVE SPONSORSHIP"</f>
        <v>THINK TANK LIVE SPONSORSHIP</v>
      </c>
      <c r="G1467" s="2">
        <v>200</v>
      </c>
      <c r="H1467" t="str">
        <f>"THINK TANK LIVE SPONSORSHIP"</f>
        <v>THINK TANK LIVE SPONSORSHIP</v>
      </c>
    </row>
    <row r="1468" spans="1:8" x14ac:dyDescent="0.25">
      <c r="A1468" t="s">
        <v>429</v>
      </c>
      <c r="B1468">
        <v>83641</v>
      </c>
      <c r="C1468" s="2">
        <v>978</v>
      </c>
      <c r="D1468" s="1">
        <v>43703</v>
      </c>
      <c r="E1468" t="str">
        <f>"201908201216"</f>
        <v>201908201216</v>
      </c>
      <c r="F1468" t="str">
        <f>"SANE EXAM 19-S-03931 D. JIMENE"</f>
        <v>SANE EXAM 19-S-03931 D. JIMENE</v>
      </c>
      <c r="G1468" s="2">
        <v>489</v>
      </c>
      <c r="H1468" t="str">
        <f>"SANE EXAM 19-S-03931 D. JIMENE"</f>
        <v>SANE EXAM 19-S-03931 D. JIMENE</v>
      </c>
    </row>
    <row r="1469" spans="1:8" x14ac:dyDescent="0.25">
      <c r="E1469" t="str">
        <f>"201908201217"</f>
        <v>201908201217</v>
      </c>
      <c r="F1469" t="str">
        <f>"SANE EXAM 19-S-03931 S. JIMENE"</f>
        <v>SANE EXAM 19-S-03931 S. JIMENE</v>
      </c>
      <c r="G1469" s="2">
        <v>489</v>
      </c>
      <c r="H1469" t="str">
        <f>"SANE EXAM 19-S-03931 S. JIMENE"</f>
        <v>SANE EXAM 19-S-03931 S. JIMENE</v>
      </c>
    </row>
    <row r="1470" spans="1:8" x14ac:dyDescent="0.25">
      <c r="A1470" t="s">
        <v>430</v>
      </c>
      <c r="B1470">
        <v>83459</v>
      </c>
      <c r="C1470" s="2">
        <v>150</v>
      </c>
      <c r="D1470" s="1">
        <v>43689</v>
      </c>
      <c r="E1470" t="str">
        <f>"12959"</f>
        <v>12959</v>
      </c>
      <c r="F1470" t="str">
        <f>"SERVICE"</f>
        <v>SERVICE</v>
      </c>
      <c r="G1470" s="2">
        <v>150</v>
      </c>
      <c r="H1470" t="str">
        <f>"SERVICE"</f>
        <v>SERVICE</v>
      </c>
    </row>
    <row r="1471" spans="1:8" x14ac:dyDescent="0.25">
      <c r="A1471" t="s">
        <v>431</v>
      </c>
      <c r="B1471">
        <v>197</v>
      </c>
      <c r="C1471" s="2">
        <v>2400</v>
      </c>
      <c r="D1471" s="1">
        <v>43689</v>
      </c>
      <c r="E1471" t="str">
        <f>"IN1566856"</f>
        <v>IN1566856</v>
      </c>
      <c r="F1471" t="str">
        <f>"TESTING 2019-2020"</f>
        <v>TESTING 2019-2020</v>
      </c>
      <c r="G1471" s="2">
        <v>2400</v>
      </c>
      <c r="H1471" t="str">
        <f>"TESTING 2019-2020"</f>
        <v>TESTING 2019-2020</v>
      </c>
    </row>
    <row r="1472" spans="1:8" x14ac:dyDescent="0.25">
      <c r="A1472" t="s">
        <v>432</v>
      </c>
      <c r="B1472">
        <v>1168</v>
      </c>
      <c r="C1472" s="2">
        <v>63.68</v>
      </c>
      <c r="D1472" s="1">
        <v>43690</v>
      </c>
      <c r="E1472" t="str">
        <f>"19080205"</f>
        <v>19080205</v>
      </c>
      <c r="F1472" t="str">
        <f>"SVC CONTRACT/07/01/19-08/01/19"</f>
        <v>SVC CONTRACT/07/01/19-08/01/19</v>
      </c>
      <c r="G1472" s="2">
        <v>63.68</v>
      </c>
      <c r="H1472" t="str">
        <f>"SVC CONTRACT/07/01/19-08/01/19"</f>
        <v>SVC CONTRACT/07/01/19-08/01/19</v>
      </c>
    </row>
    <row r="1473" spans="1:8" x14ac:dyDescent="0.25">
      <c r="A1473" t="s">
        <v>433</v>
      </c>
      <c r="B1473">
        <v>83460</v>
      </c>
      <c r="C1473" s="2">
        <v>88.37</v>
      </c>
      <c r="D1473" s="1">
        <v>43689</v>
      </c>
      <c r="E1473" t="str">
        <f>"57670"</f>
        <v>57670</v>
      </c>
      <c r="F1473" t="str">
        <f>"BEARINGS/PCT#3"</f>
        <v>BEARINGS/PCT#3</v>
      </c>
      <c r="G1473" s="2">
        <v>88.37</v>
      </c>
      <c r="H1473" t="str">
        <f>"BEARINGS/PCT#3"</f>
        <v>BEARINGS/PCT#3</v>
      </c>
    </row>
    <row r="1474" spans="1:8" x14ac:dyDescent="0.25">
      <c r="A1474" t="s">
        <v>434</v>
      </c>
      <c r="B1474">
        <v>83642</v>
      </c>
      <c r="C1474" s="2">
        <v>700</v>
      </c>
      <c r="D1474" s="1">
        <v>43703</v>
      </c>
      <c r="E1474" t="str">
        <f>"154311  154313"</f>
        <v>154311  154313</v>
      </c>
      <c r="F1474" t="str">
        <f>"PROSECUTOR TRIAL SKILLS COURSE"</f>
        <v>PROSECUTOR TRIAL SKILLS COURSE</v>
      </c>
      <c r="G1474" s="2">
        <v>700</v>
      </c>
      <c r="H1474" t="str">
        <f>"PROSECUTOR TRIAL SKILLS COURSE"</f>
        <v>PROSECUTOR TRIAL SKILLS COURSE</v>
      </c>
    </row>
    <row r="1475" spans="1:8" x14ac:dyDescent="0.25">
      <c r="A1475" t="s">
        <v>435</v>
      </c>
      <c r="B1475">
        <v>83643</v>
      </c>
      <c r="C1475" s="2">
        <v>6586</v>
      </c>
      <c r="D1475" s="1">
        <v>43703</v>
      </c>
      <c r="E1475" t="str">
        <f>"IU456810"</f>
        <v>IU456810</v>
      </c>
      <c r="F1475" t="str">
        <f>"INV IU456810"</f>
        <v>INV IU456810</v>
      </c>
      <c r="G1475" s="2">
        <v>6586</v>
      </c>
      <c r="H1475" t="str">
        <f>"INV IU456810"</f>
        <v>INV IU456810</v>
      </c>
    </row>
    <row r="1476" spans="1:8" x14ac:dyDescent="0.25">
      <c r="A1476" t="s">
        <v>436</v>
      </c>
      <c r="B1476">
        <v>83461</v>
      </c>
      <c r="C1476" s="2">
        <v>250</v>
      </c>
      <c r="D1476" s="1">
        <v>43689</v>
      </c>
      <c r="E1476" t="str">
        <f>"201908071037"</f>
        <v>201908071037</v>
      </c>
      <c r="F1476" t="str">
        <f>"TRAINING"</f>
        <v>TRAINING</v>
      </c>
      <c r="G1476" s="2">
        <v>250</v>
      </c>
      <c r="H1476" t="str">
        <f>"TRAINING"</f>
        <v>TRAINING</v>
      </c>
    </row>
    <row r="1477" spans="1:8" x14ac:dyDescent="0.25">
      <c r="A1477" t="s">
        <v>437</v>
      </c>
      <c r="B1477">
        <v>1288</v>
      </c>
      <c r="C1477" s="2">
        <v>209</v>
      </c>
      <c r="D1477" s="1">
        <v>43704</v>
      </c>
      <c r="E1477" t="str">
        <f>"201908201126"</f>
        <v>201908201126</v>
      </c>
      <c r="F1477" t="str">
        <f>"MONTHLY CONTRACT BILLING"</f>
        <v>MONTHLY CONTRACT BILLING</v>
      </c>
      <c r="G1477" s="2">
        <v>209</v>
      </c>
      <c r="H1477" t="str">
        <f>"MONTHLY CONTRACT BILLING"</f>
        <v>MONTHLY CONTRACT BILLING</v>
      </c>
    </row>
    <row r="1478" spans="1:8" x14ac:dyDescent="0.25">
      <c r="A1478" t="s">
        <v>438</v>
      </c>
      <c r="B1478">
        <v>1203</v>
      </c>
      <c r="C1478" s="2">
        <v>139.19999999999999</v>
      </c>
      <c r="D1478" s="1">
        <v>43690</v>
      </c>
      <c r="E1478" t="str">
        <f>"201908010767"</f>
        <v>201908010767</v>
      </c>
      <c r="F1478" t="str">
        <f>"REIMBURSE MILEAGE"</f>
        <v>REIMBURSE MILEAGE</v>
      </c>
      <c r="G1478" s="2">
        <v>139.19999999999999</v>
      </c>
      <c r="H1478" t="str">
        <f>"REIMBURSE MILEAGE"</f>
        <v>REIMBURSE MILEAGE</v>
      </c>
    </row>
    <row r="1479" spans="1:8" x14ac:dyDescent="0.25">
      <c r="A1479" t="s">
        <v>439</v>
      </c>
      <c r="B1479">
        <v>83462</v>
      </c>
      <c r="C1479" s="2">
        <v>677.17</v>
      </c>
      <c r="D1479" s="1">
        <v>43689</v>
      </c>
      <c r="E1479" t="str">
        <f>"361521"</f>
        <v>361521</v>
      </c>
      <c r="F1479" t="str">
        <f>"INV 361521"</f>
        <v>INV 361521</v>
      </c>
      <c r="G1479" s="2">
        <v>677.17</v>
      </c>
      <c r="H1479" t="str">
        <f>"INV 361521"</f>
        <v>INV 361521</v>
      </c>
    </row>
    <row r="1480" spans="1:8" x14ac:dyDescent="0.25">
      <c r="A1480" t="s">
        <v>440</v>
      </c>
      <c r="B1480">
        <v>1205</v>
      </c>
      <c r="C1480" s="2">
        <v>277.68</v>
      </c>
      <c r="D1480" s="1">
        <v>43690</v>
      </c>
      <c r="E1480" t="str">
        <f>"201908060909"</f>
        <v>201908060909</v>
      </c>
      <c r="F1480" t="str">
        <f>"ACCT#63275/CUST ID:BASCO1"</f>
        <v>ACCT#63275/CUST ID:BASCO1</v>
      </c>
      <c r="G1480" s="2">
        <v>95.41</v>
      </c>
      <c r="H1480" t="str">
        <f>"ACCT#63275/CUST ID:BASCO1"</f>
        <v>ACCT#63275/CUST ID:BASCO1</v>
      </c>
    </row>
    <row r="1481" spans="1:8" x14ac:dyDescent="0.25">
      <c r="E1481" t="str">
        <f>"201908060910"</f>
        <v>201908060910</v>
      </c>
      <c r="F1481" t="str">
        <f>"ACCT#63275/CUST ID:BASCO1/P2"</f>
        <v>ACCT#63275/CUST ID:BASCO1/P2</v>
      </c>
      <c r="G1481" s="2">
        <v>182.27</v>
      </c>
      <c r="H1481" t="str">
        <f>"ACCT#63275/CUST ID:BASCO1/P2"</f>
        <v>ACCT#63275/CUST ID:BASCO1/P2</v>
      </c>
    </row>
    <row r="1482" spans="1:8" x14ac:dyDescent="0.25">
      <c r="A1482" t="s">
        <v>441</v>
      </c>
      <c r="B1482">
        <v>83463</v>
      </c>
      <c r="C1482" s="2">
        <v>20609.41</v>
      </c>
      <c r="D1482" s="1">
        <v>43689</v>
      </c>
      <c r="E1482" t="str">
        <f>"0879291-IN"</f>
        <v>0879291-IN</v>
      </c>
      <c r="F1482" t="str">
        <f>"ACCT#01-0112917/FUEL/PCT#1"</f>
        <v>ACCT#01-0112917/FUEL/PCT#1</v>
      </c>
      <c r="G1482" s="2">
        <v>6557.32</v>
      </c>
      <c r="H1482" t="str">
        <f>"ACCT#01-0112917/FUEL/PCT#1"</f>
        <v>ACCT#01-0112917/FUEL/PCT#1</v>
      </c>
    </row>
    <row r="1483" spans="1:8" x14ac:dyDescent="0.25">
      <c r="E1483" t="str">
        <f>"0879694-IN"</f>
        <v>0879694-IN</v>
      </c>
      <c r="F1483" t="str">
        <f>"ACCT#01-0112917/FUEL/PCT#3"</f>
        <v>ACCT#01-0112917/FUEL/PCT#3</v>
      </c>
      <c r="G1483" s="2">
        <v>4262.2299999999996</v>
      </c>
      <c r="H1483" t="str">
        <f>"ACCT#01-0112917/FUEL/PCT#3"</f>
        <v>ACCT#01-0112917/FUEL/PCT#3</v>
      </c>
    </row>
    <row r="1484" spans="1:8" x14ac:dyDescent="0.25">
      <c r="E1484" t="str">
        <f>"0882071-IN"</f>
        <v>0882071-IN</v>
      </c>
      <c r="F1484" t="str">
        <f>"ACCT#01-0112917/FUEL/PCT#4"</f>
        <v>ACCT#01-0112917/FUEL/PCT#4</v>
      </c>
      <c r="G1484" s="2">
        <v>4282.0200000000004</v>
      </c>
      <c r="H1484" t="str">
        <f>"ACCT#01-0112917/FUEL/PCT#4"</f>
        <v>ACCT#01-0112917/FUEL/PCT#4</v>
      </c>
    </row>
    <row r="1485" spans="1:8" x14ac:dyDescent="0.25">
      <c r="E1485" t="str">
        <f>"0883442-IN"</f>
        <v>0883442-IN</v>
      </c>
      <c r="F1485" t="str">
        <f>"ACCT#01-0112917/EX FLUID/PCT#2"</f>
        <v>ACCT#01-0112917/EX FLUID/PCT#2</v>
      </c>
      <c r="G1485" s="2">
        <v>319.2</v>
      </c>
      <c r="H1485" t="str">
        <f>"ACCT#01-0112917/EX FLUID/PCT#2"</f>
        <v>ACCT#01-0112917/EX FLUID/PCT#2</v>
      </c>
    </row>
    <row r="1486" spans="1:8" x14ac:dyDescent="0.25">
      <c r="E1486" t="str">
        <f>"0885290-IN"</f>
        <v>0885290-IN</v>
      </c>
      <c r="F1486" t="str">
        <f>"ACCT#01-0112917/FUEL/PCT#3"</f>
        <v>ACCT#01-0112917/FUEL/PCT#3</v>
      </c>
      <c r="G1486" s="2">
        <v>4097.9399999999996</v>
      </c>
      <c r="H1486" t="str">
        <f>"ACCT#01-0112917/FUEL/PCT#3"</f>
        <v>ACCT#01-0112917/FUEL/PCT#3</v>
      </c>
    </row>
    <row r="1487" spans="1:8" x14ac:dyDescent="0.25">
      <c r="E1487" t="str">
        <f>"0885627-IN"</f>
        <v>0885627-IN</v>
      </c>
      <c r="F1487" t="str">
        <f>"ACCT#01-0112917/FUEL/PCT#4"</f>
        <v>ACCT#01-0112917/FUEL/PCT#4</v>
      </c>
      <c r="G1487" s="2">
        <v>1090.7</v>
      </c>
      <c r="H1487" t="str">
        <f>"ACCT#01-0112917/FUEL/PCT#4"</f>
        <v>ACCT#01-0112917/FUEL/PCT#4</v>
      </c>
    </row>
    <row r="1488" spans="1:8" x14ac:dyDescent="0.25">
      <c r="A1488" t="s">
        <v>441</v>
      </c>
      <c r="B1488">
        <v>83644</v>
      </c>
      <c r="C1488" s="2">
        <v>9021.2099999999991</v>
      </c>
      <c r="D1488" s="1">
        <v>43703</v>
      </c>
      <c r="E1488" t="str">
        <f>"0239032-IN"</f>
        <v>0239032-IN</v>
      </c>
      <c r="F1488" t="str">
        <f>"ACCT#01-0112917/FUELING SYS SV"</f>
        <v>ACCT#01-0112917/FUELING SYS SV</v>
      </c>
      <c r="G1488" s="2">
        <v>280.10000000000002</v>
      </c>
      <c r="H1488" t="str">
        <f>"ACCT#01-0112917/FUELING SYS SV"</f>
        <v>ACCT#01-0112917/FUELING SYS SV</v>
      </c>
    </row>
    <row r="1489" spans="1:8" x14ac:dyDescent="0.25">
      <c r="E1489" t="str">
        <f>"0887784-IN"</f>
        <v>0887784-IN</v>
      </c>
      <c r="F1489" t="str">
        <f>"ACCT#01-0112917/FUEL/PCT#4"</f>
        <v>ACCT#01-0112917/FUEL/PCT#4</v>
      </c>
      <c r="G1489" s="2">
        <v>4204.51</v>
      </c>
      <c r="H1489" t="str">
        <f>"ACCT#01-0112917/FUEL/PCT#4"</f>
        <v>ACCT#01-0112917/FUEL/PCT#4</v>
      </c>
    </row>
    <row r="1490" spans="1:8" x14ac:dyDescent="0.25">
      <c r="E1490" t="str">
        <f>"0889306-IN"</f>
        <v>0889306-IN</v>
      </c>
      <c r="F1490" t="str">
        <f>"ACCT#01-0112917/FUEL/PCT#3"</f>
        <v>ACCT#01-0112917/FUEL/PCT#3</v>
      </c>
      <c r="G1490" s="2">
        <v>4536.6000000000004</v>
      </c>
      <c r="H1490" t="str">
        <f>"ACCT#01-0112917/FUEL/PCT#3"</f>
        <v>ACCT#01-0112917/FUEL/PCT#3</v>
      </c>
    </row>
    <row r="1491" spans="1:8" x14ac:dyDescent="0.25">
      <c r="A1491" t="s">
        <v>442</v>
      </c>
      <c r="B1491">
        <v>83464</v>
      </c>
      <c r="C1491" s="2">
        <v>101.86</v>
      </c>
      <c r="D1491" s="1">
        <v>43689</v>
      </c>
      <c r="E1491" t="str">
        <f>"2526"</f>
        <v>2526</v>
      </c>
      <c r="F1491" t="str">
        <f>"CONCRETE SAND/PCT#1"</f>
        <v>CONCRETE SAND/PCT#1</v>
      </c>
      <c r="G1491" s="2">
        <v>101.86</v>
      </c>
      <c r="H1491" t="str">
        <f>"CONCRETE SAND/PCT#1"</f>
        <v>CONCRETE SAND/PCT#1</v>
      </c>
    </row>
    <row r="1492" spans="1:8" x14ac:dyDescent="0.25">
      <c r="A1492" t="s">
        <v>443</v>
      </c>
      <c r="B1492">
        <v>83465</v>
      </c>
      <c r="C1492" s="2">
        <v>35</v>
      </c>
      <c r="D1492" s="1">
        <v>43689</v>
      </c>
      <c r="E1492" t="str">
        <f>"201908060955"</f>
        <v>201908060955</v>
      </c>
      <c r="F1492" t="str">
        <f>"TACCLJ DUES 2019-2020-M. ESKEW"</f>
        <v>TACCLJ DUES 2019-2020-M. ESKEW</v>
      </c>
      <c r="G1492" s="2">
        <v>35</v>
      </c>
      <c r="H1492" t="str">
        <f>"TACCLJ DUES 2019-2020-M. ESKEW"</f>
        <v>TACCLJ DUES 2019-2020-M. ESKEW</v>
      </c>
    </row>
    <row r="1493" spans="1:8" x14ac:dyDescent="0.25">
      <c r="A1493" t="s">
        <v>444</v>
      </c>
      <c r="B1493">
        <v>83466</v>
      </c>
      <c r="C1493" s="2">
        <v>713</v>
      </c>
      <c r="D1493" s="1">
        <v>43689</v>
      </c>
      <c r="E1493" t="str">
        <f>"201908071039"</f>
        <v>201908071039</v>
      </c>
      <c r="F1493" t="str">
        <f>"BOND RENEWAL JULY"</f>
        <v>BOND RENEWAL JULY</v>
      </c>
      <c r="G1493" s="2">
        <v>150</v>
      </c>
      <c r="H1493" t="str">
        <f>"BOND RENEWAL JULY"</f>
        <v>BOND RENEWAL JULY</v>
      </c>
    </row>
    <row r="1494" spans="1:8" x14ac:dyDescent="0.25">
      <c r="E1494" t="str">
        <f>"201908071041"</f>
        <v>201908071041</v>
      </c>
      <c r="F1494" t="str">
        <f>"AUGUST BOND RENEWALS"</f>
        <v>AUGUST BOND RENEWALS</v>
      </c>
      <c r="G1494" s="2">
        <v>300</v>
      </c>
      <c r="H1494" t="str">
        <f>"AUGUST BOND RENEWALS"</f>
        <v>AUGUST BOND RENEWALS</v>
      </c>
    </row>
    <row r="1495" spans="1:8" x14ac:dyDescent="0.25">
      <c r="E1495" t="str">
        <f>"3640 3648 3658"</f>
        <v>3640 3648 3658</v>
      </c>
      <c r="F1495" t="str">
        <f>"INV 3640"</f>
        <v>INV 3640</v>
      </c>
      <c r="G1495" s="2">
        <v>213</v>
      </c>
      <c r="H1495" t="str">
        <f>"INV 3640"</f>
        <v>INV 3640</v>
      </c>
    </row>
    <row r="1496" spans="1:8" x14ac:dyDescent="0.25">
      <c r="E1496" t="str">
        <f>""</f>
        <v/>
      </c>
      <c r="F1496" t="str">
        <f>""</f>
        <v/>
      </c>
      <c r="H1496" t="str">
        <f>"INV 3648"</f>
        <v>INV 3648</v>
      </c>
    </row>
    <row r="1497" spans="1:8" x14ac:dyDescent="0.25">
      <c r="E1497" t="str">
        <f>""</f>
        <v/>
      </c>
      <c r="F1497" t="str">
        <f>""</f>
        <v/>
      </c>
      <c r="H1497" t="str">
        <f>"INV 3658"</f>
        <v>INV 3658</v>
      </c>
    </row>
    <row r="1498" spans="1:8" x14ac:dyDescent="0.25">
      <c r="E1498" t="str">
        <f>"3671"</f>
        <v>3671</v>
      </c>
      <c r="F1498" t="str">
        <f>"INV 3671"</f>
        <v>INV 3671</v>
      </c>
      <c r="G1498" s="2">
        <v>50</v>
      </c>
      <c r="H1498" t="str">
        <f>"INV 3671"</f>
        <v>INV 3671</v>
      </c>
    </row>
    <row r="1499" spans="1:8" x14ac:dyDescent="0.25">
      <c r="A1499" t="s">
        <v>444</v>
      </c>
      <c r="B1499">
        <v>83645</v>
      </c>
      <c r="C1499" s="2">
        <v>242.5</v>
      </c>
      <c r="D1499" s="1">
        <v>43703</v>
      </c>
      <c r="E1499" t="str">
        <f>"3821"</f>
        <v>3821</v>
      </c>
      <c r="F1499" t="str">
        <f>"ITEM#83704-PAULA BIRRAN"</f>
        <v>ITEM#83704-PAULA BIRRAN</v>
      </c>
      <c r="G1499" s="2">
        <v>92.5</v>
      </c>
      <c r="H1499" t="str">
        <f>"ITEM#83704-PAULA BIRRAN"</f>
        <v>ITEM#83704-PAULA BIRRAN</v>
      </c>
    </row>
    <row r="1500" spans="1:8" x14ac:dyDescent="0.25">
      <c r="E1500" t="str">
        <f>"3826/3829"</f>
        <v>3826/3829</v>
      </c>
      <c r="F1500" t="str">
        <f>"INV 3826 / 3829"</f>
        <v>INV 3826 / 3829</v>
      </c>
      <c r="G1500" s="2">
        <v>100</v>
      </c>
      <c r="H1500" t="str">
        <f>"INV 3826 / 3829"</f>
        <v>INV 3826 / 3829</v>
      </c>
    </row>
    <row r="1501" spans="1:8" x14ac:dyDescent="0.25">
      <c r="E1501" t="str">
        <f>"3827"</f>
        <v>3827</v>
      </c>
      <c r="F1501" t="str">
        <f>"ACCT#BASTRCOU-08-B. HOFFART"</f>
        <v>ACCT#BASTRCOU-08-B. HOFFART</v>
      </c>
      <c r="G1501" s="2">
        <v>50</v>
      </c>
      <c r="H1501" t="str">
        <f>"ACCT#BASTRCOU-08-B. HOFFART"</f>
        <v>ACCT#BASTRCOU-08-B. HOFFART</v>
      </c>
    </row>
    <row r="1502" spans="1:8" x14ac:dyDescent="0.25">
      <c r="A1502" t="s">
        <v>445</v>
      </c>
      <c r="B1502">
        <v>83467</v>
      </c>
      <c r="C1502" s="2">
        <v>125</v>
      </c>
      <c r="D1502" s="1">
        <v>43689</v>
      </c>
      <c r="E1502" t="str">
        <f>"203162/203162"</f>
        <v>203162/203162</v>
      </c>
      <c r="F1502" t="str">
        <f>"CDCAT DUES-ROSE PIETSCH"</f>
        <v>CDCAT DUES-ROSE PIETSCH</v>
      </c>
      <c r="G1502" s="2">
        <v>125</v>
      </c>
      <c r="H1502" t="str">
        <f>"CDCAT DUES-ROSE PIETSCH"</f>
        <v>CDCAT DUES-ROSE PIETSCH</v>
      </c>
    </row>
    <row r="1503" spans="1:8" x14ac:dyDescent="0.25">
      <c r="A1503" t="s">
        <v>445</v>
      </c>
      <c r="B1503">
        <v>83646</v>
      </c>
      <c r="C1503" s="2">
        <v>180</v>
      </c>
      <c r="D1503" s="1">
        <v>43703</v>
      </c>
      <c r="E1503" t="str">
        <f>"291029"</f>
        <v>291029</v>
      </c>
      <c r="F1503" t="str">
        <f>"MEMBER ID:231974-SARAH LOUCKS"</f>
        <v>MEMBER ID:231974-SARAH LOUCKS</v>
      </c>
      <c r="G1503" s="2">
        <v>180</v>
      </c>
      <c r="H1503" t="str">
        <f>"MEMBER ID:231974-SARAH LOUCKS"</f>
        <v>MEMBER ID:231974-SARAH LOUCKS</v>
      </c>
    </row>
    <row r="1504" spans="1:8" x14ac:dyDescent="0.25">
      <c r="A1504" t="s">
        <v>445</v>
      </c>
      <c r="B1504">
        <v>83647</v>
      </c>
      <c r="C1504" s="2">
        <v>275</v>
      </c>
      <c r="D1504" s="1">
        <v>43703</v>
      </c>
      <c r="E1504" t="str">
        <f>"291147"</f>
        <v>291147</v>
      </c>
      <c r="F1504" t="str">
        <f>"MEMBER ID:203296-FALL CONFEREN"</f>
        <v>MEMBER ID:203296-FALL CONFEREN</v>
      </c>
      <c r="G1504" s="2">
        <v>275</v>
      </c>
      <c r="H1504" t="str">
        <f>"MEMBER ID:203296-FALL CONFEREN"</f>
        <v>MEMBER ID:203296-FALL CONFEREN</v>
      </c>
    </row>
    <row r="1505" spans="1:8" x14ac:dyDescent="0.25">
      <c r="A1505" t="s">
        <v>446</v>
      </c>
      <c r="B1505">
        <v>83468</v>
      </c>
      <c r="C1505" s="2">
        <v>500</v>
      </c>
      <c r="D1505" s="1">
        <v>43689</v>
      </c>
      <c r="E1505" t="str">
        <f>"01685111"</f>
        <v>01685111</v>
      </c>
      <c r="F1505" t="str">
        <f>"CLIENT#00511884/LICENSE RENEWA"</f>
        <v>CLIENT#00511884/LICENSE RENEWA</v>
      </c>
      <c r="G1505" s="2">
        <v>500</v>
      </c>
      <c r="H1505" t="str">
        <f>"CLIENT#00511884/LICENSE RENEWA"</f>
        <v>CLIENT#00511884/LICENSE RENEWA</v>
      </c>
    </row>
    <row r="1506" spans="1:8" x14ac:dyDescent="0.25">
      <c r="A1506" t="s">
        <v>447</v>
      </c>
      <c r="B1506">
        <v>83484</v>
      </c>
      <c r="C1506" s="2">
        <v>12</v>
      </c>
      <c r="D1506" s="1">
        <v>43689</v>
      </c>
      <c r="E1506" t="str">
        <f>"201908060929"</f>
        <v>201908060929</v>
      </c>
      <c r="F1506" t="str">
        <f>"ACCT#298344/PCT#2"</f>
        <v>ACCT#298344/PCT#2</v>
      </c>
      <c r="G1506" s="2">
        <v>12</v>
      </c>
      <c r="H1506" t="str">
        <f>"ACCT#298344/PCT#2"</f>
        <v>ACCT#298344/PCT#2</v>
      </c>
    </row>
    <row r="1507" spans="1:8" x14ac:dyDescent="0.25">
      <c r="A1507" t="s">
        <v>448</v>
      </c>
      <c r="B1507">
        <v>83469</v>
      </c>
      <c r="C1507" s="2">
        <v>35</v>
      </c>
      <c r="D1507" s="1">
        <v>43689</v>
      </c>
      <c r="E1507" t="str">
        <f>"CRS-201905-171571"</f>
        <v>CRS-201905-171571</v>
      </c>
      <c r="F1507" t="str">
        <f>"SECURE SITE CCH NAME SEARCH"</f>
        <v>SECURE SITE CCH NAME SEARCH</v>
      </c>
      <c r="G1507" s="2">
        <v>23</v>
      </c>
      <c r="H1507" t="str">
        <f>"SECURE SITE CCH NAME SEARCH"</f>
        <v>SECURE SITE CCH NAME SEARCH</v>
      </c>
    </row>
    <row r="1508" spans="1:8" x14ac:dyDescent="0.25">
      <c r="E1508" t="str">
        <f>"CRS-201906-173761"</f>
        <v>CRS-201906-173761</v>
      </c>
      <c r="F1508" t="str">
        <f>"SECURE SITE CCH NAME SEARCH"</f>
        <v>SECURE SITE CCH NAME SEARCH</v>
      </c>
      <c r="G1508" s="2">
        <v>12</v>
      </c>
      <c r="H1508" t="str">
        <f>"SECURE SITE CCH NAME SEARCH"</f>
        <v>SECURE SITE CCH NAME SEARCH</v>
      </c>
    </row>
    <row r="1509" spans="1:8" x14ac:dyDescent="0.25">
      <c r="A1509" t="s">
        <v>449</v>
      </c>
      <c r="B1509">
        <v>83470</v>
      </c>
      <c r="C1509" s="2">
        <v>1699.87</v>
      </c>
      <c r="D1509" s="1">
        <v>43689</v>
      </c>
      <c r="E1509" t="str">
        <f>"1094815-0001"</f>
        <v>1094815-0001</v>
      </c>
      <c r="F1509" t="str">
        <f>"inv# 1094815-0001"</f>
        <v>inv# 1094815-0001</v>
      </c>
      <c r="G1509" s="2">
        <v>1699.87</v>
      </c>
      <c r="H1509" t="str">
        <f>"excavator"</f>
        <v>excavator</v>
      </c>
    </row>
    <row r="1510" spans="1:8" x14ac:dyDescent="0.25">
      <c r="E1510" t="str">
        <f>""</f>
        <v/>
      </c>
      <c r="F1510" t="str">
        <f>""</f>
        <v/>
      </c>
      <c r="H1510" t="str">
        <f>"Bucket"</f>
        <v>Bucket</v>
      </c>
    </row>
    <row r="1511" spans="1:8" x14ac:dyDescent="0.25">
      <c r="E1511" t="str">
        <f>""</f>
        <v/>
      </c>
      <c r="F1511" t="str">
        <f>""</f>
        <v/>
      </c>
      <c r="H1511" t="str">
        <f>"environmental"</f>
        <v>environmental</v>
      </c>
    </row>
    <row r="1512" spans="1:8" x14ac:dyDescent="0.25">
      <c r="E1512" t="str">
        <f>""</f>
        <v/>
      </c>
      <c r="F1512" t="str">
        <f>""</f>
        <v/>
      </c>
      <c r="H1512" t="str">
        <f>"texas emission"</f>
        <v>texas emission</v>
      </c>
    </row>
    <row r="1513" spans="1:8" x14ac:dyDescent="0.25">
      <c r="E1513" t="str">
        <f>""</f>
        <v/>
      </c>
      <c r="F1513" t="str">
        <f>""</f>
        <v/>
      </c>
      <c r="H1513" t="str">
        <f>"inventory"</f>
        <v>inventory</v>
      </c>
    </row>
    <row r="1514" spans="1:8" x14ac:dyDescent="0.25">
      <c r="E1514" t="str">
        <f>""</f>
        <v/>
      </c>
      <c r="F1514" t="str">
        <f>""</f>
        <v/>
      </c>
      <c r="H1514" t="str">
        <f>"delivery"</f>
        <v>delivery</v>
      </c>
    </row>
    <row r="1515" spans="1:8" x14ac:dyDescent="0.25">
      <c r="E1515" t="str">
        <f>""</f>
        <v/>
      </c>
      <c r="F1515" t="str">
        <f>""</f>
        <v/>
      </c>
      <c r="H1515" t="str">
        <f>"pickup"</f>
        <v>pickup</v>
      </c>
    </row>
    <row r="1516" spans="1:8" x14ac:dyDescent="0.25">
      <c r="E1516" t="str">
        <f>""</f>
        <v/>
      </c>
      <c r="F1516" t="str">
        <f>""</f>
        <v/>
      </c>
      <c r="H1516" t="str">
        <f>"damage waivor"</f>
        <v>damage waivor</v>
      </c>
    </row>
    <row r="1517" spans="1:8" x14ac:dyDescent="0.25">
      <c r="A1517" t="s">
        <v>450</v>
      </c>
      <c r="B1517">
        <v>83471</v>
      </c>
      <c r="C1517" s="2">
        <v>350</v>
      </c>
      <c r="D1517" s="1">
        <v>43689</v>
      </c>
      <c r="E1517" t="str">
        <f>"200012900"</f>
        <v>200012900</v>
      </c>
      <c r="F1517" t="str">
        <f>"FALL 2019 CONF-B. RETZLAFF"</f>
        <v>FALL 2019 CONF-B. RETZLAFF</v>
      </c>
      <c r="G1517" s="2">
        <v>350</v>
      </c>
      <c r="H1517" t="str">
        <f>"FALL 2019 CONF-B. RETZLAFF"</f>
        <v>FALL 2019 CONF-B. RETZLAFF</v>
      </c>
    </row>
    <row r="1518" spans="1:8" x14ac:dyDescent="0.25">
      <c r="A1518" t="s">
        <v>451</v>
      </c>
      <c r="B1518">
        <v>83472</v>
      </c>
      <c r="C1518" s="2">
        <v>495</v>
      </c>
      <c r="D1518" s="1">
        <v>43689</v>
      </c>
      <c r="E1518" t="str">
        <f>"201908071032"</f>
        <v>201908071032</v>
      </c>
      <c r="F1518" t="str">
        <f>"TRAINING"</f>
        <v>TRAINING</v>
      </c>
      <c r="G1518" s="2">
        <v>495</v>
      </c>
      <c r="H1518" t="str">
        <f>"TRAINING"</f>
        <v>TRAINING</v>
      </c>
    </row>
    <row r="1519" spans="1:8" x14ac:dyDescent="0.25">
      <c r="A1519" t="s">
        <v>452</v>
      </c>
      <c r="B1519">
        <v>83473</v>
      </c>
      <c r="C1519" s="2">
        <v>100</v>
      </c>
      <c r="D1519" s="1">
        <v>43689</v>
      </c>
      <c r="E1519" t="str">
        <f>"47244"</f>
        <v>47244</v>
      </c>
      <c r="F1519" t="str">
        <f>"FY19 LEG WKSHOP-AUGUST MEDUNA"</f>
        <v>FY19 LEG WKSHOP-AUGUST MEDUNA</v>
      </c>
      <c r="G1519" s="2">
        <v>100</v>
      </c>
      <c r="H1519" t="str">
        <f>"FY19 LEG WKSHOP-AUGUST MEDUNA"</f>
        <v>FY19 LEG WKSHOP-AUGUST MEDUNA</v>
      </c>
    </row>
    <row r="1520" spans="1:8" x14ac:dyDescent="0.25">
      <c r="A1520" t="s">
        <v>453</v>
      </c>
      <c r="B1520">
        <v>83474</v>
      </c>
      <c r="C1520" s="2">
        <v>2631.2</v>
      </c>
      <c r="D1520" s="1">
        <v>43689</v>
      </c>
      <c r="E1520" t="str">
        <f>"255120"</f>
        <v>255120</v>
      </c>
      <c r="F1520" t="str">
        <f>"CUST#255120/COLD MIX/PCT#2"</f>
        <v>CUST#255120/COLD MIX/PCT#2</v>
      </c>
      <c r="G1520" s="2">
        <v>2631.2</v>
      </c>
      <c r="H1520" t="str">
        <f>"CUST#255120/COLD MIX/PCT#2"</f>
        <v>CUST#255120/COLD MIX/PCT#2</v>
      </c>
    </row>
    <row r="1521" spans="1:8" x14ac:dyDescent="0.25">
      <c r="A1521" t="s">
        <v>454</v>
      </c>
      <c r="B1521">
        <v>83475</v>
      </c>
      <c r="C1521" s="2">
        <v>2141</v>
      </c>
      <c r="D1521" s="1">
        <v>43689</v>
      </c>
      <c r="E1521" t="str">
        <f>"1CO-1946-19"</f>
        <v>1CO-1946-19</v>
      </c>
      <c r="F1521" t="str">
        <f>"A8245795 - J. HOLMES"</f>
        <v>A8245795 - J. HOLMES</v>
      </c>
      <c r="G1521" s="2">
        <v>157.25</v>
      </c>
      <c r="H1521" t="str">
        <f>"A8245795 - J. HOLMES"</f>
        <v>A8245795 - J. HOLMES</v>
      </c>
    </row>
    <row r="1522" spans="1:8" x14ac:dyDescent="0.25">
      <c r="E1522" t="str">
        <f>"1CO-2229-19"</f>
        <v>1CO-2229-19</v>
      </c>
      <c r="F1522" t="str">
        <f>"A8245808-D.E. MAYFIELD"</f>
        <v>A8245808-D.E. MAYFIELD</v>
      </c>
      <c r="G1522" s="2">
        <v>114.75</v>
      </c>
      <c r="H1522" t="str">
        <f>"A8245808-D.E. MAYFIELD"</f>
        <v>A8245808-D.E. MAYFIELD</v>
      </c>
    </row>
    <row r="1523" spans="1:8" x14ac:dyDescent="0.25">
      <c r="E1523" t="str">
        <f>"1CO-2402-19"</f>
        <v>1CO-2402-19</v>
      </c>
      <c r="F1523" t="str">
        <f>"A8245807 - T.J. HOLUB"</f>
        <v>A8245807 - T.J. HOLUB</v>
      </c>
      <c r="G1523" s="2">
        <v>170</v>
      </c>
      <c r="H1523" t="str">
        <f>"A8245807 - T.J. HOLUB"</f>
        <v>A8245807 - T.J. HOLUB</v>
      </c>
    </row>
    <row r="1524" spans="1:8" x14ac:dyDescent="0.25">
      <c r="E1524" t="str">
        <f>"3CO-1130-19"</f>
        <v>3CO-1130-19</v>
      </c>
      <c r="F1524" t="str">
        <f>"A8245794 - V. PALACIOS"</f>
        <v>A8245794 - V. PALACIOS</v>
      </c>
      <c r="G1524" s="2">
        <v>114.75</v>
      </c>
      <c r="H1524" t="str">
        <f>"A8245794 - V. PALACIOS"</f>
        <v>A8245794 - V. PALACIOS</v>
      </c>
    </row>
    <row r="1525" spans="1:8" x14ac:dyDescent="0.25">
      <c r="E1525" t="str">
        <f>"J2-50581"</f>
        <v>J2-50581</v>
      </c>
      <c r="F1525" t="str">
        <f>"A12181 - R. SALDANA"</f>
        <v>A12181 - R. SALDANA</v>
      </c>
      <c r="G1525" s="2">
        <v>114.75</v>
      </c>
      <c r="H1525" t="str">
        <f>"A12181 - R. SALDANA"</f>
        <v>A12181 - R. SALDANA</v>
      </c>
    </row>
    <row r="1526" spans="1:8" x14ac:dyDescent="0.25">
      <c r="E1526" t="str">
        <f>"J2-53847"</f>
        <v>J2-53847</v>
      </c>
      <c r="F1526" t="str">
        <f>"A8258557 - B.S. HIPPS"</f>
        <v>A8258557 - B.S. HIPPS</v>
      </c>
      <c r="G1526" s="2">
        <v>114.75</v>
      </c>
      <c r="H1526" t="str">
        <f>"A8258557 - B.S. HIPPS"</f>
        <v>A8258557 - B.S. HIPPS</v>
      </c>
    </row>
    <row r="1527" spans="1:8" x14ac:dyDescent="0.25">
      <c r="E1527" t="str">
        <f>"J2-59776"</f>
        <v>J2-59776</v>
      </c>
      <c r="F1527" t="str">
        <f>"A8245830 - M. BYER"</f>
        <v>A8245830 - M. BYER</v>
      </c>
      <c r="G1527" s="2">
        <v>80.75</v>
      </c>
      <c r="H1527" t="str">
        <f>"A8245830 - M. BYER"</f>
        <v>A8245830 - M. BYER</v>
      </c>
    </row>
    <row r="1528" spans="1:8" x14ac:dyDescent="0.25">
      <c r="E1528" t="str">
        <f>"J2-60149"</f>
        <v>J2-60149</v>
      </c>
      <c r="F1528" t="str">
        <f>"A8245773 - A. SCOTT"</f>
        <v>A8245773 - A. SCOTT</v>
      </c>
      <c r="G1528" s="2">
        <v>114.75</v>
      </c>
      <c r="H1528" t="str">
        <f>"A8245773 - A. SCOTT"</f>
        <v>A8245773 - A. SCOTT</v>
      </c>
    </row>
    <row r="1529" spans="1:8" x14ac:dyDescent="0.25">
      <c r="E1529" t="str">
        <f>"J2-61069"</f>
        <v>J2-61069</v>
      </c>
      <c r="F1529" t="str">
        <f>"A-16134 - J.T. REYES"</f>
        <v>A-16134 - J.T. REYES</v>
      </c>
      <c r="G1529" s="2">
        <v>157.25</v>
      </c>
      <c r="H1529" t="str">
        <f>"A-16134 - J.T. REYES"</f>
        <v>A-16134 - J.T. REYES</v>
      </c>
    </row>
    <row r="1530" spans="1:8" x14ac:dyDescent="0.25">
      <c r="E1530" t="str">
        <f>"J2-63882"</f>
        <v>J2-63882</v>
      </c>
      <c r="F1530" t="str">
        <f>"A13139 - R. REYES"</f>
        <v>A13139 - R. REYES</v>
      </c>
      <c r="G1530" s="2">
        <v>114.75</v>
      </c>
      <c r="H1530" t="str">
        <f>"A13139 - R. REYES"</f>
        <v>A13139 - R. REYES</v>
      </c>
    </row>
    <row r="1531" spans="1:8" x14ac:dyDescent="0.25">
      <c r="E1531" t="str">
        <f>"J2-64205"</f>
        <v>J2-64205</v>
      </c>
      <c r="F1531" t="str">
        <f>"A8286243 - E.M. GARCIA"</f>
        <v>A8286243 - E.M. GARCIA</v>
      </c>
      <c r="G1531" s="2">
        <v>114.75</v>
      </c>
      <c r="H1531" t="str">
        <f>"A8286243 - E.M. GARCIA"</f>
        <v>A8286243 - E.M. GARCIA</v>
      </c>
    </row>
    <row r="1532" spans="1:8" x14ac:dyDescent="0.25">
      <c r="E1532" t="str">
        <f>"J2-64301"</f>
        <v>J2-64301</v>
      </c>
      <c r="F1532" t="str">
        <f>"A8303671 - K.A. ENGELMANN"</f>
        <v>A8303671 - K.A. ENGELMANN</v>
      </c>
      <c r="G1532" s="2">
        <v>113.75</v>
      </c>
      <c r="H1532" t="str">
        <f>"A8303671 - K.A. ENGELMANN"</f>
        <v>A8303671 - K.A. ENGELMANN</v>
      </c>
    </row>
    <row r="1533" spans="1:8" x14ac:dyDescent="0.25">
      <c r="E1533" t="str">
        <f>"J2-64608"</f>
        <v>J2-64608</v>
      </c>
      <c r="F1533" t="str">
        <f>"A8245803 - J.R. WOODS"</f>
        <v>A8245803 - J.R. WOODS</v>
      </c>
      <c r="G1533" s="2">
        <v>157.25</v>
      </c>
      <c r="H1533" t="str">
        <f>"A8245803 - J.R. WOODS"</f>
        <v>A8245803 - J.R. WOODS</v>
      </c>
    </row>
    <row r="1534" spans="1:8" x14ac:dyDescent="0.25">
      <c r="E1534" t="str">
        <f>"J2-64615"</f>
        <v>J2-64615</v>
      </c>
      <c r="F1534" t="str">
        <f>"A8245674 - L. WASHINGTON"</f>
        <v>A8245674 - L. WASHINGTON</v>
      </c>
      <c r="G1534" s="2">
        <v>157.25</v>
      </c>
      <c r="H1534" t="str">
        <f>"A8245674 - L. WASHINGTON"</f>
        <v>A8245674 - L. WASHINGTON</v>
      </c>
    </row>
    <row r="1535" spans="1:8" x14ac:dyDescent="0.25">
      <c r="E1535" t="str">
        <f>"J2-64887"</f>
        <v>J2-64887</v>
      </c>
      <c r="F1535" t="str">
        <f>"A8270608 - S.D. ACEVES"</f>
        <v>A8270608 - S.D. ACEVES</v>
      </c>
      <c r="G1535" s="2">
        <v>114.75</v>
      </c>
      <c r="H1535" t="str">
        <f>"A8270608 - S.D. ACEVES"</f>
        <v>A8270608 - S.D. ACEVES</v>
      </c>
    </row>
    <row r="1536" spans="1:8" x14ac:dyDescent="0.25">
      <c r="E1536" t="str">
        <f>"J2-64888"</f>
        <v>J2-64888</v>
      </c>
      <c r="F1536" t="str">
        <f>"A8270611 - M.A. GONZALEZ"</f>
        <v>A8270611 - M.A. GONZALEZ</v>
      </c>
      <c r="G1536" s="2">
        <v>114.75</v>
      </c>
      <c r="H1536" t="str">
        <f>"A8270611 - M.A. GONZALEZ"</f>
        <v>A8270611 - M.A. GONZALEZ</v>
      </c>
    </row>
    <row r="1537" spans="1:8" x14ac:dyDescent="0.25">
      <c r="E1537" t="str">
        <f>"J2-65128"</f>
        <v>J2-65128</v>
      </c>
      <c r="F1537" t="str">
        <f>"A8270614 - S.A. SKAGGS"</f>
        <v>A8270614 - S.A. SKAGGS</v>
      </c>
      <c r="G1537" s="2">
        <v>114.75</v>
      </c>
      <c r="H1537" t="str">
        <f>"A8270614 - S.A. SKAGGS"</f>
        <v>A8270614 - S.A. SKAGGS</v>
      </c>
    </row>
    <row r="1538" spans="1:8" x14ac:dyDescent="0.25">
      <c r="A1538" t="s">
        <v>455</v>
      </c>
      <c r="B1538">
        <v>1254</v>
      </c>
      <c r="C1538" s="2">
        <v>779.75</v>
      </c>
      <c r="D1538" s="1">
        <v>43704</v>
      </c>
      <c r="E1538" t="str">
        <f>"201908201183"</f>
        <v>201908201183</v>
      </c>
      <c r="F1538" t="str">
        <f>"INDIGENT HEALTH"</f>
        <v>INDIGENT HEALTH</v>
      </c>
      <c r="G1538" s="2">
        <v>779.75</v>
      </c>
      <c r="H1538" t="str">
        <f>"INDIGENT HEALTH"</f>
        <v>INDIGENT HEALTH</v>
      </c>
    </row>
    <row r="1539" spans="1:8" x14ac:dyDescent="0.25">
      <c r="E1539" t="str">
        <f>""</f>
        <v/>
      </c>
      <c r="F1539" t="str">
        <f>""</f>
        <v/>
      </c>
      <c r="H1539" t="str">
        <f>"INDIGENT HEALTH"</f>
        <v>INDIGENT HEALTH</v>
      </c>
    </row>
    <row r="1540" spans="1:8" x14ac:dyDescent="0.25">
      <c r="A1540" t="s">
        <v>456</v>
      </c>
      <c r="B1540">
        <v>83476</v>
      </c>
      <c r="C1540" s="2">
        <v>1767.5</v>
      </c>
      <c r="D1540" s="1">
        <v>43689</v>
      </c>
      <c r="E1540" t="str">
        <f>"114286"</f>
        <v>114286</v>
      </c>
      <c r="F1540" t="str">
        <f>"ACCT#188757/RD&amp; BRIDGE/SIGN SH"</f>
        <v>ACCT#188757/RD&amp; BRIDGE/SIGN SH</v>
      </c>
      <c r="G1540" s="2">
        <v>95</v>
      </c>
      <c r="H1540" t="str">
        <f>"ACCT#188757/RD&amp; BRIDGE/SIGN SH"</f>
        <v>ACCT#188757/RD&amp; BRIDGE/SIGN SH</v>
      </c>
    </row>
    <row r="1541" spans="1:8" x14ac:dyDescent="0.25">
      <c r="E1541" t="str">
        <f>"114408"</f>
        <v>114408</v>
      </c>
      <c r="F1541" t="str">
        <f>"ACCT#188757/JP4/TAX OFFICE"</f>
        <v>ACCT#188757/JP4/TAX OFFICE</v>
      </c>
      <c r="G1541" s="2">
        <v>95</v>
      </c>
      <c r="H1541" t="str">
        <f>"ACCT#188757/JP4/TAX OFFICE"</f>
        <v>ACCT#188757/JP4/TAX OFFICE</v>
      </c>
    </row>
    <row r="1542" spans="1:8" x14ac:dyDescent="0.25">
      <c r="E1542" t="str">
        <f>"114550"</f>
        <v>114550</v>
      </c>
      <c r="F1542" t="str">
        <f>"ACCT#188757/MIKE FISHER BLDG"</f>
        <v>ACCT#188757/MIKE FISHER BLDG</v>
      </c>
      <c r="G1542" s="2">
        <v>112</v>
      </c>
      <c r="H1542" t="str">
        <f>"ACCT#188757/MIKE FISHER BLDG"</f>
        <v>ACCT#188757/MIKE FISHER BLDG</v>
      </c>
    </row>
    <row r="1543" spans="1:8" x14ac:dyDescent="0.25">
      <c r="E1543" t="str">
        <f>"115110"</f>
        <v>115110</v>
      </c>
      <c r="F1543" t="str">
        <f>"ACCT#188757/JUVENILE PROBATION"</f>
        <v>ACCT#188757/JUVENILE PROBATION</v>
      </c>
      <c r="G1543" s="2">
        <v>132</v>
      </c>
      <c r="H1543" t="str">
        <f>"ACCT#188757/JUVENILE PROBATION"</f>
        <v>ACCT#188757/JUVENILE PROBATION</v>
      </c>
    </row>
    <row r="1544" spans="1:8" x14ac:dyDescent="0.25">
      <c r="E1544" t="str">
        <f>"115126"</f>
        <v>115126</v>
      </c>
      <c r="F1544" t="str">
        <f>"ACCT#188757/CT HOUSE MAIN&amp;ANNE"</f>
        <v>ACCT#188757/CT HOUSE MAIN&amp;ANNE</v>
      </c>
      <c r="G1544" s="2">
        <v>137</v>
      </c>
      <c r="H1544" t="str">
        <f>"ACCT#188757/CT HOUSE MAIN&amp;ANNE"</f>
        <v>ACCT#188757/CT HOUSE MAIN&amp;ANNE</v>
      </c>
    </row>
    <row r="1545" spans="1:8" x14ac:dyDescent="0.25">
      <c r="E1545" t="str">
        <f>"115128"</f>
        <v>115128</v>
      </c>
      <c r="F1545" t="str">
        <f>"ACCT#188757/HISTORIC JAIL"</f>
        <v>ACCT#188757/HISTORIC JAIL</v>
      </c>
      <c r="G1545" s="2">
        <v>76</v>
      </c>
      <c r="H1545" t="str">
        <f>"ACCT#188757/HISTORIC JAIL"</f>
        <v>ACCT#188757/HISTORIC JAIL</v>
      </c>
    </row>
    <row r="1546" spans="1:8" x14ac:dyDescent="0.25">
      <c r="E1546" t="str">
        <f>"115133"</f>
        <v>115133</v>
      </c>
      <c r="F1546" t="str">
        <f>"ACCT#188757/EXT HABITAT OFFICE"</f>
        <v>ACCT#188757/EXT HABITAT OFFICE</v>
      </c>
      <c r="G1546" s="2">
        <v>89</v>
      </c>
      <c r="H1546" t="str">
        <f>"ACCT#188757/EXT HABITAT OFFICE"</f>
        <v>ACCT#188757/EXT HABITAT OFFICE</v>
      </c>
    </row>
    <row r="1547" spans="1:8" x14ac:dyDescent="0.25">
      <c r="E1547" t="str">
        <f>"115149"</f>
        <v>115149</v>
      </c>
      <c r="F1547" t="str">
        <f>"ACCT#188757/PCT#3 WAREHOUSE"</f>
        <v>ACCT#188757/PCT#3 WAREHOUSE</v>
      </c>
      <c r="G1547" s="2">
        <v>95</v>
      </c>
      <c r="H1547" t="str">
        <f>"ACCT#188757/PCT#3 WAREHOUSE"</f>
        <v>ACCT#188757/PCT#3 WAREHOUSE</v>
      </c>
    </row>
    <row r="1548" spans="1:8" x14ac:dyDescent="0.25">
      <c r="E1548" t="str">
        <f>"115169"</f>
        <v>115169</v>
      </c>
      <c r="F1548" t="str">
        <f>"ACCT#188757/TAX OFFICE"</f>
        <v>ACCT#188757/TAX OFFICE</v>
      </c>
      <c r="G1548" s="2">
        <v>102</v>
      </c>
      <c r="H1548" t="str">
        <f>"ACCT#188757/TAX OFFICE"</f>
        <v>ACCT#188757/TAX OFFICE</v>
      </c>
    </row>
    <row r="1549" spans="1:8" x14ac:dyDescent="0.25">
      <c r="E1549" t="str">
        <f>"115532"</f>
        <v>115532</v>
      </c>
      <c r="F1549" t="str">
        <f>"ACCT#188757/PCT#4 RD &amp; BRIDGE"</f>
        <v>ACCT#188757/PCT#4 RD &amp; BRIDGE</v>
      </c>
      <c r="G1549" s="2">
        <v>95.5</v>
      </c>
      <c r="H1549" t="str">
        <f>"ACCT#188757/PCT#4 RD &amp; BRIDGE"</f>
        <v>ACCT#188757/PCT#4 RD &amp; BRIDGE</v>
      </c>
    </row>
    <row r="1550" spans="1:8" x14ac:dyDescent="0.25">
      <c r="E1550" t="str">
        <f>"115576"</f>
        <v>115576</v>
      </c>
      <c r="F1550" t="str">
        <f>"ACCT#188757/LBJ BLDG/HLTH DEPT"</f>
        <v>ACCT#188757/LBJ BLDG/HLTH DEPT</v>
      </c>
      <c r="G1550" s="2">
        <v>69</v>
      </c>
      <c r="H1550" t="str">
        <f>"ACCT#188757/LBJ BLDG/HLTH DEPT"</f>
        <v>ACCT#188757/LBJ BLDG/HLTH DEPT</v>
      </c>
    </row>
    <row r="1551" spans="1:8" x14ac:dyDescent="0.25">
      <c r="E1551" t="str">
        <f>"115656"</f>
        <v>115656</v>
      </c>
      <c r="F1551" t="str">
        <f>"ACCT#188757/PCT#2 MAINT BARN"</f>
        <v>ACCT#188757/PCT#2 MAINT BARN</v>
      </c>
      <c r="G1551" s="2">
        <v>95</v>
      </c>
      <c r="H1551" t="str">
        <f>"ACCT#188757/PCT#2 MAINT BARN"</f>
        <v>ACCT#188757/PCT#2 MAINT BARN</v>
      </c>
    </row>
    <row r="1552" spans="1:8" x14ac:dyDescent="0.25">
      <c r="E1552" t="str">
        <f>"115663"</f>
        <v>115663</v>
      </c>
      <c r="F1552" t="str">
        <f>"ACCT#115663/JP2 ANNEX BLDG"</f>
        <v>ACCT#115663/JP2 ANNEX BLDG</v>
      </c>
      <c r="G1552" s="2">
        <v>95</v>
      </c>
      <c r="H1552" t="str">
        <f>"ACCT#115663/JP2 ANNEX BLDG"</f>
        <v>ACCT#115663/JP2 ANNEX BLDG</v>
      </c>
    </row>
    <row r="1553" spans="1:8" x14ac:dyDescent="0.25">
      <c r="E1553" t="str">
        <f>"115750"</f>
        <v>115750</v>
      </c>
      <c r="F1553" t="str">
        <f>"ACCT#188757/ANIMAL SHELTER"</f>
        <v>ACCT#188757/ANIMAL SHELTER</v>
      </c>
      <c r="G1553" s="2">
        <v>290</v>
      </c>
      <c r="H1553" t="str">
        <f>"ACCT#188757/ANIMAL SHELTER"</f>
        <v>ACCT#188757/ANIMAL SHELTER</v>
      </c>
    </row>
    <row r="1554" spans="1:8" x14ac:dyDescent="0.25">
      <c r="E1554" t="str">
        <f>"115778"</f>
        <v>115778</v>
      </c>
      <c r="F1554" t="str">
        <f>"ACCT#188757/STONY POINT PARK"</f>
        <v>ACCT#188757/STONY POINT PARK</v>
      </c>
      <c r="G1554" s="2">
        <v>95</v>
      </c>
      <c r="H1554" t="str">
        <f>"ACCT#188757/STONY POINT PARK"</f>
        <v>ACCT#188757/STONY POINT PARK</v>
      </c>
    </row>
    <row r="1555" spans="1:8" x14ac:dyDescent="0.25">
      <c r="E1555" t="str">
        <f>"115872"</f>
        <v>115872</v>
      </c>
      <c r="F1555" t="str">
        <f>"ACCT#188757/OFF BLDG JP3/TAX O"</f>
        <v>ACCT#188757/OFF BLDG JP3/TAX O</v>
      </c>
      <c r="G1555" s="2">
        <v>95</v>
      </c>
      <c r="H1555" t="str">
        <f>"ACCT#188757/OFF BLDG JP3/TAX O"</f>
        <v>ACCT#188757/OFF BLDG JP3/TAX O</v>
      </c>
    </row>
    <row r="1556" spans="1:8" x14ac:dyDescent="0.25">
      <c r="A1556" t="s">
        <v>456</v>
      </c>
      <c r="B1556">
        <v>83648</v>
      </c>
      <c r="C1556" s="2">
        <v>201</v>
      </c>
      <c r="D1556" s="1">
        <v>43703</v>
      </c>
      <c r="E1556" t="str">
        <f>"117812"</f>
        <v>117812</v>
      </c>
      <c r="F1556" t="str">
        <f>"ACCT#188757/CEDAR CREEK PARK"</f>
        <v>ACCT#188757/CEDAR CREEK PARK</v>
      </c>
      <c r="G1556" s="2">
        <v>125</v>
      </c>
      <c r="H1556" t="str">
        <f>"ACCT#188757/CEDAR CREEK PARK"</f>
        <v>ACCT#188757/CEDAR CREEK PARK</v>
      </c>
    </row>
    <row r="1557" spans="1:8" x14ac:dyDescent="0.25">
      <c r="E1557" t="str">
        <f>"117854"</f>
        <v>117854</v>
      </c>
      <c r="F1557" t="str">
        <f>"ACCT#188757/DPS/TDL"</f>
        <v>ACCT#188757/DPS/TDL</v>
      </c>
      <c r="G1557" s="2">
        <v>76</v>
      </c>
      <c r="H1557" t="str">
        <f>"ACCT#188757/DPS/TDL"</f>
        <v>ACCT#188757/DPS/TDL</v>
      </c>
    </row>
    <row r="1558" spans="1:8" x14ac:dyDescent="0.25">
      <c r="A1558" t="s">
        <v>457</v>
      </c>
      <c r="B1558">
        <v>1166</v>
      </c>
      <c r="C1558" s="2">
        <v>500</v>
      </c>
      <c r="D1558" s="1">
        <v>43690</v>
      </c>
      <c r="E1558" t="str">
        <f>"201907310722"</f>
        <v>201907310722</v>
      </c>
      <c r="F1558" t="str">
        <f>"56 523"</f>
        <v>56 523</v>
      </c>
      <c r="G1558" s="2">
        <v>250</v>
      </c>
      <c r="H1558" t="str">
        <f>"56 523"</f>
        <v>56 523</v>
      </c>
    </row>
    <row r="1559" spans="1:8" x14ac:dyDescent="0.25">
      <c r="E1559" t="str">
        <f>"201907310723"</f>
        <v>201907310723</v>
      </c>
      <c r="F1559" t="str">
        <f>"56052"</f>
        <v>56052</v>
      </c>
      <c r="G1559" s="2">
        <v>250</v>
      </c>
      <c r="H1559" t="str">
        <f>"56052"</f>
        <v>56052</v>
      </c>
    </row>
    <row r="1560" spans="1:8" x14ac:dyDescent="0.25">
      <c r="A1560" t="s">
        <v>458</v>
      </c>
      <c r="B1560">
        <v>83477</v>
      </c>
      <c r="C1560" s="2">
        <v>790</v>
      </c>
      <c r="D1560" s="1">
        <v>43689</v>
      </c>
      <c r="E1560" t="str">
        <f>"1012037720"</f>
        <v>1012037720</v>
      </c>
      <c r="F1560" t="str">
        <f>"INV 1012037720"</f>
        <v>INV 1012037720</v>
      </c>
      <c r="G1560" s="2">
        <v>790</v>
      </c>
      <c r="H1560" t="str">
        <f>"INV 1012037720"</f>
        <v>INV 1012037720</v>
      </c>
    </row>
    <row r="1561" spans="1:8" x14ac:dyDescent="0.25">
      <c r="A1561" t="s">
        <v>459</v>
      </c>
      <c r="B1561">
        <v>1234</v>
      </c>
      <c r="C1561" s="2">
        <v>1295.95</v>
      </c>
      <c r="D1561" s="1">
        <v>43704</v>
      </c>
      <c r="E1561" t="str">
        <f>"211188"</f>
        <v>211188</v>
      </c>
      <c r="F1561" t="str">
        <f>"INV 211188"</f>
        <v>INV 211188</v>
      </c>
      <c r="G1561" s="2">
        <v>253.44</v>
      </c>
      <c r="H1561" t="str">
        <f>"INV 211188"</f>
        <v>INV 211188</v>
      </c>
    </row>
    <row r="1562" spans="1:8" x14ac:dyDescent="0.25">
      <c r="E1562" t="str">
        <f>"211244"</f>
        <v>211244</v>
      </c>
      <c r="F1562" t="str">
        <f>"INV 211244"</f>
        <v>INV 211244</v>
      </c>
      <c r="G1562" s="2">
        <v>1042.51</v>
      </c>
      <c r="H1562" t="str">
        <f>"INV 211244"</f>
        <v>INV 211244</v>
      </c>
    </row>
    <row r="1563" spans="1:8" x14ac:dyDescent="0.25">
      <c r="A1563" t="s">
        <v>460</v>
      </c>
      <c r="B1563">
        <v>83478</v>
      </c>
      <c r="C1563" s="2">
        <v>595</v>
      </c>
      <c r="D1563" s="1">
        <v>43689</v>
      </c>
      <c r="E1563" t="str">
        <f>"201908060947"</f>
        <v>201908060947</v>
      </c>
      <c r="F1563" t="str">
        <f>"REGISTRATION-MARIDEL BORREGO"</f>
        <v>REGISTRATION-MARIDEL BORREGO</v>
      </c>
      <c r="G1563" s="2">
        <v>119</v>
      </c>
      <c r="H1563" t="str">
        <f>"REGISTRATION-MARIDEL BORREGO"</f>
        <v>REGISTRATION-MARIDEL BORREGO</v>
      </c>
    </row>
    <row r="1564" spans="1:8" x14ac:dyDescent="0.25">
      <c r="E1564" t="str">
        <f>"201908060948"</f>
        <v>201908060948</v>
      </c>
      <c r="F1564" t="str">
        <f>"REGISTRATION-JACQUELINE LUCERO"</f>
        <v>REGISTRATION-JACQUELINE LUCERO</v>
      </c>
      <c r="G1564" s="2">
        <v>119</v>
      </c>
      <c r="H1564" t="str">
        <f>"REGISTRATION-JACQUELINE LUCERO"</f>
        <v>REGISTRATION-JACQUELINE LUCERO</v>
      </c>
    </row>
    <row r="1565" spans="1:8" x14ac:dyDescent="0.25">
      <c r="E1565" t="str">
        <f>"201908071045"</f>
        <v>201908071045</v>
      </c>
      <c r="F1565" t="str">
        <f>"REGIST FEE - DOROTHY MATLOCK"</f>
        <v>REGIST FEE - DOROTHY MATLOCK</v>
      </c>
      <c r="G1565" s="2">
        <v>119</v>
      </c>
      <c r="H1565" t="str">
        <f>"REGIST FEE - DOROTHY MATLOCK"</f>
        <v>REGIST FEE - DOROTHY MATLOCK</v>
      </c>
    </row>
    <row r="1566" spans="1:8" x14ac:dyDescent="0.25">
      <c r="E1566" t="str">
        <f>"201908071046"</f>
        <v>201908071046</v>
      </c>
      <c r="F1566" t="str">
        <f>"REGIST FEE - IRENE BORREGO"</f>
        <v>REGIST FEE - IRENE BORREGO</v>
      </c>
      <c r="G1566" s="2">
        <v>119</v>
      </c>
      <c r="H1566" t="str">
        <f>"REGIST FEE - IRENE BORREGO"</f>
        <v>REGIST FEE - IRENE BORREGO</v>
      </c>
    </row>
    <row r="1567" spans="1:8" x14ac:dyDescent="0.25">
      <c r="E1567" t="str">
        <f>"201908071047"</f>
        <v>201908071047</v>
      </c>
      <c r="F1567" t="str">
        <f>"REGIST FEE - DEBORAH BAKER"</f>
        <v>REGIST FEE - DEBORAH BAKER</v>
      </c>
      <c r="G1567" s="2">
        <v>119</v>
      </c>
      <c r="H1567" t="str">
        <f>"REGIST FEE - DEBORAH BAKER"</f>
        <v>REGIST FEE - DEBORAH BAKER</v>
      </c>
    </row>
    <row r="1568" spans="1:8" x14ac:dyDescent="0.25">
      <c r="A1568" t="s">
        <v>461</v>
      </c>
      <c r="B1568">
        <v>1154</v>
      </c>
      <c r="C1568" s="2">
        <v>1275</v>
      </c>
      <c r="D1568" s="1">
        <v>43690</v>
      </c>
      <c r="E1568" t="str">
        <f>"201907250680"</f>
        <v>201907250680</v>
      </c>
      <c r="F1568" t="str">
        <f>"16 782"</f>
        <v>16 782</v>
      </c>
      <c r="G1568" s="2">
        <v>400</v>
      </c>
      <c r="H1568" t="str">
        <f>"16 782"</f>
        <v>16 782</v>
      </c>
    </row>
    <row r="1569" spans="1:8" x14ac:dyDescent="0.25">
      <c r="E1569" t="str">
        <f>"201907310728"</f>
        <v>201907310728</v>
      </c>
      <c r="F1569" t="str">
        <f>"JP103152019-B"</f>
        <v>JP103152019-B</v>
      </c>
      <c r="G1569" s="2">
        <v>250</v>
      </c>
      <c r="H1569" t="str">
        <f>"JP103152019-B"</f>
        <v>JP103152019-B</v>
      </c>
    </row>
    <row r="1570" spans="1:8" x14ac:dyDescent="0.25">
      <c r="E1570" t="str">
        <f>"201907310729"</f>
        <v>201907310729</v>
      </c>
      <c r="F1570" t="str">
        <f>"403059-4"</f>
        <v>403059-4</v>
      </c>
      <c r="G1570" s="2">
        <v>250</v>
      </c>
      <c r="H1570" t="str">
        <f>"403059-4"</f>
        <v>403059-4</v>
      </c>
    </row>
    <row r="1571" spans="1:8" x14ac:dyDescent="0.25">
      <c r="E1571" t="str">
        <f>"201907310754"</f>
        <v>201907310754</v>
      </c>
      <c r="F1571" t="str">
        <f>"17-18617"</f>
        <v>17-18617</v>
      </c>
      <c r="G1571" s="2">
        <v>375</v>
      </c>
      <c r="H1571" t="str">
        <f>"17-18617"</f>
        <v>17-18617</v>
      </c>
    </row>
    <row r="1572" spans="1:8" x14ac:dyDescent="0.25">
      <c r="A1572" t="s">
        <v>461</v>
      </c>
      <c r="B1572">
        <v>1229</v>
      </c>
      <c r="C1572" s="2">
        <v>4137.5</v>
      </c>
      <c r="D1572" s="1">
        <v>43704</v>
      </c>
      <c r="E1572" t="str">
        <f>"201908141066"</f>
        <v>201908141066</v>
      </c>
      <c r="F1572" t="str">
        <f>"15 455"</f>
        <v>15 455</v>
      </c>
      <c r="G1572" s="2">
        <v>400</v>
      </c>
      <c r="H1572" t="str">
        <f>"15 455"</f>
        <v>15 455</v>
      </c>
    </row>
    <row r="1573" spans="1:8" x14ac:dyDescent="0.25">
      <c r="E1573" t="str">
        <f>"201908151099"</f>
        <v>201908151099</v>
      </c>
      <c r="F1573" t="str">
        <f>"15 595"</f>
        <v>15 595</v>
      </c>
      <c r="G1573" s="2">
        <v>400</v>
      </c>
      <c r="H1573" t="str">
        <f>"15 595"</f>
        <v>15 595</v>
      </c>
    </row>
    <row r="1574" spans="1:8" x14ac:dyDescent="0.25">
      <c r="E1574" t="str">
        <f>"201908151100"</f>
        <v>201908151100</v>
      </c>
      <c r="F1574" t="str">
        <f>"16 775"</f>
        <v>16 775</v>
      </c>
      <c r="G1574" s="2">
        <v>400</v>
      </c>
      <c r="H1574" t="str">
        <f>"16 775"</f>
        <v>16 775</v>
      </c>
    </row>
    <row r="1575" spans="1:8" x14ac:dyDescent="0.25">
      <c r="E1575" t="str">
        <f>"201908151101"</f>
        <v>201908151101</v>
      </c>
      <c r="F1575" t="str">
        <f>"16 664"</f>
        <v>16 664</v>
      </c>
      <c r="G1575" s="2">
        <v>400</v>
      </c>
      <c r="H1575" t="str">
        <f>"16 664"</f>
        <v>16 664</v>
      </c>
    </row>
    <row r="1576" spans="1:8" x14ac:dyDescent="0.25">
      <c r="E1576" t="str">
        <f>"201908151104"</f>
        <v>201908151104</v>
      </c>
      <c r="F1576" t="str">
        <f>"16 649"</f>
        <v>16 649</v>
      </c>
      <c r="G1576" s="2">
        <v>400</v>
      </c>
      <c r="H1576" t="str">
        <f>"16 649"</f>
        <v>16 649</v>
      </c>
    </row>
    <row r="1577" spans="1:8" x14ac:dyDescent="0.25">
      <c r="E1577" t="str">
        <f>"201908151105"</f>
        <v>201908151105</v>
      </c>
      <c r="F1577" t="str">
        <f>"16 379"</f>
        <v>16 379</v>
      </c>
      <c r="G1577" s="2">
        <v>600</v>
      </c>
      <c r="H1577" t="str">
        <f>"16 379"</f>
        <v>16 379</v>
      </c>
    </row>
    <row r="1578" spans="1:8" x14ac:dyDescent="0.25">
      <c r="E1578" t="str">
        <f>"201908201159"</f>
        <v>201908201159</v>
      </c>
      <c r="F1578" t="str">
        <f>"JP105122019-1"</f>
        <v>JP105122019-1</v>
      </c>
      <c r="G1578" s="2">
        <v>250</v>
      </c>
      <c r="H1578" t="str">
        <f>"JP105122019-1"</f>
        <v>JP105122019-1</v>
      </c>
    </row>
    <row r="1579" spans="1:8" x14ac:dyDescent="0.25">
      <c r="E1579" t="str">
        <f>"201908201162"</f>
        <v>201908201162</v>
      </c>
      <c r="F1579" t="str">
        <f>"CC20180311-B"</f>
        <v>CC20180311-B</v>
      </c>
      <c r="G1579" s="2">
        <v>250</v>
      </c>
      <c r="H1579" t="str">
        <f>"CC20180311-B"</f>
        <v>CC20180311-B</v>
      </c>
    </row>
    <row r="1580" spans="1:8" x14ac:dyDescent="0.25">
      <c r="E1580" t="str">
        <f>"201908201164"</f>
        <v>201908201164</v>
      </c>
      <c r="F1580" t="str">
        <f>"306172019B"</f>
        <v>306172019B</v>
      </c>
      <c r="G1580" s="2">
        <v>250</v>
      </c>
      <c r="H1580" t="str">
        <f>"306172019B"</f>
        <v>306172019B</v>
      </c>
    </row>
    <row r="1581" spans="1:8" x14ac:dyDescent="0.25">
      <c r="E1581" t="str">
        <f>"201908201166"</f>
        <v>201908201166</v>
      </c>
      <c r="F1581" t="str">
        <f>"406279-7"</f>
        <v>406279-7</v>
      </c>
      <c r="G1581" s="2">
        <v>250</v>
      </c>
      <c r="H1581" t="str">
        <f>"406279-7"</f>
        <v>406279-7</v>
      </c>
    </row>
    <row r="1582" spans="1:8" x14ac:dyDescent="0.25">
      <c r="E1582" t="str">
        <f>"201908201168"</f>
        <v>201908201168</v>
      </c>
      <c r="F1582" t="str">
        <f>"20190081"</f>
        <v>20190081</v>
      </c>
      <c r="G1582" s="2">
        <v>250</v>
      </c>
      <c r="H1582" t="str">
        <f>"20190081"</f>
        <v>20190081</v>
      </c>
    </row>
    <row r="1583" spans="1:8" x14ac:dyDescent="0.25">
      <c r="E1583" t="str">
        <f>"201908201194"</f>
        <v>201908201194</v>
      </c>
      <c r="F1583" t="str">
        <f>"19-19638"</f>
        <v>19-19638</v>
      </c>
      <c r="G1583" s="2">
        <v>112.5</v>
      </c>
      <c r="H1583" t="str">
        <f>"19-19638"</f>
        <v>19-19638</v>
      </c>
    </row>
    <row r="1584" spans="1:8" x14ac:dyDescent="0.25">
      <c r="E1584" t="str">
        <f>"201908201196"</f>
        <v>201908201196</v>
      </c>
      <c r="F1584" t="str">
        <f>"19-19711"</f>
        <v>19-19711</v>
      </c>
      <c r="G1584" s="2">
        <v>175</v>
      </c>
      <c r="H1584" t="str">
        <f>"19-19711"</f>
        <v>19-19711</v>
      </c>
    </row>
    <row r="1585" spans="1:8" x14ac:dyDescent="0.25">
      <c r="A1585" t="s">
        <v>462</v>
      </c>
      <c r="B1585">
        <v>83649</v>
      </c>
      <c r="C1585" s="2">
        <v>3191</v>
      </c>
      <c r="D1585" s="1">
        <v>43703</v>
      </c>
      <c r="E1585" t="str">
        <f>"840509097"</f>
        <v>840509097</v>
      </c>
      <c r="F1585" t="str">
        <f>"ACCT#1000648597/WEST INFO CHRG"</f>
        <v>ACCT#1000648597/WEST INFO CHRG</v>
      </c>
      <c r="G1585" s="2">
        <v>548</v>
      </c>
      <c r="H1585" t="str">
        <f>"ACCT#1000648597/WEST INFO CHRG"</f>
        <v>ACCT#1000648597/WEST INFO CHRG</v>
      </c>
    </row>
    <row r="1586" spans="1:8" x14ac:dyDescent="0.25">
      <c r="E1586" t="str">
        <f>"840526219"</f>
        <v>840526219</v>
      </c>
      <c r="F1586" t="str">
        <f>"ACCT#1005022937/WEST INFO CHRG"</f>
        <v>ACCT#1005022937/WEST INFO CHRG</v>
      </c>
      <c r="G1586" s="2">
        <v>892.5</v>
      </c>
      <c r="H1586" t="str">
        <f>"ACCT#1005022937/WEST INFO CHRG"</f>
        <v>ACCT#1005022937/WEST INFO CHRG</v>
      </c>
    </row>
    <row r="1587" spans="1:8" x14ac:dyDescent="0.25">
      <c r="E1587" t="str">
        <f>"840683877"</f>
        <v>840683877</v>
      </c>
      <c r="F1587" t="str">
        <f>"ACCT#1000648597/WEST INFO CHRG"</f>
        <v>ACCT#1000648597/WEST INFO CHRG</v>
      </c>
      <c r="G1587" s="2">
        <v>548</v>
      </c>
      <c r="H1587" t="str">
        <f>"ACCT#1000648597/WEST INFO CHRG"</f>
        <v>ACCT#1000648597/WEST INFO CHRG</v>
      </c>
    </row>
    <row r="1588" spans="1:8" x14ac:dyDescent="0.25">
      <c r="E1588" t="str">
        <f>"840698031"</f>
        <v>840698031</v>
      </c>
      <c r="F1588" t="str">
        <f>"ACCT#1005022937/WEST INFO CHRG"</f>
        <v>ACCT#1005022937/WEST INFO CHRG</v>
      </c>
      <c r="G1588" s="2">
        <v>892.5</v>
      </c>
      <c r="H1588" t="str">
        <f>"ACCT#1005022937/WEST INFO CHRG"</f>
        <v>ACCT#1005022937/WEST INFO CHRG</v>
      </c>
    </row>
    <row r="1589" spans="1:8" x14ac:dyDescent="0.25">
      <c r="E1589" t="str">
        <f>"840770591"</f>
        <v>840770591</v>
      </c>
      <c r="F1589" t="str">
        <f>"ACCT#1000004347/COUNTY CLERK"</f>
        <v>ACCT#1000004347/COUNTY CLERK</v>
      </c>
      <c r="G1589" s="2">
        <v>155</v>
      </c>
      <c r="H1589" t="str">
        <f>"ACCT#1000004347/COUNTY CLERK"</f>
        <v>ACCT#1000004347/COUNTY CLERK</v>
      </c>
    </row>
    <row r="1590" spans="1:8" x14ac:dyDescent="0.25">
      <c r="E1590" t="str">
        <f>"840788604"</f>
        <v>840788604</v>
      </c>
      <c r="F1590" t="str">
        <f>"ACCT#1000536366/LAW COURT"</f>
        <v>ACCT#1000536366/LAW COURT</v>
      </c>
      <c r="G1590" s="2">
        <v>155</v>
      </c>
      <c r="H1590" t="str">
        <f>"ACCT#1000536366/LAW COURT"</f>
        <v>ACCT#1000536366/LAW COURT</v>
      </c>
    </row>
    <row r="1591" spans="1:8" x14ac:dyDescent="0.25">
      <c r="A1591" t="s">
        <v>463</v>
      </c>
      <c r="B1591">
        <v>83479</v>
      </c>
      <c r="C1591" s="2">
        <v>13106.6</v>
      </c>
      <c r="D1591" s="1">
        <v>43689</v>
      </c>
      <c r="E1591" t="str">
        <f>"0155923071219"</f>
        <v>0155923071219</v>
      </c>
      <c r="F1591" t="str">
        <f>"ACCT#8260 16 017 0155923"</f>
        <v>ACCT#8260 16 017 0155923</v>
      </c>
      <c r="G1591" s="2">
        <v>1927.69</v>
      </c>
      <c r="H1591" t="str">
        <f>"ACCT#8260 16 017 0155923"</f>
        <v>ACCT#8260 16 017 0155923</v>
      </c>
    </row>
    <row r="1592" spans="1:8" x14ac:dyDescent="0.25">
      <c r="E1592" t="str">
        <f>"201908060918"</f>
        <v>201908060918</v>
      </c>
      <c r="F1592" t="str">
        <f>"ACCT#8260163000003669"</f>
        <v>ACCT#8260163000003669</v>
      </c>
      <c r="G1592" s="2">
        <v>11178.91</v>
      </c>
      <c r="H1592" t="str">
        <f>"ACCT#8260163000003669"</f>
        <v>ACCT#8260163000003669</v>
      </c>
    </row>
    <row r="1593" spans="1:8" x14ac:dyDescent="0.25">
      <c r="E1593" t="str">
        <f>""</f>
        <v/>
      </c>
      <c r="F1593" t="str">
        <f>""</f>
        <v/>
      </c>
      <c r="H1593" t="str">
        <f>"ACCT#8260163000003669"</f>
        <v>ACCT#8260163000003669</v>
      </c>
    </row>
    <row r="1594" spans="1:8" x14ac:dyDescent="0.25">
      <c r="E1594" t="str">
        <f>""</f>
        <v/>
      </c>
      <c r="F1594" t="str">
        <f>""</f>
        <v/>
      </c>
      <c r="H1594" t="str">
        <f>"ACCT#8260163000003669"</f>
        <v>ACCT#8260163000003669</v>
      </c>
    </row>
    <row r="1595" spans="1:8" x14ac:dyDescent="0.25">
      <c r="A1595" t="s">
        <v>463</v>
      </c>
      <c r="B1595">
        <v>83650</v>
      </c>
      <c r="C1595" s="2">
        <v>114.21</v>
      </c>
      <c r="D1595" s="1">
        <v>43703</v>
      </c>
      <c r="E1595" t="str">
        <f>"0155923081219"</f>
        <v>0155923081219</v>
      </c>
      <c r="F1595" t="str">
        <f>"ACCT#8260 16 017 0155923/BUS P"</f>
        <v>ACCT#8260 16 017 0155923/BUS P</v>
      </c>
      <c r="G1595" s="2">
        <v>114.21</v>
      </c>
      <c r="H1595" t="str">
        <f>"ACCT#8260 16 017 0155923/BUS P"</f>
        <v>ACCT#8260 16 017 0155923/BUS P</v>
      </c>
    </row>
    <row r="1596" spans="1:8" x14ac:dyDescent="0.25">
      <c r="A1596" t="s">
        <v>464</v>
      </c>
      <c r="B1596">
        <v>83480</v>
      </c>
      <c r="C1596" s="2">
        <v>1137.67</v>
      </c>
      <c r="D1596" s="1">
        <v>43689</v>
      </c>
      <c r="E1596" t="str">
        <f>"201908060936"</f>
        <v>201908060936</v>
      </c>
      <c r="F1596" t="str">
        <f>"acct# 6035301200160982"</f>
        <v>acct# 6035301200160982</v>
      </c>
      <c r="G1596" s="2">
        <v>1137.67</v>
      </c>
      <c r="H1596" t="str">
        <f>"inv# 200583856"</f>
        <v>inv# 200583856</v>
      </c>
    </row>
    <row r="1597" spans="1:8" x14ac:dyDescent="0.25">
      <c r="E1597" t="str">
        <f>""</f>
        <v/>
      </c>
      <c r="F1597" t="str">
        <f>""</f>
        <v/>
      </c>
      <c r="H1597" t="str">
        <f>"inv# 300559805"</f>
        <v>inv# 300559805</v>
      </c>
    </row>
    <row r="1598" spans="1:8" x14ac:dyDescent="0.25">
      <c r="E1598" t="str">
        <f>""</f>
        <v/>
      </c>
      <c r="F1598" t="str">
        <f>""</f>
        <v/>
      </c>
      <c r="H1598" t="str">
        <f>"inv# 200585531"</f>
        <v>inv# 200585531</v>
      </c>
    </row>
    <row r="1599" spans="1:8" x14ac:dyDescent="0.25">
      <c r="E1599" t="str">
        <f>""</f>
        <v/>
      </c>
      <c r="F1599" t="str">
        <f>""</f>
        <v/>
      </c>
      <c r="H1599" t="str">
        <f>"inv# 100598045"</f>
        <v>inv# 100598045</v>
      </c>
    </row>
    <row r="1600" spans="1:8" x14ac:dyDescent="0.25">
      <c r="E1600" t="str">
        <f>""</f>
        <v/>
      </c>
      <c r="F1600" t="str">
        <f>""</f>
        <v/>
      </c>
      <c r="H1600" t="str">
        <f>"inv# 100598072"</f>
        <v>inv# 100598072</v>
      </c>
    </row>
    <row r="1601" spans="1:8" x14ac:dyDescent="0.25">
      <c r="E1601" t="str">
        <f>""</f>
        <v/>
      </c>
      <c r="F1601" t="str">
        <f>""</f>
        <v/>
      </c>
      <c r="H1601" t="str">
        <f>"inv# 300553167"</f>
        <v>inv# 300553167</v>
      </c>
    </row>
    <row r="1602" spans="1:8" x14ac:dyDescent="0.25">
      <c r="E1602" t="str">
        <f>""</f>
        <v/>
      </c>
      <c r="F1602" t="str">
        <f>""</f>
        <v/>
      </c>
      <c r="H1602" t="str">
        <f>"inv# 100521194"</f>
        <v>inv# 100521194</v>
      </c>
    </row>
    <row r="1603" spans="1:8" x14ac:dyDescent="0.25">
      <c r="E1603" t="str">
        <f>""</f>
        <v/>
      </c>
      <c r="F1603" t="str">
        <f>""</f>
        <v/>
      </c>
      <c r="H1603" t="str">
        <f>"inv# 200584090"</f>
        <v>inv# 200584090</v>
      </c>
    </row>
    <row r="1604" spans="1:8" x14ac:dyDescent="0.25">
      <c r="E1604" t="str">
        <f>""</f>
        <v/>
      </c>
      <c r="F1604" t="str">
        <f>""</f>
        <v/>
      </c>
      <c r="H1604" t="str">
        <f>"inv# 100117582"</f>
        <v>inv# 100117582</v>
      </c>
    </row>
    <row r="1605" spans="1:8" x14ac:dyDescent="0.25">
      <c r="A1605" t="s">
        <v>465</v>
      </c>
      <c r="B1605">
        <v>83481</v>
      </c>
      <c r="C1605" s="2">
        <v>380</v>
      </c>
      <c r="D1605" s="1">
        <v>43689</v>
      </c>
      <c r="E1605" t="str">
        <f>"6604899"</f>
        <v>6604899</v>
      </c>
      <c r="F1605" t="str">
        <f>"CUST#79910/REF#10426759"</f>
        <v>CUST#79910/REF#10426759</v>
      </c>
      <c r="G1605" s="2">
        <v>-209.83</v>
      </c>
      <c r="H1605" t="str">
        <f>"CUST#79910/REF#10426759"</f>
        <v>CUST#79910/REF#10426759</v>
      </c>
    </row>
    <row r="1606" spans="1:8" x14ac:dyDescent="0.25">
      <c r="E1606" t="str">
        <f>"310081637"</f>
        <v>310081637</v>
      </c>
      <c r="F1606" t="str">
        <f>"ACCT#2843373/REPAIRS/LABOR/GEN"</f>
        <v>ACCT#2843373/REPAIRS/LABOR/GEN</v>
      </c>
      <c r="G1606" s="2">
        <v>380</v>
      </c>
      <c r="H1606" t="str">
        <f>"ACCT#2843373/REPAIRS/LABOR/GEN"</f>
        <v>ACCT#2843373/REPAIRS/LABOR/GEN</v>
      </c>
    </row>
    <row r="1607" spans="1:8" x14ac:dyDescent="0.25">
      <c r="E1607" t="str">
        <f>"6604629"</f>
        <v>6604629</v>
      </c>
      <c r="F1607" t="str">
        <f>"CUST#79910/REF#10426439"</f>
        <v>CUST#79910/REF#10426439</v>
      </c>
      <c r="G1607" s="2">
        <v>209.83</v>
      </c>
      <c r="H1607" t="str">
        <f>"CUST#79910/REF#10426439"</f>
        <v>CUST#79910/REF#10426439</v>
      </c>
    </row>
    <row r="1608" spans="1:8" x14ac:dyDescent="0.25">
      <c r="A1608" t="s">
        <v>466</v>
      </c>
      <c r="B1608">
        <v>83482</v>
      </c>
      <c r="C1608" s="2">
        <v>225</v>
      </c>
      <c r="D1608" s="1">
        <v>43689</v>
      </c>
      <c r="E1608" t="str">
        <f>"12783"</f>
        <v>12783</v>
      </c>
      <c r="F1608" t="str">
        <f>"SERVICE"</f>
        <v>SERVICE</v>
      </c>
      <c r="G1608" s="2">
        <v>75</v>
      </c>
      <c r="H1608" t="str">
        <f>"SERVICE"</f>
        <v>SERVICE</v>
      </c>
    </row>
    <row r="1609" spans="1:8" x14ac:dyDescent="0.25">
      <c r="E1609" t="str">
        <f>"12959"</f>
        <v>12959</v>
      </c>
      <c r="F1609" t="str">
        <f>"SERVICE"</f>
        <v>SERVICE</v>
      </c>
      <c r="G1609" s="2">
        <v>75</v>
      </c>
      <c r="H1609" t="str">
        <f>"SERVICE"</f>
        <v>SERVICE</v>
      </c>
    </row>
    <row r="1610" spans="1:8" x14ac:dyDescent="0.25">
      <c r="E1610" t="str">
        <f>"13086"</f>
        <v>13086</v>
      </c>
      <c r="F1610" t="str">
        <f>"SERVICE"</f>
        <v>SERVICE</v>
      </c>
      <c r="G1610" s="2">
        <v>75</v>
      </c>
      <c r="H1610" t="str">
        <f>"SERVICE"</f>
        <v>SERVICE</v>
      </c>
    </row>
    <row r="1611" spans="1:8" x14ac:dyDescent="0.25">
      <c r="A1611" t="s">
        <v>466</v>
      </c>
      <c r="B1611">
        <v>83651</v>
      </c>
      <c r="C1611" s="2">
        <v>150</v>
      </c>
      <c r="D1611" s="1">
        <v>43703</v>
      </c>
      <c r="E1611" t="str">
        <f>"12900"</f>
        <v>12900</v>
      </c>
      <c r="F1611" t="str">
        <f>"SERVICE"</f>
        <v>SERVICE</v>
      </c>
      <c r="G1611" s="2">
        <v>75</v>
      </c>
      <c r="H1611" t="str">
        <f>"SERVICE"</f>
        <v>SERVICE</v>
      </c>
    </row>
    <row r="1612" spans="1:8" x14ac:dyDescent="0.25">
      <c r="E1612" t="str">
        <f>"13067"</f>
        <v>13067</v>
      </c>
      <c r="F1612" t="str">
        <f>"SERVICE"</f>
        <v>SERVICE</v>
      </c>
      <c r="G1612" s="2">
        <v>75</v>
      </c>
      <c r="H1612" t="str">
        <f>"SERVICE"</f>
        <v>SERVICE</v>
      </c>
    </row>
    <row r="1613" spans="1:8" x14ac:dyDescent="0.25">
      <c r="A1613" t="s">
        <v>467</v>
      </c>
      <c r="B1613">
        <v>83652</v>
      </c>
      <c r="C1613" s="2">
        <v>79.62</v>
      </c>
      <c r="D1613" s="1">
        <v>43703</v>
      </c>
      <c r="E1613" t="str">
        <f>"174*98082*1"</f>
        <v>174*98082*1</v>
      </c>
      <c r="F1613" t="str">
        <f>"JAIL MEDICAL"</f>
        <v>JAIL MEDICAL</v>
      </c>
      <c r="G1613" s="2">
        <v>79.62</v>
      </c>
      <c r="H1613" t="str">
        <f>"JAIL MEDICAL"</f>
        <v>JAIL MEDICAL</v>
      </c>
    </row>
    <row r="1614" spans="1:8" x14ac:dyDescent="0.25">
      <c r="A1614" t="s">
        <v>468</v>
      </c>
      <c r="B1614">
        <v>83483</v>
      </c>
      <c r="C1614" s="2">
        <v>17400</v>
      </c>
      <c r="D1614" s="1">
        <v>43689</v>
      </c>
      <c r="E1614" t="str">
        <f>"33000002525"</f>
        <v>33000002525</v>
      </c>
      <c r="F1614" t="str">
        <f>"CUST#100010/INV#33000002525"</f>
        <v>CUST#100010/INV#33000002525</v>
      </c>
      <c r="G1614" s="2">
        <v>2900</v>
      </c>
      <c r="H1614" t="str">
        <f>"CUST#100010/INV#33000002525"</f>
        <v>CUST#100010/INV#33000002525</v>
      </c>
    </row>
    <row r="1615" spans="1:8" x14ac:dyDescent="0.25">
      <c r="E1615" t="str">
        <f>"3300002531"</f>
        <v>3300002531</v>
      </c>
      <c r="F1615" t="str">
        <f>"CUST#100733/INV#3300002531"</f>
        <v>CUST#100733/INV#3300002531</v>
      </c>
      <c r="G1615" s="2">
        <v>11600</v>
      </c>
      <c r="H1615" t="str">
        <f>"CUST#100733/INV#3300002531"</f>
        <v>CUST#100733/INV#3300002531</v>
      </c>
    </row>
    <row r="1616" spans="1:8" x14ac:dyDescent="0.25">
      <c r="E1616" t="str">
        <f>"3300002569"</f>
        <v>3300002569</v>
      </c>
      <c r="F1616" t="str">
        <f>"CUST#100011/INV#3300002569"</f>
        <v>CUST#100011/INV#3300002569</v>
      </c>
      <c r="G1616" s="2">
        <v>2900</v>
      </c>
      <c r="H1616" t="str">
        <f>"CUST#100011/INV#3300002569"</f>
        <v>CUST#100011/INV#3300002569</v>
      </c>
    </row>
    <row r="1617" spans="1:8" x14ac:dyDescent="0.25">
      <c r="A1617" t="s">
        <v>469</v>
      </c>
      <c r="B1617">
        <v>1157</v>
      </c>
      <c r="C1617" s="2">
        <v>3340.73</v>
      </c>
      <c r="D1617" s="1">
        <v>43690</v>
      </c>
      <c r="E1617" t="str">
        <f>"752163"</f>
        <v>752163</v>
      </c>
      <c r="F1617" t="str">
        <f>"INV 752163 / UNIT 1628"</f>
        <v>INV 752163 / UNIT 1628</v>
      </c>
      <c r="G1617" s="2">
        <v>414.72</v>
      </c>
      <c r="H1617" t="str">
        <f>"INV 752163 / UNIT 1628"</f>
        <v>INV 752163 / UNIT 1628</v>
      </c>
    </row>
    <row r="1618" spans="1:8" x14ac:dyDescent="0.25">
      <c r="E1618" t="str">
        <f>"755020"</f>
        <v>755020</v>
      </c>
      <c r="F1618" t="str">
        <f>"INV 755020 / UNIT 1665"</f>
        <v>INV 755020 / UNIT 1665</v>
      </c>
      <c r="G1618" s="2">
        <v>276.48</v>
      </c>
      <c r="H1618" t="str">
        <f>"INV 755020 / UNIT 1665"</f>
        <v>INV 755020 / UNIT 1665</v>
      </c>
    </row>
    <row r="1619" spans="1:8" x14ac:dyDescent="0.25">
      <c r="E1619" t="str">
        <f>"757073"</f>
        <v>757073</v>
      </c>
      <c r="F1619" t="str">
        <f>"INV 757073 / UNIT 6557"</f>
        <v>INV 757073 / UNIT 6557</v>
      </c>
      <c r="G1619" s="2">
        <v>142.11000000000001</v>
      </c>
      <c r="H1619" t="str">
        <f>"INV 757073 / UNIT 6557"</f>
        <v>INV 757073 / UNIT 6557</v>
      </c>
    </row>
    <row r="1620" spans="1:8" x14ac:dyDescent="0.25">
      <c r="E1620" t="str">
        <f>"761236"</f>
        <v>761236</v>
      </c>
      <c r="F1620" t="str">
        <f>"INV 761236"</f>
        <v>INV 761236</v>
      </c>
      <c r="G1620" s="2">
        <v>142.11000000000001</v>
      </c>
      <c r="H1620" t="str">
        <f>"INV 761236"</f>
        <v>INV 761236</v>
      </c>
    </row>
    <row r="1621" spans="1:8" x14ac:dyDescent="0.25">
      <c r="E1621" t="str">
        <f>"761237"</f>
        <v>761237</v>
      </c>
      <c r="F1621" t="str">
        <f>"INV 761237 / UNIT 4716"</f>
        <v>INV 761237 / UNIT 4716</v>
      </c>
      <c r="G1621" s="2">
        <v>142.11000000000001</v>
      </c>
      <c r="H1621" t="str">
        <f>"INV 761237 / UNIT 4716"</f>
        <v>INV 761237 / UNIT 4716</v>
      </c>
    </row>
    <row r="1622" spans="1:8" x14ac:dyDescent="0.25">
      <c r="E1622" t="str">
        <f>"768967"</f>
        <v>768967</v>
      </c>
      <c r="F1622" t="str">
        <f>"INV 768967 / STOCK"</f>
        <v>INV 768967 / STOCK</v>
      </c>
      <c r="G1622" s="2">
        <v>1086.32</v>
      </c>
      <c r="H1622" t="str">
        <f>"INV 768967"</f>
        <v>INV 768967</v>
      </c>
    </row>
    <row r="1623" spans="1:8" x14ac:dyDescent="0.25">
      <c r="E1623" t="str">
        <f>"773049"</f>
        <v>773049</v>
      </c>
      <c r="F1623" t="str">
        <f>"INV 773049 / UNIT 4716"</f>
        <v>INV 773049 / UNIT 4716</v>
      </c>
      <c r="G1623" s="2">
        <v>142.11000000000001</v>
      </c>
      <c r="H1623" t="str">
        <f>"INV 773049 / UNIT 4716"</f>
        <v>INV 773049 / UNIT 4716</v>
      </c>
    </row>
    <row r="1624" spans="1:8" x14ac:dyDescent="0.25">
      <c r="E1624" t="str">
        <f>"773302"</f>
        <v>773302</v>
      </c>
      <c r="F1624" t="str">
        <f>"INV 773302 / UNIT 8153"</f>
        <v>INV 773302 / UNIT 8153</v>
      </c>
      <c r="G1624" s="2">
        <v>568.44000000000005</v>
      </c>
      <c r="H1624" t="str">
        <f>"INV 773302 / UNIT 8153"</f>
        <v>INV 773302 / UNIT 8153</v>
      </c>
    </row>
    <row r="1625" spans="1:8" x14ac:dyDescent="0.25">
      <c r="E1625" t="str">
        <f>"773686"</f>
        <v>773686</v>
      </c>
      <c r="F1625" t="str">
        <f>"INV 773686 / UNIT 6523"</f>
        <v>INV 773686 / UNIT 6523</v>
      </c>
      <c r="G1625" s="2">
        <v>426.33</v>
      </c>
      <c r="H1625" t="str">
        <f>"INV 773686 / UNIT 6523"</f>
        <v>INV 773686 / UNIT 6523</v>
      </c>
    </row>
    <row r="1626" spans="1:8" x14ac:dyDescent="0.25">
      <c r="A1626" t="s">
        <v>469</v>
      </c>
      <c r="B1626">
        <v>1230</v>
      </c>
      <c r="C1626" s="2">
        <v>499.84</v>
      </c>
      <c r="D1626" s="1">
        <v>43704</v>
      </c>
      <c r="E1626" t="str">
        <f>"760073"</f>
        <v>760073</v>
      </c>
      <c r="F1626" t="str">
        <f>"INV 760073 / ESTRAY TRAIL"</f>
        <v>INV 760073 / ESTRAY TRAIL</v>
      </c>
      <c r="G1626" s="2">
        <v>365.32</v>
      </c>
      <c r="H1626" t="str">
        <f>"INV 760073 / ESTRAY TRAIL"</f>
        <v>INV 760073 / ESTRAY TRAIL</v>
      </c>
    </row>
    <row r="1627" spans="1:8" x14ac:dyDescent="0.25">
      <c r="E1627" t="str">
        <f>"776660"</f>
        <v>776660</v>
      </c>
      <c r="F1627" t="str">
        <f>"INV 776660/UNIT 8217"</f>
        <v>INV 776660/UNIT 8217</v>
      </c>
      <c r="G1627" s="2">
        <v>134.52000000000001</v>
      </c>
      <c r="H1627" t="str">
        <f>"INV 776660/UNIT 8217"</f>
        <v>INV 776660/UNIT 8217</v>
      </c>
    </row>
    <row r="1628" spans="1:8" x14ac:dyDescent="0.25">
      <c r="A1628" t="s">
        <v>470</v>
      </c>
      <c r="B1628">
        <v>83653</v>
      </c>
      <c r="C1628" s="2">
        <v>1425</v>
      </c>
      <c r="D1628" s="1">
        <v>43703</v>
      </c>
      <c r="E1628" t="str">
        <f>"00004663"</f>
        <v>00004663</v>
      </c>
      <c r="F1628" t="str">
        <f>"JOB:AUS002387/MSG BRD TRL/P3"</f>
        <v>JOB:AUS002387/MSG BRD TRL/P3</v>
      </c>
      <c r="G1628" s="2">
        <v>1425</v>
      </c>
      <c r="H1628" t="str">
        <f>"JOB:AUS002387/MSG BRD TRL/P3"</f>
        <v>JOB:AUS002387/MSG BRD TRL/P3</v>
      </c>
    </row>
    <row r="1629" spans="1:8" x14ac:dyDescent="0.25">
      <c r="A1629" t="s">
        <v>471</v>
      </c>
      <c r="B1629">
        <v>1220</v>
      </c>
      <c r="C1629" s="2">
        <v>2475</v>
      </c>
      <c r="D1629" s="1">
        <v>43690</v>
      </c>
      <c r="E1629" t="str">
        <f>"201907230631"</f>
        <v>201907230631</v>
      </c>
      <c r="F1629" t="str">
        <f>"303232019A"</f>
        <v>303232019A</v>
      </c>
      <c r="G1629" s="2">
        <v>100</v>
      </c>
      <c r="H1629" t="str">
        <f>"303232019A"</f>
        <v>303232019A</v>
      </c>
    </row>
    <row r="1630" spans="1:8" x14ac:dyDescent="0.25">
      <c r="E1630" t="str">
        <f>"201907230632"</f>
        <v>201907230632</v>
      </c>
      <c r="F1630" t="str">
        <f>"C190027"</f>
        <v>C190027</v>
      </c>
      <c r="G1630" s="2">
        <v>100</v>
      </c>
      <c r="H1630" t="str">
        <f>"C190027"</f>
        <v>C190027</v>
      </c>
    </row>
    <row r="1631" spans="1:8" x14ac:dyDescent="0.25">
      <c r="E1631" t="str">
        <f>"201908010772"</f>
        <v>201908010772</v>
      </c>
      <c r="F1631" t="str">
        <f>"NO CAUSE NUMBER"</f>
        <v>NO CAUSE NUMBER</v>
      </c>
      <c r="G1631" s="2">
        <v>400</v>
      </c>
      <c r="H1631" t="str">
        <f>"NO CAUSE NUMBER"</f>
        <v>NO CAUSE NUMBER</v>
      </c>
    </row>
    <row r="1632" spans="1:8" x14ac:dyDescent="0.25">
      <c r="E1632" t="str">
        <f>"201908010773"</f>
        <v>201908010773</v>
      </c>
      <c r="F1632" t="str">
        <f>"16 860"</f>
        <v>16 860</v>
      </c>
      <c r="G1632" s="2">
        <v>400</v>
      </c>
      <c r="H1632" t="str">
        <f>"16 860"</f>
        <v>16 860</v>
      </c>
    </row>
    <row r="1633" spans="1:8" x14ac:dyDescent="0.25">
      <c r="E1633" t="str">
        <f>"201908010774"</f>
        <v>201908010774</v>
      </c>
      <c r="F1633" t="str">
        <f>"16 823"</f>
        <v>16 823</v>
      </c>
      <c r="G1633" s="2">
        <v>400</v>
      </c>
      <c r="H1633" t="str">
        <f>"16 823"</f>
        <v>16 823</v>
      </c>
    </row>
    <row r="1634" spans="1:8" x14ac:dyDescent="0.25">
      <c r="E1634" t="str">
        <f>"201908010798"</f>
        <v>201908010798</v>
      </c>
      <c r="F1634" t="str">
        <f>"C190028"</f>
        <v>C190028</v>
      </c>
      <c r="G1634" s="2">
        <v>100</v>
      </c>
      <c r="H1634" t="str">
        <f>"C190028"</f>
        <v>C190028</v>
      </c>
    </row>
    <row r="1635" spans="1:8" x14ac:dyDescent="0.25">
      <c r="E1635" t="str">
        <f>"201908060941"</f>
        <v>201908060941</v>
      </c>
      <c r="F1635" t="str">
        <f>"423-6706"</f>
        <v>423-6706</v>
      </c>
      <c r="G1635" s="2">
        <v>100</v>
      </c>
      <c r="H1635" t="str">
        <f>"423-6706"</f>
        <v>423-6706</v>
      </c>
    </row>
    <row r="1636" spans="1:8" x14ac:dyDescent="0.25">
      <c r="E1636" t="str">
        <f>"201908070992"</f>
        <v>201908070992</v>
      </c>
      <c r="F1636" t="str">
        <f>"AC.2018.0901A"</f>
        <v>AC.2018.0901A</v>
      </c>
      <c r="G1636" s="2">
        <v>250</v>
      </c>
      <c r="H1636" t="str">
        <f>"AC.2018.0901A"</f>
        <v>AC.2018.0901A</v>
      </c>
    </row>
    <row r="1637" spans="1:8" x14ac:dyDescent="0.25">
      <c r="E1637" t="str">
        <f>"201908070993"</f>
        <v>201908070993</v>
      </c>
      <c r="F1637" t="str">
        <f>"NO CAUSE # LISTED-THEFT"</f>
        <v>NO CAUSE # LISTED-THEFT</v>
      </c>
      <c r="G1637" s="2">
        <v>375</v>
      </c>
      <c r="H1637" t="str">
        <f>"NO CAUSE # LISTED-THEFT"</f>
        <v>NO CAUSE # LISTED-THEFT</v>
      </c>
    </row>
    <row r="1638" spans="1:8" x14ac:dyDescent="0.25">
      <c r="E1638" t="str">
        <f>"201908070994"</f>
        <v>201908070994</v>
      </c>
      <c r="F1638" t="str">
        <f>"1JP31918B"</f>
        <v>1JP31918B</v>
      </c>
      <c r="G1638" s="2">
        <v>250</v>
      </c>
      <c r="H1638" t="str">
        <f>"1JP31918B"</f>
        <v>1JP31918B</v>
      </c>
    </row>
    <row r="1639" spans="1:8" x14ac:dyDescent="0.25">
      <c r="A1639" t="s">
        <v>472</v>
      </c>
      <c r="B1639">
        <v>83485</v>
      </c>
      <c r="C1639" s="2">
        <v>2500</v>
      </c>
      <c r="D1639" s="1">
        <v>43689</v>
      </c>
      <c r="E1639" t="str">
        <f>"025-265776A"</f>
        <v>025-265776A</v>
      </c>
      <c r="F1639" t="str">
        <f>"CUST#42161/ORD#96781"</f>
        <v>CUST#42161/ORD#96781</v>
      </c>
      <c r="G1639" s="2">
        <v>2500</v>
      </c>
      <c r="H1639" t="str">
        <f>"CUST#42161/ORD#96781"</f>
        <v>CUST#42161/ORD#96781</v>
      </c>
    </row>
    <row r="1640" spans="1:8" x14ac:dyDescent="0.25">
      <c r="A1640" t="s">
        <v>473</v>
      </c>
      <c r="B1640">
        <v>1152</v>
      </c>
      <c r="C1640" s="2">
        <v>4261.4799999999996</v>
      </c>
      <c r="D1640" s="1">
        <v>43690</v>
      </c>
      <c r="E1640" t="str">
        <f>"10540151"</f>
        <v>10540151</v>
      </c>
      <c r="F1640" t="str">
        <f>"ACCT#38049/BLADE/PCT#4"</f>
        <v>ACCT#38049/BLADE/PCT#4</v>
      </c>
      <c r="G1640" s="2">
        <v>73.66</v>
      </c>
      <c r="H1640" t="str">
        <f>"ACCT#38049/BLADE/PCT#4"</f>
        <v>ACCT#38049/BLADE/PCT#4</v>
      </c>
    </row>
    <row r="1641" spans="1:8" x14ac:dyDescent="0.25">
      <c r="E1641" t="str">
        <f>"105475726"</f>
        <v>105475726</v>
      </c>
      <c r="F1641" t="str">
        <f>"ACCT#38049/PCT#4"</f>
        <v>ACCT#38049/PCT#4</v>
      </c>
      <c r="G1641" s="2">
        <v>3972.08</v>
      </c>
      <c r="H1641" t="str">
        <f>"ACCT#38049/PCT#4"</f>
        <v>ACCT#38049/PCT#4</v>
      </c>
    </row>
    <row r="1642" spans="1:8" x14ac:dyDescent="0.25">
      <c r="E1642" t="str">
        <f>"10582748"</f>
        <v>10582748</v>
      </c>
      <c r="F1642" t="str">
        <f>"ACCT#38049/PCT#4"</f>
        <v>ACCT#38049/PCT#4</v>
      </c>
      <c r="G1642" s="2">
        <v>215.74</v>
      </c>
      <c r="H1642" t="str">
        <f>"ACCT#38049/PCT#4"</f>
        <v>ACCT#38049/PCT#4</v>
      </c>
    </row>
    <row r="1643" spans="1:8" x14ac:dyDescent="0.25">
      <c r="A1643" t="s">
        <v>473</v>
      </c>
      <c r="B1643">
        <v>1227</v>
      </c>
      <c r="C1643" s="2">
        <v>127.23</v>
      </c>
      <c r="D1643" s="1">
        <v>43704</v>
      </c>
      <c r="E1643" t="str">
        <f>"10595590"</f>
        <v>10595590</v>
      </c>
      <c r="F1643" t="str">
        <f>"ACCT#38049/PARTS/PCT#4"</f>
        <v>ACCT#38049/PARTS/PCT#4</v>
      </c>
      <c r="G1643" s="2">
        <v>127.23</v>
      </c>
      <c r="H1643" t="str">
        <f>"ACCT#38049/PARTS/PCT#4"</f>
        <v>ACCT#38049/PARTS/PCT#4</v>
      </c>
    </row>
    <row r="1644" spans="1:8" x14ac:dyDescent="0.25">
      <c r="A1644" t="s">
        <v>474</v>
      </c>
      <c r="B1644">
        <v>1281</v>
      </c>
      <c r="C1644" s="2">
        <v>948.59</v>
      </c>
      <c r="D1644" s="1">
        <v>43704</v>
      </c>
      <c r="E1644" t="str">
        <f>"68695999-00"</f>
        <v>68695999-00</v>
      </c>
      <c r="F1644" t="str">
        <f>"INV 68695999-00"</f>
        <v>INV 68695999-00</v>
      </c>
      <c r="G1644" s="2">
        <v>948.59</v>
      </c>
      <c r="H1644" t="str">
        <f>"INV 68695999-00"</f>
        <v>INV 68695999-00</v>
      </c>
    </row>
    <row r="1645" spans="1:8" x14ac:dyDescent="0.25">
      <c r="A1645" t="s">
        <v>133</v>
      </c>
      <c r="B1645">
        <v>83654</v>
      </c>
      <c r="C1645" s="2">
        <v>27996.51</v>
      </c>
      <c r="D1645" s="1">
        <v>43703</v>
      </c>
      <c r="E1645" t="str">
        <f>"201908201161"</f>
        <v>201908201161</v>
      </c>
      <c r="F1645" t="str">
        <f>"INDIGENT HEALTH"</f>
        <v>INDIGENT HEALTH</v>
      </c>
      <c r="G1645" s="2">
        <v>27996.51</v>
      </c>
      <c r="H1645" t="str">
        <f>"INDIGENT HEALTH"</f>
        <v>INDIGENT HEALTH</v>
      </c>
    </row>
    <row r="1646" spans="1:8" x14ac:dyDescent="0.25">
      <c r="A1646" t="s">
        <v>475</v>
      </c>
      <c r="B1646">
        <v>83486</v>
      </c>
      <c r="C1646" s="2">
        <v>19.510000000000002</v>
      </c>
      <c r="D1646" s="1">
        <v>43689</v>
      </c>
      <c r="E1646" t="str">
        <f>"000018VW63289"</f>
        <v>000018VW63289</v>
      </c>
      <c r="F1646" t="str">
        <f>"INV 000018VW63289"</f>
        <v>INV 000018VW63289</v>
      </c>
      <c r="G1646" s="2">
        <v>19.510000000000002</v>
      </c>
      <c r="H1646" t="str">
        <f>"INV 000018VW63289"</f>
        <v>INV 000018VW63289</v>
      </c>
    </row>
    <row r="1647" spans="1:8" x14ac:dyDescent="0.25">
      <c r="A1647" t="s">
        <v>475</v>
      </c>
      <c r="B1647">
        <v>83655</v>
      </c>
      <c r="C1647" s="2">
        <v>1.17</v>
      </c>
      <c r="D1647" s="1">
        <v>43703</v>
      </c>
      <c r="E1647" t="str">
        <f>"000018VW63329"</f>
        <v>000018VW63329</v>
      </c>
      <c r="F1647" t="str">
        <f>"LATE FEE"</f>
        <v>LATE FEE</v>
      </c>
      <c r="G1647" s="2">
        <v>1.17</v>
      </c>
      <c r="H1647" t="str">
        <f>"LATE FEE"</f>
        <v>LATE FEE</v>
      </c>
    </row>
    <row r="1648" spans="1:8" x14ac:dyDescent="0.25">
      <c r="A1648" t="s">
        <v>476</v>
      </c>
      <c r="B1648">
        <v>83656</v>
      </c>
      <c r="C1648" s="2">
        <v>93.98</v>
      </c>
      <c r="D1648" s="1">
        <v>43703</v>
      </c>
      <c r="E1648" t="str">
        <f>"4561*08014*1"</f>
        <v>4561*08014*1</v>
      </c>
      <c r="F1648" t="str">
        <f>"JAIL MEDICAL"</f>
        <v>JAIL MEDICAL</v>
      </c>
      <c r="G1648" s="2">
        <v>93.98</v>
      </c>
      <c r="H1648" t="str">
        <f>"JAIL MEDICAL"</f>
        <v>JAIL MEDICAL</v>
      </c>
    </row>
    <row r="1649" spans="1:8" x14ac:dyDescent="0.25">
      <c r="A1649" t="s">
        <v>477</v>
      </c>
      <c r="B1649">
        <v>83487</v>
      </c>
      <c r="C1649" s="2">
        <v>215</v>
      </c>
      <c r="D1649" s="1">
        <v>43689</v>
      </c>
      <c r="E1649" t="str">
        <f>"1262"</f>
        <v>1262</v>
      </c>
      <c r="F1649" t="str">
        <f>"INV 1262"</f>
        <v>INV 1262</v>
      </c>
      <c r="G1649" s="2">
        <v>215</v>
      </c>
      <c r="H1649" t="str">
        <f>"INV 1262"</f>
        <v>INV 1262</v>
      </c>
    </row>
    <row r="1650" spans="1:8" x14ac:dyDescent="0.25">
      <c r="A1650" t="s">
        <v>478</v>
      </c>
      <c r="B1650">
        <v>83657</v>
      </c>
      <c r="C1650" s="2">
        <v>2507.2199999999998</v>
      </c>
      <c r="D1650" s="1">
        <v>43703</v>
      </c>
      <c r="E1650" t="str">
        <f>"W02103"</f>
        <v>W02103</v>
      </c>
      <c r="F1650" t="str">
        <f>"ACCT#BASTR002/PCT#4"</f>
        <v>ACCT#BASTR002/PCT#4</v>
      </c>
      <c r="G1650" s="2">
        <v>2507.2199999999998</v>
      </c>
      <c r="H1650" t="str">
        <f>"ACCT#BASTR002/PCT#4"</f>
        <v>ACCT#BASTR002/PCT#4</v>
      </c>
    </row>
    <row r="1651" spans="1:8" x14ac:dyDescent="0.25">
      <c r="A1651" t="s">
        <v>479</v>
      </c>
      <c r="B1651">
        <v>83658</v>
      </c>
      <c r="C1651" s="2">
        <v>46.12</v>
      </c>
      <c r="D1651" s="1">
        <v>43703</v>
      </c>
      <c r="E1651" t="str">
        <f>"00039799"</f>
        <v>00039799</v>
      </c>
      <c r="F1651" t="str">
        <f>"TICKET 00039799"</f>
        <v>TICKET 00039799</v>
      </c>
      <c r="G1651" s="2">
        <v>46.12</v>
      </c>
      <c r="H1651" t="str">
        <f>"TICKET 00039799"</f>
        <v>TICKET 00039799</v>
      </c>
    </row>
    <row r="1652" spans="1:8" x14ac:dyDescent="0.25">
      <c r="A1652" t="s">
        <v>480</v>
      </c>
      <c r="B1652">
        <v>83488</v>
      </c>
      <c r="C1652" s="2">
        <v>250.71</v>
      </c>
      <c r="D1652" s="1">
        <v>43689</v>
      </c>
      <c r="E1652" t="str">
        <f>"2008892"</f>
        <v>2008892</v>
      </c>
      <c r="F1652" t="str">
        <f>"ACCT#17460002268 003/JULY 2019"</f>
        <v>ACCT#17460002268 003/JULY 2019</v>
      </c>
      <c r="G1652" s="2">
        <v>250.71</v>
      </c>
      <c r="H1652" t="str">
        <f>"ACCT#17460002268 003/JULY 2019"</f>
        <v>ACCT#17460002268 003/JULY 2019</v>
      </c>
    </row>
    <row r="1653" spans="1:8" x14ac:dyDescent="0.25">
      <c r="A1653" t="s">
        <v>481</v>
      </c>
      <c r="B1653">
        <v>83489</v>
      </c>
      <c r="C1653" s="2">
        <v>1637.68</v>
      </c>
      <c r="D1653" s="1">
        <v>43689</v>
      </c>
      <c r="E1653" t="str">
        <f>"117847"</f>
        <v>117847</v>
      </c>
      <c r="F1653" t="str">
        <f>"ACCT#20065/FATAL PLUS SOLUTION"</f>
        <v>ACCT#20065/FATAL PLUS SOLUTION</v>
      </c>
      <c r="G1653" s="2">
        <v>1637.68</v>
      </c>
      <c r="H1653" t="str">
        <f>"ACCT#20065/FATAL PLUS SOLUTION"</f>
        <v>ACCT#20065/FATAL PLUS SOLUTION</v>
      </c>
    </row>
    <row r="1654" spans="1:8" x14ac:dyDescent="0.25">
      <c r="A1654" t="s">
        <v>482</v>
      </c>
      <c r="B1654">
        <v>83490</v>
      </c>
      <c r="C1654" s="2">
        <v>3500</v>
      </c>
      <c r="D1654" s="1">
        <v>43689</v>
      </c>
      <c r="E1654" t="str">
        <f>"13040"</f>
        <v>13040</v>
      </c>
      <c r="F1654" t="str">
        <f>"NCOA VOTER PROCESSING"</f>
        <v>NCOA VOTER PROCESSING</v>
      </c>
      <c r="G1654" s="2">
        <v>3500</v>
      </c>
      <c r="H1654" t="str">
        <f>"NCOA VOTER PROCESSING"</f>
        <v>NCOA VOTER PROCESSING</v>
      </c>
    </row>
    <row r="1655" spans="1:8" x14ac:dyDescent="0.25">
      <c r="A1655" t="s">
        <v>483</v>
      </c>
      <c r="B1655">
        <v>83491</v>
      </c>
      <c r="C1655" s="2">
        <v>42934.28</v>
      </c>
      <c r="D1655" s="1">
        <v>43689</v>
      </c>
      <c r="E1655" t="str">
        <f>"201908060937"</f>
        <v>201908060937</v>
      </c>
      <c r="F1655" t="str">
        <f>"acct# 869395921"</f>
        <v>acct# 869395921</v>
      </c>
      <c r="G1655" s="2">
        <v>42934.28</v>
      </c>
      <c r="H1655" t="str">
        <f>"fuel"</f>
        <v>fuel</v>
      </c>
    </row>
    <row r="1656" spans="1:8" x14ac:dyDescent="0.25">
      <c r="E1656" t="str">
        <f>""</f>
        <v/>
      </c>
      <c r="F1656" t="str">
        <f>""</f>
        <v/>
      </c>
      <c r="H1656" t="str">
        <f>"tax"</f>
        <v>tax</v>
      </c>
    </row>
    <row r="1657" spans="1:8" x14ac:dyDescent="0.25">
      <c r="E1657" t="str">
        <f>""</f>
        <v/>
      </c>
      <c r="F1657" t="str">
        <f>""</f>
        <v/>
      </c>
      <c r="H1657" t="str">
        <f>"fuel"</f>
        <v>fuel</v>
      </c>
    </row>
    <row r="1658" spans="1:8" x14ac:dyDescent="0.25">
      <c r="E1658" t="str">
        <f>""</f>
        <v/>
      </c>
      <c r="F1658" t="str">
        <f>""</f>
        <v/>
      </c>
      <c r="H1658" t="str">
        <f>"tax"</f>
        <v>tax</v>
      </c>
    </row>
    <row r="1659" spans="1:8" x14ac:dyDescent="0.25">
      <c r="E1659" t="str">
        <f>""</f>
        <v/>
      </c>
      <c r="F1659" t="str">
        <f>""</f>
        <v/>
      </c>
      <c r="H1659" t="str">
        <f>"fuel"</f>
        <v>fuel</v>
      </c>
    </row>
    <row r="1660" spans="1:8" x14ac:dyDescent="0.25">
      <c r="E1660" t="str">
        <f>""</f>
        <v/>
      </c>
      <c r="F1660" t="str">
        <f>""</f>
        <v/>
      </c>
      <c r="H1660" t="str">
        <f>"tax"</f>
        <v>tax</v>
      </c>
    </row>
    <row r="1661" spans="1:8" x14ac:dyDescent="0.25">
      <c r="E1661" t="str">
        <f>""</f>
        <v/>
      </c>
      <c r="F1661" t="str">
        <f>""</f>
        <v/>
      </c>
      <c r="H1661" t="str">
        <f>"fuel"</f>
        <v>fuel</v>
      </c>
    </row>
    <row r="1662" spans="1:8" x14ac:dyDescent="0.25">
      <c r="E1662" t="str">
        <f>""</f>
        <v/>
      </c>
      <c r="F1662" t="str">
        <f>""</f>
        <v/>
      </c>
      <c r="H1662" t="str">
        <f>"tax"</f>
        <v>tax</v>
      </c>
    </row>
    <row r="1663" spans="1:8" x14ac:dyDescent="0.25">
      <c r="E1663" t="str">
        <f>""</f>
        <v/>
      </c>
      <c r="F1663" t="str">
        <f>""</f>
        <v/>
      </c>
      <c r="H1663" t="str">
        <f>"maintenance"</f>
        <v>maintenance</v>
      </c>
    </row>
    <row r="1664" spans="1:8" x14ac:dyDescent="0.25">
      <c r="E1664" t="str">
        <f>""</f>
        <v/>
      </c>
      <c r="F1664" t="str">
        <f>""</f>
        <v/>
      </c>
      <c r="H1664" t="str">
        <f>"fuel"</f>
        <v>fuel</v>
      </c>
    </row>
    <row r="1665" spans="1:8" x14ac:dyDescent="0.25">
      <c r="E1665" t="str">
        <f>""</f>
        <v/>
      </c>
      <c r="F1665" t="str">
        <f>""</f>
        <v/>
      </c>
      <c r="H1665" t="str">
        <f>"tax"</f>
        <v>tax</v>
      </c>
    </row>
    <row r="1666" spans="1:8" x14ac:dyDescent="0.25">
      <c r="E1666" t="str">
        <f>""</f>
        <v/>
      </c>
      <c r="F1666" t="str">
        <f>""</f>
        <v/>
      </c>
      <c r="H1666" t="str">
        <f>"maintenace"</f>
        <v>maintenace</v>
      </c>
    </row>
    <row r="1667" spans="1:8" x14ac:dyDescent="0.25">
      <c r="E1667" t="str">
        <f>""</f>
        <v/>
      </c>
      <c r="F1667" t="str">
        <f>""</f>
        <v/>
      </c>
      <c r="H1667" t="str">
        <f>"fuel"</f>
        <v>fuel</v>
      </c>
    </row>
    <row r="1668" spans="1:8" x14ac:dyDescent="0.25">
      <c r="E1668" t="str">
        <f>""</f>
        <v/>
      </c>
      <c r="F1668" t="str">
        <f>""</f>
        <v/>
      </c>
      <c r="H1668" t="str">
        <f>"tax"</f>
        <v>tax</v>
      </c>
    </row>
    <row r="1669" spans="1:8" x14ac:dyDescent="0.25">
      <c r="E1669" t="str">
        <f>""</f>
        <v/>
      </c>
      <c r="F1669" t="str">
        <f>""</f>
        <v/>
      </c>
      <c r="H1669" t="str">
        <f>"fuel"</f>
        <v>fuel</v>
      </c>
    </row>
    <row r="1670" spans="1:8" x14ac:dyDescent="0.25">
      <c r="E1670" t="str">
        <f>""</f>
        <v/>
      </c>
      <c r="F1670" t="str">
        <f>""</f>
        <v/>
      </c>
      <c r="H1670" t="str">
        <f>"tax"</f>
        <v>tax</v>
      </c>
    </row>
    <row r="1671" spans="1:8" x14ac:dyDescent="0.25">
      <c r="E1671" t="str">
        <f>""</f>
        <v/>
      </c>
      <c r="F1671" t="str">
        <f>""</f>
        <v/>
      </c>
      <c r="H1671" t="str">
        <f>"fuel"</f>
        <v>fuel</v>
      </c>
    </row>
    <row r="1672" spans="1:8" x14ac:dyDescent="0.25">
      <c r="E1672" t="str">
        <f>""</f>
        <v/>
      </c>
      <c r="F1672" t="str">
        <f>""</f>
        <v/>
      </c>
      <c r="H1672" t="str">
        <f>"tax"</f>
        <v>tax</v>
      </c>
    </row>
    <row r="1673" spans="1:8" x14ac:dyDescent="0.25">
      <c r="E1673" t="str">
        <f>""</f>
        <v/>
      </c>
      <c r="F1673" t="str">
        <f>""</f>
        <v/>
      </c>
      <c r="H1673" t="str">
        <f>"maintenance"</f>
        <v>maintenance</v>
      </c>
    </row>
    <row r="1674" spans="1:8" x14ac:dyDescent="0.25">
      <c r="E1674" t="str">
        <f>""</f>
        <v/>
      </c>
      <c r="F1674" t="str">
        <f>""</f>
        <v/>
      </c>
      <c r="H1674" t="str">
        <f>"maintenace"</f>
        <v>maintenace</v>
      </c>
    </row>
    <row r="1675" spans="1:8" x14ac:dyDescent="0.25">
      <c r="E1675" t="str">
        <f>""</f>
        <v/>
      </c>
      <c r="F1675" t="str">
        <f>""</f>
        <v/>
      </c>
      <c r="H1675" t="str">
        <f>"fuel"</f>
        <v>fuel</v>
      </c>
    </row>
    <row r="1676" spans="1:8" x14ac:dyDescent="0.25">
      <c r="E1676" t="str">
        <f>""</f>
        <v/>
      </c>
      <c r="F1676" t="str">
        <f>""</f>
        <v/>
      </c>
      <c r="H1676" t="str">
        <f>"tax"</f>
        <v>tax</v>
      </c>
    </row>
    <row r="1677" spans="1:8" x14ac:dyDescent="0.25">
      <c r="A1677" t="s">
        <v>484</v>
      </c>
      <c r="B1677">
        <v>83492</v>
      </c>
      <c r="C1677" s="2">
        <v>3374.5</v>
      </c>
      <c r="D1677" s="1">
        <v>43689</v>
      </c>
      <c r="E1677" t="str">
        <f>"61938665"</f>
        <v>61938665</v>
      </c>
      <c r="F1677" t="str">
        <f>"CUST#90285-209209/PCT#3"</f>
        <v>CUST#90285-209209/PCT#3</v>
      </c>
      <c r="G1677" s="2">
        <v>3374.5</v>
      </c>
      <c r="H1677" t="str">
        <f>"CUST#90285-209209/PCT#3"</f>
        <v>CUST#90285-209209/PCT#3</v>
      </c>
    </row>
    <row r="1678" spans="1:8" x14ac:dyDescent="0.25">
      <c r="A1678" t="s">
        <v>485</v>
      </c>
      <c r="B1678">
        <v>1221</v>
      </c>
      <c r="C1678" s="2">
        <v>765</v>
      </c>
      <c r="D1678" s="1">
        <v>43690</v>
      </c>
      <c r="E1678" t="str">
        <f>"343634"</f>
        <v>343634</v>
      </c>
      <c r="F1678" t="str">
        <f>"LPHCP Signs"</f>
        <v>LPHCP Signs</v>
      </c>
      <c r="G1678" s="2">
        <v>765</v>
      </c>
      <c r="H1678" t="str">
        <f>"12x18 Refl. White"</f>
        <v>12x18 Refl. White</v>
      </c>
    </row>
    <row r="1679" spans="1:8" x14ac:dyDescent="0.25">
      <c r="A1679" t="s">
        <v>485</v>
      </c>
      <c r="B1679">
        <v>1291</v>
      </c>
      <c r="C1679" s="2">
        <v>2993.8</v>
      </c>
      <c r="D1679" s="1">
        <v>43704</v>
      </c>
      <c r="E1679" t="str">
        <f>"341911 3422111 340"</f>
        <v>341911 3422111 340</v>
      </c>
      <c r="F1679" t="str">
        <f>"VULCAN  INC."</f>
        <v>VULCAN  INC.</v>
      </c>
      <c r="G1679" s="2">
        <v>2993.8</v>
      </c>
      <c r="H1679" t="str">
        <f>"ITEM# 0550051"</f>
        <v>ITEM# 0550051</v>
      </c>
    </row>
    <row r="1680" spans="1:8" x14ac:dyDescent="0.25">
      <c r="E1680" t="str">
        <f>""</f>
        <v/>
      </c>
      <c r="F1680" t="str">
        <f>""</f>
        <v/>
      </c>
      <c r="H1680" t="str">
        <f>"ITEM# 055118"</f>
        <v>ITEM# 055118</v>
      </c>
    </row>
    <row r="1681" spans="1:8" x14ac:dyDescent="0.25">
      <c r="E1681" t="str">
        <f>""</f>
        <v/>
      </c>
      <c r="F1681" t="str">
        <f>""</f>
        <v/>
      </c>
      <c r="H1681" t="str">
        <f>"ITEM # 0856347"</f>
        <v>ITEM # 0856347</v>
      </c>
    </row>
    <row r="1682" spans="1:8" x14ac:dyDescent="0.25">
      <c r="E1682" t="str">
        <f>""</f>
        <v/>
      </c>
      <c r="F1682" t="str">
        <f>""</f>
        <v/>
      </c>
      <c r="H1682" t="str">
        <f>"ITEM # 0852793"</f>
        <v>ITEM # 0852793</v>
      </c>
    </row>
    <row r="1683" spans="1:8" x14ac:dyDescent="0.25">
      <c r="E1683" t="str">
        <f>""</f>
        <v/>
      </c>
      <c r="F1683" t="str">
        <f>""</f>
        <v/>
      </c>
      <c r="H1683" t="str">
        <f>"ITEM# 0860898"</f>
        <v>ITEM# 0860898</v>
      </c>
    </row>
    <row r="1684" spans="1:8" x14ac:dyDescent="0.25">
      <c r="E1684" t="str">
        <f>""</f>
        <v/>
      </c>
      <c r="F1684" t="str">
        <f>""</f>
        <v/>
      </c>
      <c r="H1684" t="str">
        <f>"ITEM# 0858215"</f>
        <v>ITEM# 0858215</v>
      </c>
    </row>
    <row r="1685" spans="1:8" x14ac:dyDescent="0.25">
      <c r="E1685" t="str">
        <f>""</f>
        <v/>
      </c>
      <c r="F1685" t="str">
        <f>""</f>
        <v/>
      </c>
      <c r="H1685" t="str">
        <f>"ITEM# 0750091"</f>
        <v>ITEM# 0750091</v>
      </c>
    </row>
    <row r="1686" spans="1:8" x14ac:dyDescent="0.25">
      <c r="A1686" t="s">
        <v>486</v>
      </c>
      <c r="B1686">
        <v>83659</v>
      </c>
      <c r="C1686" s="2">
        <v>75.5</v>
      </c>
      <c r="D1686" s="1">
        <v>43703</v>
      </c>
      <c r="E1686" t="str">
        <f>"0719-DR14926"</f>
        <v>0719-DR14926</v>
      </c>
      <c r="F1686" t="str">
        <f>"CLIENT ID:CXD 14926-JULY 2019"</f>
        <v>CLIENT ID:CXD 14926-JULY 2019</v>
      </c>
      <c r="G1686" s="2">
        <v>75.5</v>
      </c>
      <c r="H1686" t="str">
        <f>"CLIENT ID:CXD 14926-JULY 2019"</f>
        <v>CLIENT ID:CXD 14926-JULY 2019</v>
      </c>
    </row>
    <row r="1687" spans="1:8" x14ac:dyDescent="0.25">
      <c r="A1687" t="s">
        <v>487</v>
      </c>
      <c r="B1687">
        <v>1162</v>
      </c>
      <c r="C1687" s="2">
        <v>7942.01</v>
      </c>
      <c r="D1687" s="1">
        <v>43690</v>
      </c>
      <c r="E1687" t="str">
        <f>"17078"</f>
        <v>17078</v>
      </c>
      <c r="F1687" t="str">
        <f>"COLD MIX/FREIGHT/PCT#4"</f>
        <v>COLD MIX/FREIGHT/PCT#4</v>
      </c>
      <c r="G1687" s="2">
        <v>2682.52</v>
      </c>
      <c r="H1687" t="str">
        <f>"COLD MIX/FREIGHT/PCT#4"</f>
        <v>COLD MIX/FREIGHT/PCT#4</v>
      </c>
    </row>
    <row r="1688" spans="1:8" x14ac:dyDescent="0.25">
      <c r="E1688" t="str">
        <f>"17143"</f>
        <v>17143</v>
      </c>
      <c r="F1688" t="str">
        <f>"COLD MIX/FREIGHT/PCT#4"</f>
        <v>COLD MIX/FREIGHT/PCT#4</v>
      </c>
      <c r="G1688" s="2">
        <v>2618.77</v>
      </c>
      <c r="H1688" t="str">
        <f>"COLD MIX/FREIGHT/PCT#4"</f>
        <v>COLD MIX/FREIGHT/PCT#4</v>
      </c>
    </row>
    <row r="1689" spans="1:8" x14ac:dyDescent="0.25">
      <c r="E1689" t="str">
        <f>"17157"</f>
        <v>17157</v>
      </c>
      <c r="F1689" t="str">
        <f>"COLD MIX/FREIGHT/PCT#4"</f>
        <v>COLD MIX/FREIGHT/PCT#4</v>
      </c>
      <c r="G1689" s="2">
        <v>2640.72</v>
      </c>
      <c r="H1689" t="str">
        <f>"COLD MIX/FREIGHT/PCT#4"</f>
        <v>COLD MIX/FREIGHT/PCT#4</v>
      </c>
    </row>
    <row r="1690" spans="1:8" x14ac:dyDescent="0.25">
      <c r="A1690" t="s">
        <v>487</v>
      </c>
      <c r="B1690">
        <v>1238</v>
      </c>
      <c r="C1690" s="2">
        <v>2609.37</v>
      </c>
      <c r="D1690" s="1">
        <v>43704</v>
      </c>
      <c r="E1690" t="str">
        <f>"17193"</f>
        <v>17193</v>
      </c>
      <c r="F1690" t="str">
        <f>"COLD MIX/PCT#4"</f>
        <v>COLD MIX/PCT#4</v>
      </c>
      <c r="G1690" s="2">
        <v>2609.37</v>
      </c>
      <c r="H1690" t="str">
        <f>"COLD MIX/PCT#4"</f>
        <v>COLD MIX/PCT#4</v>
      </c>
    </row>
    <row r="1691" spans="1:8" x14ac:dyDescent="0.25">
      <c r="A1691" t="s">
        <v>488</v>
      </c>
      <c r="B1691">
        <v>83287</v>
      </c>
      <c r="C1691" s="2">
        <v>23139.18</v>
      </c>
      <c r="D1691" s="1">
        <v>43685</v>
      </c>
      <c r="E1691" t="str">
        <f>"10019693"</f>
        <v>10019693</v>
      </c>
      <c r="F1691" t="str">
        <f>"ACCT#5150-005117630/08012019"</f>
        <v>ACCT#5150-005117630/08012019</v>
      </c>
      <c r="G1691" s="2">
        <v>250.29</v>
      </c>
      <c r="H1691" t="str">
        <f>"ACCT#5150-005117630/08012019"</f>
        <v>ACCT#5150-005117630/08012019</v>
      </c>
    </row>
    <row r="1692" spans="1:8" x14ac:dyDescent="0.25">
      <c r="E1692" t="str">
        <f>"10019700"</f>
        <v>10019700</v>
      </c>
      <c r="F1692" t="str">
        <f>"ACCT#5150-005117766/08012019"</f>
        <v>ACCT#5150-005117766/08012019</v>
      </c>
      <c r="G1692" s="2">
        <v>109.87</v>
      </c>
      <c r="H1692" t="str">
        <f>"ACCT#5150-005117766/08012019"</f>
        <v>ACCT#5150-005117766/08012019</v>
      </c>
    </row>
    <row r="1693" spans="1:8" x14ac:dyDescent="0.25">
      <c r="E1693" t="str">
        <f>"10019704"</f>
        <v>10019704</v>
      </c>
      <c r="F1693" t="str">
        <f>"ACCT#5150-005117838/08012019"</f>
        <v>ACCT#5150-005117838/08012019</v>
      </c>
      <c r="G1693" s="2">
        <v>101.68</v>
      </c>
      <c r="H1693" t="str">
        <f>"ACCT#5150-005117838/08012019"</f>
        <v>ACCT#5150-005117838/08012019</v>
      </c>
    </row>
    <row r="1694" spans="1:8" x14ac:dyDescent="0.25">
      <c r="E1694" t="str">
        <f>"10019706"</f>
        <v>10019706</v>
      </c>
      <c r="F1694" t="str">
        <f>"ACCT#5150-005117882/08012019"</f>
        <v>ACCT#5150-005117882/08012019</v>
      </c>
      <c r="G1694" s="2">
        <v>137.32</v>
      </c>
      <c r="H1694" t="str">
        <f>"ACCT#5150-005117882/08012019"</f>
        <v>ACCT#5150-005117882/08012019</v>
      </c>
    </row>
    <row r="1695" spans="1:8" x14ac:dyDescent="0.25">
      <c r="E1695" t="str">
        <f>"10019714"</f>
        <v>10019714</v>
      </c>
      <c r="F1695" t="str">
        <f>"ACCT#5150-005118183/08012019"</f>
        <v>ACCT#5150-005118183/08012019</v>
      </c>
      <c r="G1695" s="2">
        <v>589.49</v>
      </c>
      <c r="H1695" t="str">
        <f>"ACCT#5150-005118183/08012019"</f>
        <v>ACCT#5150-005118183/08012019</v>
      </c>
    </row>
    <row r="1696" spans="1:8" x14ac:dyDescent="0.25">
      <c r="E1696" t="str">
        <f>"10019776"</f>
        <v>10019776</v>
      </c>
      <c r="F1696" t="str">
        <f>"ACCT#5150-005129483/08012019"</f>
        <v>ACCT#5150-005129483/08012019</v>
      </c>
      <c r="G1696" s="2">
        <v>21843.5</v>
      </c>
      <c r="H1696" t="str">
        <f>"ACCT#5150-005129483/08012019"</f>
        <v>ACCT#5150-005129483/08012019</v>
      </c>
    </row>
    <row r="1697" spans="1:8" x14ac:dyDescent="0.25">
      <c r="E1697" t="str">
        <f>"10024847"</f>
        <v>10024847</v>
      </c>
      <c r="F1697" t="str">
        <f>"ACCT#5150-16203415/08012019"</f>
        <v>ACCT#5150-16203415/08012019</v>
      </c>
      <c r="G1697" s="2">
        <v>79.510000000000005</v>
      </c>
      <c r="H1697" t="str">
        <f>"ACCT#5150-16203415/08012019"</f>
        <v>ACCT#5150-16203415/08012019</v>
      </c>
    </row>
    <row r="1698" spans="1:8" x14ac:dyDescent="0.25">
      <c r="E1698" t="str">
        <f>"10024848"</f>
        <v>10024848</v>
      </c>
      <c r="F1698" t="str">
        <f>"ACCT#5150-16203417/08012019"</f>
        <v>ACCT#5150-16203417/08012019</v>
      </c>
      <c r="G1698" s="2">
        <v>27.52</v>
      </c>
      <c r="H1698" t="str">
        <f>"ACCT#5150-16203417/08012019"</f>
        <v>ACCT#5150-16203417/08012019</v>
      </c>
    </row>
    <row r="1699" spans="1:8" x14ac:dyDescent="0.25">
      <c r="A1699" t="s">
        <v>489</v>
      </c>
      <c r="B1699">
        <v>83493</v>
      </c>
      <c r="C1699" s="2">
        <v>524.67999999999995</v>
      </c>
      <c r="D1699" s="1">
        <v>43689</v>
      </c>
      <c r="E1699" t="str">
        <f>"0038996-2162-1"</f>
        <v>0038996-2162-1</v>
      </c>
      <c r="F1699" t="str">
        <f>"CUST ID:16-27603-83003/ANIMAL"</f>
        <v>CUST ID:16-27603-83003/ANIMAL</v>
      </c>
      <c r="G1699" s="2">
        <v>110.12</v>
      </c>
      <c r="H1699" t="str">
        <f>"CUST ID:16-27603-83003/ANIMAL"</f>
        <v>CUST ID:16-27603-83003/ANIMAL</v>
      </c>
    </row>
    <row r="1700" spans="1:8" x14ac:dyDescent="0.25">
      <c r="E1700" t="str">
        <f>"0047989-2161-7"</f>
        <v>0047989-2161-7</v>
      </c>
      <c r="F1700" t="str">
        <f>"CUST ID:2-56581-95066/ANIMAL C"</f>
        <v>CUST ID:2-56581-95066/ANIMAL C</v>
      </c>
      <c r="G1700" s="2">
        <v>414.56</v>
      </c>
      <c r="H1700" t="str">
        <f>"CUST ID:2-56581-95066/ANIMAL C"</f>
        <v>CUST ID:2-56581-95066/ANIMAL C</v>
      </c>
    </row>
    <row r="1701" spans="1:8" x14ac:dyDescent="0.25">
      <c r="A1701" t="s">
        <v>489</v>
      </c>
      <c r="B1701">
        <v>83660</v>
      </c>
      <c r="C1701" s="2">
        <v>4960.28</v>
      </c>
      <c r="D1701" s="1">
        <v>43703</v>
      </c>
      <c r="E1701" t="str">
        <f>"0021599-2161-4"</f>
        <v>0021599-2161-4</v>
      </c>
      <c r="F1701" t="str">
        <f>"CUST#2-57060-55062/JULY 2019"</f>
        <v>CUST#2-57060-55062/JULY 2019</v>
      </c>
      <c r="G1701" s="2">
        <v>4960.28</v>
      </c>
      <c r="H1701" t="str">
        <f>"CUST#2-57060-55062/JULY 2019"</f>
        <v>CUST#2-57060-55062/JULY 2019</v>
      </c>
    </row>
    <row r="1702" spans="1:8" x14ac:dyDescent="0.25">
      <c r="A1702" t="s">
        <v>490</v>
      </c>
      <c r="B1702">
        <v>83661</v>
      </c>
      <c r="C1702" s="2">
        <v>197</v>
      </c>
      <c r="D1702" s="1">
        <v>43703</v>
      </c>
      <c r="E1702" t="str">
        <f>"ACCINV0021316"</f>
        <v>ACCINV0021316</v>
      </c>
      <c r="F1702" t="str">
        <f>"INV ACCINV0021316"</f>
        <v>INV ACCINV0021316</v>
      </c>
      <c r="G1702" s="2">
        <v>197</v>
      </c>
      <c r="H1702" t="str">
        <f>"INV ACCINV0021316"</f>
        <v>INV ACCINV0021316</v>
      </c>
    </row>
    <row r="1703" spans="1:8" x14ac:dyDescent="0.25">
      <c r="A1703" t="s">
        <v>491</v>
      </c>
      <c r="B1703">
        <v>1167</v>
      </c>
      <c r="C1703" s="2">
        <v>9958.99</v>
      </c>
      <c r="D1703" s="1">
        <v>43690</v>
      </c>
      <c r="E1703" t="str">
        <f>"22739"</f>
        <v>22739</v>
      </c>
      <c r="F1703" t="str">
        <f>"INV 22739"</f>
        <v>INV 22739</v>
      </c>
      <c r="G1703" s="2">
        <v>9958.99</v>
      </c>
      <c r="H1703" t="str">
        <f>"INV 22739"</f>
        <v>INV 22739</v>
      </c>
    </row>
    <row r="1704" spans="1:8" x14ac:dyDescent="0.25">
      <c r="A1704" t="s">
        <v>491</v>
      </c>
      <c r="B1704">
        <v>1243</v>
      </c>
      <c r="C1704" s="2">
        <v>6928.99</v>
      </c>
      <c r="D1704" s="1">
        <v>43704</v>
      </c>
      <c r="E1704" t="str">
        <f>"22969"</f>
        <v>22969</v>
      </c>
      <c r="F1704" t="str">
        <f>"INV 22969"</f>
        <v>INV 22969</v>
      </c>
      <c r="G1704" s="2">
        <v>6928.99</v>
      </c>
      <c r="H1704" t="str">
        <f>"INV 22969"</f>
        <v>INV 22969</v>
      </c>
    </row>
    <row r="1705" spans="1:8" x14ac:dyDescent="0.25">
      <c r="A1705" t="s">
        <v>492</v>
      </c>
      <c r="B1705">
        <v>83494</v>
      </c>
      <c r="C1705" s="2">
        <v>125</v>
      </c>
      <c r="D1705" s="1">
        <v>43689</v>
      </c>
      <c r="E1705" t="str">
        <f>"13006"</f>
        <v>13006</v>
      </c>
      <c r="F1705" t="str">
        <f>"SERVICE"</f>
        <v>SERVICE</v>
      </c>
      <c r="G1705" s="2">
        <v>125</v>
      </c>
      <c r="H1705" t="str">
        <f>"SERVICE"</f>
        <v>SERVICE</v>
      </c>
    </row>
    <row r="1706" spans="1:8" x14ac:dyDescent="0.25">
      <c r="A1706" t="s">
        <v>493</v>
      </c>
      <c r="B1706">
        <v>83495</v>
      </c>
      <c r="C1706" s="2">
        <v>133</v>
      </c>
      <c r="D1706" s="1">
        <v>43689</v>
      </c>
      <c r="E1706" t="str">
        <f>"1-168478"</f>
        <v>1-168478</v>
      </c>
      <c r="F1706" t="str">
        <f>"ACCT#1-11373/PCT#2"</f>
        <v>ACCT#1-11373/PCT#2</v>
      </c>
      <c r="G1706" s="2">
        <v>133</v>
      </c>
      <c r="H1706" t="str">
        <f>"ACCT#1-11373/PCT#2"</f>
        <v>ACCT#1-11373/PCT#2</v>
      </c>
    </row>
    <row r="1707" spans="1:8" x14ac:dyDescent="0.25">
      <c r="A1707" t="s">
        <v>494</v>
      </c>
      <c r="B1707">
        <v>83496</v>
      </c>
      <c r="C1707" s="2">
        <v>70</v>
      </c>
      <c r="D1707" s="1">
        <v>43689</v>
      </c>
      <c r="E1707" t="str">
        <f>"12790"</f>
        <v>12790</v>
      </c>
      <c r="F1707" t="str">
        <f>"SERVICE"</f>
        <v>SERVICE</v>
      </c>
      <c r="G1707" s="2">
        <v>70</v>
      </c>
      <c r="H1707" t="str">
        <f>"SERVICE"</f>
        <v>SERVICE</v>
      </c>
    </row>
    <row r="1708" spans="1:8" x14ac:dyDescent="0.25">
      <c r="A1708" t="s">
        <v>495</v>
      </c>
      <c r="B1708">
        <v>83662</v>
      </c>
      <c r="C1708" s="2">
        <v>210</v>
      </c>
      <c r="D1708" s="1">
        <v>43703</v>
      </c>
      <c r="E1708" t="str">
        <f>"12900"</f>
        <v>12900</v>
      </c>
      <c r="F1708" t="str">
        <f>"SERVICE"</f>
        <v>SERVICE</v>
      </c>
      <c r="G1708" s="2">
        <v>70</v>
      </c>
      <c r="H1708" t="str">
        <f>"SERVICE"</f>
        <v>SERVICE</v>
      </c>
    </row>
    <row r="1709" spans="1:8" x14ac:dyDescent="0.25">
      <c r="E1709" t="str">
        <f>"13067"</f>
        <v>13067</v>
      </c>
      <c r="F1709" t="str">
        <f>"SERVICE"</f>
        <v>SERVICE</v>
      </c>
      <c r="G1709" s="2">
        <v>140</v>
      </c>
      <c r="H1709" t="str">
        <f>"SERVICE"</f>
        <v>SERVICE</v>
      </c>
    </row>
    <row r="1710" spans="1:8" x14ac:dyDescent="0.25">
      <c r="A1710" t="s">
        <v>496</v>
      </c>
      <c r="B1710">
        <v>83663</v>
      </c>
      <c r="C1710" s="2">
        <v>70</v>
      </c>
      <c r="D1710" s="1">
        <v>43703</v>
      </c>
      <c r="E1710" t="str">
        <f>"13067"</f>
        <v>13067</v>
      </c>
      <c r="F1710" t="str">
        <f>"SERVICE"</f>
        <v>SERVICE</v>
      </c>
      <c r="G1710" s="2">
        <v>70</v>
      </c>
      <c r="H1710" t="str">
        <f>"SERVICE"</f>
        <v>SERVICE</v>
      </c>
    </row>
    <row r="1711" spans="1:8" x14ac:dyDescent="0.25">
      <c r="A1711" t="s">
        <v>497</v>
      </c>
      <c r="B1711">
        <v>83497</v>
      </c>
      <c r="C1711" s="2">
        <v>14036.8</v>
      </c>
      <c r="D1711" s="1">
        <v>43689</v>
      </c>
      <c r="E1711" t="str">
        <f>"79150"</f>
        <v>79150</v>
      </c>
      <c r="F1711" t="str">
        <f>"Culvert Pipes"</f>
        <v>Culvert Pipes</v>
      </c>
      <c r="G1711" s="2">
        <v>14036.8</v>
      </c>
      <c r="H1711" t="str">
        <f>"15  x 24' 16G"</f>
        <v>15  x 24' 16G</v>
      </c>
    </row>
    <row r="1712" spans="1:8" x14ac:dyDescent="0.25">
      <c r="E1712" t="str">
        <f>""</f>
        <v/>
      </c>
      <c r="F1712" t="str">
        <f>""</f>
        <v/>
      </c>
      <c r="H1712" t="str">
        <f>"18  x 30' 16G"</f>
        <v>18  x 30' 16G</v>
      </c>
    </row>
    <row r="1713" spans="1:8" x14ac:dyDescent="0.25">
      <c r="E1713" t="str">
        <f>""</f>
        <v/>
      </c>
      <c r="F1713" t="str">
        <f>""</f>
        <v/>
      </c>
      <c r="H1713" t="str">
        <f>"18  X 40' 16G"</f>
        <v>18  X 40' 16G</v>
      </c>
    </row>
    <row r="1714" spans="1:8" x14ac:dyDescent="0.25">
      <c r="E1714" t="str">
        <f>""</f>
        <v/>
      </c>
      <c r="F1714" t="str">
        <f>""</f>
        <v/>
      </c>
      <c r="H1714" t="str">
        <f>"24  x 40' 16G"</f>
        <v>24  x 40' 16G</v>
      </c>
    </row>
    <row r="1715" spans="1:8" x14ac:dyDescent="0.25">
      <c r="E1715" t="str">
        <f>""</f>
        <v/>
      </c>
      <c r="F1715" t="str">
        <f>""</f>
        <v/>
      </c>
      <c r="H1715" t="str">
        <f>"36  x 30' 14G"</f>
        <v>36  x 30' 14G</v>
      </c>
    </row>
    <row r="1716" spans="1:8" x14ac:dyDescent="0.25">
      <c r="E1716" t="str">
        <f>""</f>
        <v/>
      </c>
      <c r="F1716" t="str">
        <f>""</f>
        <v/>
      </c>
      <c r="H1716" t="str">
        <f>"36  x 40' 14G"</f>
        <v>36  x 40' 14G</v>
      </c>
    </row>
    <row r="1717" spans="1:8" x14ac:dyDescent="0.25">
      <c r="A1717" t="s">
        <v>498</v>
      </c>
      <c r="B1717">
        <v>83498</v>
      </c>
      <c r="C1717" s="2">
        <v>17807.5</v>
      </c>
      <c r="D1717" s="1">
        <v>43689</v>
      </c>
      <c r="E1717" t="str">
        <f>"1426"</f>
        <v>1426</v>
      </c>
      <c r="F1717" t="str">
        <f>"RFB 19BCP07A/PCT#2"</f>
        <v>RFB 19BCP07A/PCT#2</v>
      </c>
      <c r="G1717" s="2">
        <v>17807.5</v>
      </c>
      <c r="H1717" t="str">
        <f>"RFB 19BCP07A/PCT#2"</f>
        <v>RFB 19BCP07A/PCT#2</v>
      </c>
    </row>
    <row r="1718" spans="1:8" x14ac:dyDescent="0.25">
      <c r="A1718" t="s">
        <v>499</v>
      </c>
      <c r="B1718">
        <v>1292</v>
      </c>
      <c r="C1718" s="2">
        <v>212.9</v>
      </c>
      <c r="D1718" s="1">
        <v>43704</v>
      </c>
      <c r="E1718" t="str">
        <f>"097367669"</f>
        <v>097367669</v>
      </c>
      <c r="F1718" t="str">
        <f>"CUST#662445931"</f>
        <v>CUST#662445931</v>
      </c>
      <c r="G1718" s="2">
        <v>106.45</v>
      </c>
      <c r="H1718" t="str">
        <f>"CUST#662445931"</f>
        <v>CUST#662445931</v>
      </c>
    </row>
    <row r="1719" spans="1:8" x14ac:dyDescent="0.25">
      <c r="E1719" t="str">
        <f>"097679156"</f>
        <v>097679156</v>
      </c>
      <c r="F1719" t="str">
        <f>"CUST#662445931"</f>
        <v>CUST#662445931</v>
      </c>
      <c r="G1719" s="2">
        <v>106.45</v>
      </c>
      <c r="H1719" t="str">
        <f>"CUST#662445931"</f>
        <v>CUST#662445931</v>
      </c>
    </row>
    <row r="1720" spans="1:8" x14ac:dyDescent="0.25">
      <c r="A1720" t="s">
        <v>500</v>
      </c>
      <c r="B1720">
        <v>83664</v>
      </c>
      <c r="C1720" s="2">
        <v>270.43</v>
      </c>
      <c r="D1720" s="1">
        <v>43703</v>
      </c>
      <c r="E1720" t="str">
        <f>"201908201186"</f>
        <v>201908201186</v>
      </c>
      <c r="F1720" t="str">
        <f>"INDIGENT HEALTH"</f>
        <v>INDIGENT HEALTH</v>
      </c>
      <c r="G1720" s="2">
        <v>270.43</v>
      </c>
      <c r="H1720" t="str">
        <f>"INDIGENT HEALTH"</f>
        <v>INDIGENT HEALTH</v>
      </c>
    </row>
    <row r="1721" spans="1:8" x14ac:dyDescent="0.25">
      <c r="A1721" t="s">
        <v>501</v>
      </c>
      <c r="B1721">
        <v>83665</v>
      </c>
      <c r="C1721" s="2">
        <v>2261.9</v>
      </c>
      <c r="D1721" s="1">
        <v>43703</v>
      </c>
      <c r="E1721" t="str">
        <f>"9500428721"</f>
        <v>9500428721</v>
      </c>
      <c r="F1721" t="str">
        <f>"CUST#2000053103/ORD#6000641199"</f>
        <v>CUST#2000053103/ORD#6000641199</v>
      </c>
      <c r="G1721" s="2">
        <v>-416</v>
      </c>
      <c r="H1721" t="str">
        <f>"CUST#2000053103/ORD#6000641199"</f>
        <v>CUST#2000053103/ORD#6000641199</v>
      </c>
    </row>
    <row r="1722" spans="1:8" x14ac:dyDescent="0.25">
      <c r="E1722" t="str">
        <f>"9008472631"</f>
        <v>9008472631</v>
      </c>
      <c r="F1722" t="str">
        <f>"CUST#2000053103/ORD#1007153310"</f>
        <v>CUST#2000053103/ORD#1007153310</v>
      </c>
      <c r="G1722" s="2">
        <v>144</v>
      </c>
      <c r="H1722" t="str">
        <f>"CUST#2000053103/ORD#1007153310"</f>
        <v>CUST#2000053103/ORD#1007153310</v>
      </c>
    </row>
    <row r="1723" spans="1:8" x14ac:dyDescent="0.25">
      <c r="E1723" t="str">
        <f>"9008496700"</f>
        <v>9008496700</v>
      </c>
      <c r="F1723" t="str">
        <f>"CUST#2000053103/ORD#1007164110"</f>
        <v>CUST#2000053103/ORD#1007164110</v>
      </c>
      <c r="G1723" s="2">
        <v>416</v>
      </c>
      <c r="H1723" t="str">
        <f>"CUST#2000053103/ORD#1007164110"</f>
        <v>CUST#2000053103/ORD#1007164110</v>
      </c>
    </row>
    <row r="1724" spans="1:8" x14ac:dyDescent="0.25">
      <c r="E1724" t="str">
        <f>"9008523349"</f>
        <v>9008523349</v>
      </c>
      <c r="F1724" t="str">
        <f>"CUST#2000053103/ORD#1007184892"</f>
        <v>CUST#2000053103/ORD#1007184892</v>
      </c>
      <c r="G1724" s="2">
        <v>916.8</v>
      </c>
      <c r="H1724" t="str">
        <f>"CUST#2000053103/ORD#1007184892"</f>
        <v>CUST#2000053103/ORD#1007184892</v>
      </c>
    </row>
    <row r="1725" spans="1:8" x14ac:dyDescent="0.25">
      <c r="E1725" t="str">
        <f>"9008674188"</f>
        <v>9008674188</v>
      </c>
      <c r="F1725" t="str">
        <f>"CUST#2000053103/ORD#1007319085"</f>
        <v>CUST#2000053103/ORD#1007319085</v>
      </c>
      <c r="G1725" s="2">
        <v>738.8</v>
      </c>
      <c r="H1725" t="str">
        <f>"CUST#2000053103/ORD#1007319085"</f>
        <v>CUST#2000053103/ORD#1007319085</v>
      </c>
    </row>
    <row r="1726" spans="1:8" x14ac:dyDescent="0.25">
      <c r="E1726" t="str">
        <f>"9008734221"</f>
        <v>9008734221</v>
      </c>
      <c r="F1726" t="str">
        <f>"CUST#2000053103/ORD#1007364657"</f>
        <v>CUST#2000053103/ORD#1007364657</v>
      </c>
      <c r="G1726" s="2">
        <v>462.3</v>
      </c>
      <c r="H1726" t="str">
        <f>"CUST#2000053103/ORD#1007364657"</f>
        <v>CUST#2000053103/ORD#1007364657</v>
      </c>
    </row>
    <row r="1727" spans="1:8" x14ac:dyDescent="0.25">
      <c r="A1727" t="s">
        <v>38</v>
      </c>
      <c r="B1727">
        <v>83499</v>
      </c>
      <c r="C1727" s="2">
        <v>76.989999999999995</v>
      </c>
      <c r="D1727" s="1">
        <v>43689</v>
      </c>
      <c r="E1727" t="str">
        <f>"201908010800"</f>
        <v>201908010800</v>
      </c>
      <c r="F1727" t="str">
        <f>"ACCT#015397/JUVENILE BOOT CAMP"</f>
        <v>ACCT#015397/JUVENILE BOOT CAMP</v>
      </c>
      <c r="G1727" s="2">
        <v>76.989999999999995</v>
      </c>
      <c r="H1727" t="str">
        <f>"ACCT#015397/JUVENILE BOOT CAMP"</f>
        <v>ACCT#015397/JUVENILE BOOT CAMP</v>
      </c>
    </row>
    <row r="1728" spans="1:8" x14ac:dyDescent="0.25">
      <c r="A1728" t="s">
        <v>82</v>
      </c>
      <c r="B1728">
        <v>83507</v>
      </c>
      <c r="C1728" s="2">
        <v>352.17</v>
      </c>
      <c r="D1728" s="1">
        <v>43696</v>
      </c>
      <c r="E1728" t="str">
        <f>"201908191115"</f>
        <v>201908191115</v>
      </c>
      <c r="F1728" t="str">
        <f>"ACCT#5000057374 / 08042019"</f>
        <v>ACCT#5000057374 / 08042019</v>
      </c>
      <c r="G1728" s="2">
        <v>352.17</v>
      </c>
      <c r="H1728" t="str">
        <f>"ACCT#5000057374 / 08042019"</f>
        <v>ACCT#5000057374 / 08042019</v>
      </c>
    </row>
    <row r="1729" spans="1:8" x14ac:dyDescent="0.25">
      <c r="A1729" t="s">
        <v>502</v>
      </c>
      <c r="B1729">
        <v>83500</v>
      </c>
      <c r="C1729" s="2">
        <v>10000</v>
      </c>
      <c r="D1729" s="1">
        <v>43689</v>
      </c>
      <c r="E1729" t="str">
        <f>"GIS-7638"</f>
        <v>GIS-7638</v>
      </c>
      <c r="F1729" t="str">
        <f>"PROJ CODE:4150-001/PPD SUPPORT"</f>
        <v>PROJ CODE:4150-001/PPD SUPPORT</v>
      </c>
      <c r="G1729" s="2">
        <v>10000</v>
      </c>
      <c r="H1729" t="str">
        <f>"PROJ CODE:4150-001/PPD SUPPORT"</f>
        <v>PROJ CODE:4150-001/PPD SUPPORT</v>
      </c>
    </row>
    <row r="1730" spans="1:8" x14ac:dyDescent="0.25">
      <c r="A1730" t="s">
        <v>193</v>
      </c>
      <c r="B1730">
        <v>83501</v>
      </c>
      <c r="C1730" s="2">
        <v>193.64</v>
      </c>
      <c r="D1730" s="1">
        <v>43689</v>
      </c>
      <c r="E1730" t="str">
        <f>"1022718"</f>
        <v>1022718</v>
      </c>
      <c r="F1730" t="str">
        <f>"Acct# 0103"</f>
        <v>Acct# 0103</v>
      </c>
      <c r="G1730" s="2">
        <v>72.52</v>
      </c>
      <c r="H1730" t="str">
        <f>"inv# 1022718"</f>
        <v>inv# 1022718</v>
      </c>
    </row>
    <row r="1731" spans="1:8" x14ac:dyDescent="0.25">
      <c r="E1731" t="str">
        <f>"7093303"</f>
        <v>7093303</v>
      </c>
      <c r="F1731" t="str">
        <f>"Acct# 0103"</f>
        <v>Acct# 0103</v>
      </c>
      <c r="G1731" s="2">
        <v>121.12</v>
      </c>
      <c r="H1731" t="str">
        <f>"inv# 7093303"</f>
        <v>inv# 7093303</v>
      </c>
    </row>
    <row r="1732" spans="1:8" x14ac:dyDescent="0.25">
      <c r="A1732" t="s">
        <v>224</v>
      </c>
      <c r="B1732">
        <v>83502</v>
      </c>
      <c r="C1732" s="2">
        <v>155.22</v>
      </c>
      <c r="D1732" s="1">
        <v>43689</v>
      </c>
      <c r="E1732" t="str">
        <f>"201908060922"</f>
        <v>201908060922</v>
      </c>
      <c r="F1732" t="str">
        <f>"ACCT#1645/WILDFIRE MITIGATION"</f>
        <v>ACCT#1645/WILDFIRE MITIGATION</v>
      </c>
      <c r="G1732" s="2">
        <v>155.22</v>
      </c>
      <c r="H1732" t="str">
        <f>"ACCT#1645/WILDFIRE MITIGATION"</f>
        <v>ACCT#1645/WILDFIRE MITIGATION</v>
      </c>
    </row>
    <row r="1733" spans="1:8" x14ac:dyDescent="0.25">
      <c r="A1733" t="s">
        <v>503</v>
      </c>
      <c r="B1733">
        <v>83503</v>
      </c>
      <c r="C1733" s="2">
        <v>6919</v>
      </c>
      <c r="D1733" s="1">
        <v>43689</v>
      </c>
      <c r="E1733" t="str">
        <f>"201908060932"</f>
        <v>201908060932</v>
      </c>
      <c r="F1733" t="str">
        <f>"RDO EQUIPMENT CO."</f>
        <v>RDO EQUIPMENT CO.</v>
      </c>
      <c r="G1733" s="2">
        <v>6919</v>
      </c>
      <c r="H1733" t="str">
        <f>"2019 John Deere 410L"</f>
        <v>2019 John Deere 410L</v>
      </c>
    </row>
    <row r="1734" spans="1:8" x14ac:dyDescent="0.25">
      <c r="E1734" t="str">
        <f>""</f>
        <v/>
      </c>
      <c r="F1734" t="str">
        <f>""</f>
        <v/>
      </c>
      <c r="H1734" t="str">
        <f>"Trade In"</f>
        <v>Trade In</v>
      </c>
    </row>
    <row r="1735" spans="1:8" x14ac:dyDescent="0.25">
      <c r="A1735" t="s">
        <v>504</v>
      </c>
      <c r="B1735">
        <v>83504</v>
      </c>
      <c r="C1735" s="2">
        <v>116.01</v>
      </c>
      <c r="D1735" s="1">
        <v>43689</v>
      </c>
      <c r="E1735" t="str">
        <f>"201908060958"</f>
        <v>201908060958</v>
      </c>
      <c r="F1735" t="str">
        <f>"REIMBURSEMENT FOR SUPPLIES"</f>
        <v>REIMBURSEMENT FOR SUPPLIES</v>
      </c>
      <c r="G1735" s="2">
        <v>116.01</v>
      </c>
      <c r="H1735" t="str">
        <f>"REIMBURSEMENT FOR SUPPLIES"</f>
        <v>REIMBURSEMENT FOR SUPPLIES</v>
      </c>
    </row>
    <row r="1736" spans="1:8" x14ac:dyDescent="0.25">
      <c r="A1736" t="s">
        <v>504</v>
      </c>
      <c r="B1736">
        <v>83666</v>
      </c>
      <c r="C1736" s="2">
        <v>39.340000000000003</v>
      </c>
      <c r="D1736" s="1">
        <v>43703</v>
      </c>
      <c r="E1736" t="str">
        <f>"201908151097"</f>
        <v>201908151097</v>
      </c>
      <c r="F1736" t="str">
        <f>"REIMBURSE OFFICE SUPPLIES"</f>
        <v>REIMBURSE OFFICE SUPPLIES</v>
      </c>
      <c r="G1736" s="2">
        <v>39.340000000000003</v>
      </c>
      <c r="H1736" t="str">
        <f>"REIMBURSE OFFICE SUPPLIES"</f>
        <v>REIMBURSE OFFICE SUPPLIES</v>
      </c>
    </row>
    <row r="1737" spans="1:8" x14ac:dyDescent="0.25">
      <c r="A1737" t="s">
        <v>483</v>
      </c>
      <c r="B1737">
        <v>83505</v>
      </c>
      <c r="C1737" s="2">
        <v>1900.18</v>
      </c>
      <c r="D1737" s="1">
        <v>43689</v>
      </c>
      <c r="E1737" t="str">
        <f>"201908060931"</f>
        <v>201908060931</v>
      </c>
      <c r="F1737" t="str">
        <f>"acct# 869395921"</f>
        <v>acct# 869395921</v>
      </c>
      <c r="G1737" s="2">
        <v>1900.18</v>
      </c>
      <c r="H1737" t="str">
        <f>"Fuel"</f>
        <v>Fuel</v>
      </c>
    </row>
    <row r="1738" spans="1:8" x14ac:dyDescent="0.25">
      <c r="E1738" t="str">
        <f>""</f>
        <v/>
      </c>
      <c r="F1738" t="str">
        <f>""</f>
        <v/>
      </c>
      <c r="H1738" t="str">
        <f>"tax"</f>
        <v>tax</v>
      </c>
    </row>
    <row r="1739" spans="1:8" x14ac:dyDescent="0.25">
      <c r="E1739" t="str">
        <f>""</f>
        <v/>
      </c>
      <c r="F1739" t="str">
        <f>""</f>
        <v/>
      </c>
      <c r="H1739" t="str">
        <f>"maintenance"</f>
        <v>maintenance</v>
      </c>
    </row>
    <row r="1740" spans="1:8" x14ac:dyDescent="0.25">
      <c r="A1740" t="s">
        <v>505</v>
      </c>
      <c r="B1740">
        <v>209</v>
      </c>
      <c r="C1740" s="2">
        <v>5479.44</v>
      </c>
      <c r="D1740" s="1">
        <v>43705</v>
      </c>
      <c r="E1740" t="str">
        <f>"201908281336"</f>
        <v>201908281336</v>
      </c>
      <c r="F1740" t="str">
        <f>"ALLSTATE-AMERICAN HERITAGE LIF"</f>
        <v>ALLSTATE-AMERICAN HERITAGE LIF</v>
      </c>
      <c r="G1740" s="2">
        <v>0.02</v>
      </c>
      <c r="H1740" t="str">
        <f>"ALLSTATE-AMERICAN HERITAGE LIF"</f>
        <v>ALLSTATE-AMERICAN HERITAGE LIF</v>
      </c>
    </row>
    <row r="1741" spans="1:8" x14ac:dyDescent="0.25">
      <c r="E1741" t="str">
        <f>"AS 201908071042"</f>
        <v>AS 201908071042</v>
      </c>
      <c r="F1741" t="str">
        <f t="shared" ref="F1741:F1754" si="20">"ALLSTATE"</f>
        <v>ALLSTATE</v>
      </c>
      <c r="G1741" s="2">
        <v>533.49</v>
      </c>
      <c r="H1741" t="str">
        <f t="shared" ref="H1741:H1754" si="21">"ALLSTATE"</f>
        <v>ALLSTATE</v>
      </c>
    </row>
    <row r="1742" spans="1:8" x14ac:dyDescent="0.25">
      <c r="E1742" t="str">
        <f>"AS 201908071043"</f>
        <v>AS 201908071043</v>
      </c>
      <c r="F1742" t="str">
        <f t="shared" si="20"/>
        <v>ALLSTATE</v>
      </c>
      <c r="G1742" s="2">
        <v>27.14</v>
      </c>
      <c r="H1742" t="str">
        <f t="shared" si="21"/>
        <v>ALLSTATE</v>
      </c>
    </row>
    <row r="1743" spans="1:8" x14ac:dyDescent="0.25">
      <c r="E1743" t="str">
        <f>"AS 201908201222"</f>
        <v>AS 201908201222</v>
      </c>
      <c r="F1743" t="str">
        <f t="shared" si="20"/>
        <v>ALLSTATE</v>
      </c>
      <c r="G1743" s="2">
        <v>533.49</v>
      </c>
      <c r="H1743" t="str">
        <f t="shared" si="21"/>
        <v>ALLSTATE</v>
      </c>
    </row>
    <row r="1744" spans="1:8" x14ac:dyDescent="0.25">
      <c r="E1744" t="str">
        <f>"AS 201908201223"</f>
        <v>AS 201908201223</v>
      </c>
      <c r="F1744" t="str">
        <f t="shared" si="20"/>
        <v>ALLSTATE</v>
      </c>
      <c r="G1744" s="2">
        <v>27.14</v>
      </c>
      <c r="H1744" t="str">
        <f t="shared" si="21"/>
        <v>ALLSTATE</v>
      </c>
    </row>
    <row r="1745" spans="1:8" x14ac:dyDescent="0.25">
      <c r="E1745" t="str">
        <f>"ASD201908071042"</f>
        <v>ASD201908071042</v>
      </c>
      <c r="F1745" t="str">
        <f t="shared" si="20"/>
        <v>ALLSTATE</v>
      </c>
      <c r="G1745" s="2">
        <v>193.93</v>
      </c>
      <c r="H1745" t="str">
        <f t="shared" si="21"/>
        <v>ALLSTATE</v>
      </c>
    </row>
    <row r="1746" spans="1:8" x14ac:dyDescent="0.25">
      <c r="E1746" t="str">
        <f>"ASD201908201222"</f>
        <v>ASD201908201222</v>
      </c>
      <c r="F1746" t="str">
        <f t="shared" si="20"/>
        <v>ALLSTATE</v>
      </c>
      <c r="G1746" s="2">
        <v>193.93</v>
      </c>
      <c r="H1746" t="str">
        <f t="shared" si="21"/>
        <v>ALLSTATE</v>
      </c>
    </row>
    <row r="1747" spans="1:8" x14ac:dyDescent="0.25">
      <c r="E1747" t="str">
        <f>"ASI201908071042"</f>
        <v>ASI201908071042</v>
      </c>
      <c r="F1747" t="str">
        <f t="shared" si="20"/>
        <v>ALLSTATE</v>
      </c>
      <c r="G1747" s="2">
        <v>621.97</v>
      </c>
      <c r="H1747" t="str">
        <f t="shared" si="21"/>
        <v>ALLSTATE</v>
      </c>
    </row>
    <row r="1748" spans="1:8" x14ac:dyDescent="0.25">
      <c r="E1748" t="str">
        <f>"ASI201908071043"</f>
        <v>ASI201908071043</v>
      </c>
      <c r="F1748" t="str">
        <f t="shared" si="20"/>
        <v>ALLSTATE</v>
      </c>
      <c r="G1748" s="2">
        <v>67.150000000000006</v>
      </c>
      <c r="H1748" t="str">
        <f t="shared" si="21"/>
        <v>ALLSTATE</v>
      </c>
    </row>
    <row r="1749" spans="1:8" x14ac:dyDescent="0.25">
      <c r="E1749" t="str">
        <f>"ASI201908201222"</f>
        <v>ASI201908201222</v>
      </c>
      <c r="F1749" t="str">
        <f t="shared" si="20"/>
        <v>ALLSTATE</v>
      </c>
      <c r="G1749" s="2">
        <v>621.97</v>
      </c>
      <c r="H1749" t="str">
        <f t="shared" si="21"/>
        <v>ALLSTATE</v>
      </c>
    </row>
    <row r="1750" spans="1:8" x14ac:dyDescent="0.25">
      <c r="E1750" t="str">
        <f>"ASI201908201223"</f>
        <v>ASI201908201223</v>
      </c>
      <c r="F1750" t="str">
        <f t="shared" si="20"/>
        <v>ALLSTATE</v>
      </c>
      <c r="G1750" s="2">
        <v>67.150000000000006</v>
      </c>
      <c r="H1750" t="str">
        <f t="shared" si="21"/>
        <v>ALLSTATE</v>
      </c>
    </row>
    <row r="1751" spans="1:8" x14ac:dyDescent="0.25">
      <c r="E1751" t="str">
        <f>"AST201908071042"</f>
        <v>AST201908071042</v>
      </c>
      <c r="F1751" t="str">
        <f t="shared" si="20"/>
        <v>ALLSTATE</v>
      </c>
      <c r="G1751" s="2">
        <v>1253.42</v>
      </c>
      <c r="H1751" t="str">
        <f t="shared" si="21"/>
        <v>ALLSTATE</v>
      </c>
    </row>
    <row r="1752" spans="1:8" x14ac:dyDescent="0.25">
      <c r="E1752" t="str">
        <f>"AST201908071043"</f>
        <v>AST201908071043</v>
      </c>
      <c r="F1752" t="str">
        <f t="shared" si="20"/>
        <v>ALLSTATE</v>
      </c>
      <c r="G1752" s="2">
        <v>42.61</v>
      </c>
      <c r="H1752" t="str">
        <f t="shared" si="21"/>
        <v>ALLSTATE</v>
      </c>
    </row>
    <row r="1753" spans="1:8" x14ac:dyDescent="0.25">
      <c r="E1753" t="str">
        <f>"AST201908201222"</f>
        <v>AST201908201222</v>
      </c>
      <c r="F1753" t="str">
        <f t="shared" si="20"/>
        <v>ALLSTATE</v>
      </c>
      <c r="G1753" s="2">
        <v>1253.42</v>
      </c>
      <c r="H1753" t="str">
        <f t="shared" si="21"/>
        <v>ALLSTATE</v>
      </c>
    </row>
    <row r="1754" spans="1:8" x14ac:dyDescent="0.25">
      <c r="E1754" t="str">
        <f>"AST201908201223"</f>
        <v>AST201908201223</v>
      </c>
      <c r="F1754" t="str">
        <f t="shared" si="20"/>
        <v>ALLSTATE</v>
      </c>
      <c r="G1754" s="2">
        <v>42.61</v>
      </c>
      <c r="H1754" t="str">
        <f t="shared" si="21"/>
        <v>ALLSTATE</v>
      </c>
    </row>
    <row r="1755" spans="1:8" x14ac:dyDescent="0.25">
      <c r="A1755" t="s">
        <v>506</v>
      </c>
      <c r="B1755">
        <v>205</v>
      </c>
      <c r="C1755" s="2">
        <v>26247.19</v>
      </c>
      <c r="D1755" s="1">
        <v>43705</v>
      </c>
      <c r="E1755" t="str">
        <f>"201908281332"</f>
        <v>201908281332</v>
      </c>
      <c r="F1755" t="str">
        <f>"AmWINS Group Benefits  Inc."</f>
        <v>AmWINS Group Benefits  Inc.</v>
      </c>
      <c r="G1755" s="2">
        <v>26247.19</v>
      </c>
      <c r="H1755" t="str">
        <f>"AmWINS Group Benefits  Inc."</f>
        <v>AmWINS Group Benefits  Inc.</v>
      </c>
    </row>
    <row r="1756" spans="1:8" x14ac:dyDescent="0.25">
      <c r="A1756" t="s">
        <v>507</v>
      </c>
      <c r="B1756">
        <v>191</v>
      </c>
      <c r="C1756" s="2">
        <v>3046.28</v>
      </c>
      <c r="D1756" s="1">
        <v>43686</v>
      </c>
      <c r="E1756" t="str">
        <f>"DDP201908071044"</f>
        <v>DDP201908071044</v>
      </c>
      <c r="F1756" t="str">
        <f>"AP - TEXAS DISCOUNT DENTAL"</f>
        <v>AP - TEXAS DISCOUNT DENTAL</v>
      </c>
      <c r="G1756" s="2">
        <v>2.7</v>
      </c>
      <c r="H1756" t="str">
        <f>"AP - TEXAS DISCOUNT DENTAL"</f>
        <v>AP - TEXAS DISCOUNT DENTAL</v>
      </c>
    </row>
    <row r="1757" spans="1:8" x14ac:dyDescent="0.25">
      <c r="E1757" t="str">
        <f>"DHM201908071044"</f>
        <v>DHM201908071044</v>
      </c>
      <c r="F1757" t="str">
        <f>"AP - DENTAL HMO"</f>
        <v>AP - DENTAL HMO</v>
      </c>
      <c r="G1757" s="2">
        <v>63.31</v>
      </c>
      <c r="H1757" t="str">
        <f>"AP - DENTAL HMO"</f>
        <v>AP - DENTAL HMO</v>
      </c>
    </row>
    <row r="1758" spans="1:8" x14ac:dyDescent="0.25">
      <c r="E1758" t="str">
        <f>"DTX201908071044"</f>
        <v>DTX201908071044</v>
      </c>
      <c r="F1758" t="str">
        <f>"AP - TEXAS DENTAL"</f>
        <v>AP - TEXAS DENTAL</v>
      </c>
      <c r="G1758" s="2">
        <v>388.16</v>
      </c>
      <c r="H1758" t="str">
        <f>"AP - TEXAS DENTAL"</f>
        <v>AP - TEXAS DENTAL</v>
      </c>
    </row>
    <row r="1759" spans="1:8" x14ac:dyDescent="0.25">
      <c r="E1759" t="str">
        <f>"FD 201908071044"</f>
        <v>FD 201908071044</v>
      </c>
      <c r="F1759" t="str">
        <f>"AP - FT DEARBORN PRE-TAX"</f>
        <v>AP - FT DEARBORN PRE-TAX</v>
      </c>
      <c r="G1759" s="2">
        <v>138.33000000000001</v>
      </c>
      <c r="H1759" t="str">
        <f>"AP - FT DEARBORN PRE-TAX"</f>
        <v>AP - FT DEARBORN PRE-TAX</v>
      </c>
    </row>
    <row r="1760" spans="1:8" x14ac:dyDescent="0.25">
      <c r="E1760" t="str">
        <f>"FDT201908071044"</f>
        <v>FDT201908071044</v>
      </c>
      <c r="F1760" t="str">
        <f>"AP - FT DEARBORN AFTER TAX"</f>
        <v>AP - FT DEARBORN AFTER TAX</v>
      </c>
      <c r="G1760" s="2">
        <v>64.39</v>
      </c>
      <c r="H1760" t="str">
        <f>"AP - FT DEARBORN AFTER TAX"</f>
        <v>AP - FT DEARBORN AFTER TAX</v>
      </c>
    </row>
    <row r="1761" spans="1:8" x14ac:dyDescent="0.25">
      <c r="E1761" t="str">
        <f>"FLX201908071044"</f>
        <v>FLX201908071044</v>
      </c>
      <c r="F1761" t="str">
        <f>"AP - TEX FLEX"</f>
        <v>AP - TEX FLEX</v>
      </c>
      <c r="G1761" s="2">
        <v>220</v>
      </c>
      <c r="H1761" t="str">
        <f>"AP - TEX FLEX"</f>
        <v>AP - TEX FLEX</v>
      </c>
    </row>
    <row r="1762" spans="1:8" x14ac:dyDescent="0.25">
      <c r="E1762" t="str">
        <f>"MHS201908071044"</f>
        <v>MHS201908071044</v>
      </c>
      <c r="F1762" t="str">
        <f>"AP - HEALTH SELECT MEDICAL"</f>
        <v>AP - HEALTH SELECT MEDICAL</v>
      </c>
      <c r="G1762" s="2">
        <v>1556.5</v>
      </c>
      <c r="H1762" t="str">
        <f>"AP - HEALTH SELECT MEDICAL"</f>
        <v>AP - HEALTH SELECT MEDICAL</v>
      </c>
    </row>
    <row r="1763" spans="1:8" x14ac:dyDescent="0.25">
      <c r="E1763" t="str">
        <f>"MSW201908071044"</f>
        <v>MSW201908071044</v>
      </c>
      <c r="F1763" t="str">
        <f>"AP - SCOTT &amp; WHITE MEDICAL"</f>
        <v>AP - SCOTT &amp; WHITE MEDICAL</v>
      </c>
      <c r="G1763" s="2">
        <v>569.4</v>
      </c>
      <c r="H1763" t="str">
        <f>"AP - SCOTT &amp; WHITE MEDICAL"</f>
        <v>AP - SCOTT &amp; WHITE MEDICAL</v>
      </c>
    </row>
    <row r="1764" spans="1:8" x14ac:dyDescent="0.25">
      <c r="E1764" t="str">
        <f>"SPE201908071044"</f>
        <v>SPE201908071044</v>
      </c>
      <c r="F1764" t="str">
        <f>"AP - STATE VISION"</f>
        <v>AP - STATE VISION</v>
      </c>
      <c r="G1764" s="2">
        <v>43.49</v>
      </c>
      <c r="H1764" t="str">
        <f>"AP - STATE VISION"</f>
        <v>AP - STATE VISION</v>
      </c>
    </row>
    <row r="1765" spans="1:8" x14ac:dyDescent="0.25">
      <c r="A1765" t="s">
        <v>507</v>
      </c>
      <c r="B1765">
        <v>199</v>
      </c>
      <c r="C1765" s="2">
        <v>3046.28</v>
      </c>
      <c r="D1765" s="1">
        <v>43700</v>
      </c>
      <c r="E1765" t="str">
        <f>"DDP201908201224"</f>
        <v>DDP201908201224</v>
      </c>
      <c r="F1765" t="str">
        <f>"AP - TEXAS DISCOUNT DENTAL"</f>
        <v>AP - TEXAS DISCOUNT DENTAL</v>
      </c>
      <c r="G1765" s="2">
        <v>2.7</v>
      </c>
      <c r="H1765" t="str">
        <f>"AP - TEXAS DISCOUNT DENTAL"</f>
        <v>AP - TEXAS DISCOUNT DENTAL</v>
      </c>
    </row>
    <row r="1766" spans="1:8" x14ac:dyDescent="0.25">
      <c r="E1766" t="str">
        <f>"DHM201908201224"</f>
        <v>DHM201908201224</v>
      </c>
      <c r="F1766" t="str">
        <f>"AP - DENTAL HMO"</f>
        <v>AP - DENTAL HMO</v>
      </c>
      <c r="G1766" s="2">
        <v>63.31</v>
      </c>
      <c r="H1766" t="str">
        <f>"AP - DENTAL HMO"</f>
        <v>AP - DENTAL HMO</v>
      </c>
    </row>
    <row r="1767" spans="1:8" x14ac:dyDescent="0.25">
      <c r="E1767" t="str">
        <f>"DTX201908201224"</f>
        <v>DTX201908201224</v>
      </c>
      <c r="F1767" t="str">
        <f>"AP - TEXAS DENTAL"</f>
        <v>AP - TEXAS DENTAL</v>
      </c>
      <c r="G1767" s="2">
        <v>388.16</v>
      </c>
      <c r="H1767" t="str">
        <f>"AP - TEXAS DENTAL"</f>
        <v>AP - TEXAS DENTAL</v>
      </c>
    </row>
    <row r="1768" spans="1:8" x14ac:dyDescent="0.25">
      <c r="E1768" t="str">
        <f>"FD 201908201224"</f>
        <v>FD 201908201224</v>
      </c>
      <c r="F1768" t="str">
        <f>"AP - FT DEARBORN PRE-TAX"</f>
        <v>AP - FT DEARBORN PRE-TAX</v>
      </c>
      <c r="G1768" s="2">
        <v>138.33000000000001</v>
      </c>
      <c r="H1768" t="str">
        <f>"AP - FT DEARBORN PRE-TAX"</f>
        <v>AP - FT DEARBORN PRE-TAX</v>
      </c>
    </row>
    <row r="1769" spans="1:8" x14ac:dyDescent="0.25">
      <c r="E1769" t="str">
        <f>"FDT201908201224"</f>
        <v>FDT201908201224</v>
      </c>
      <c r="F1769" t="str">
        <f>"AP - FT DEARBORN AFTER TAX"</f>
        <v>AP - FT DEARBORN AFTER TAX</v>
      </c>
      <c r="G1769" s="2">
        <v>64.39</v>
      </c>
      <c r="H1769" t="str">
        <f>"AP - FT DEARBORN AFTER TAX"</f>
        <v>AP - FT DEARBORN AFTER TAX</v>
      </c>
    </row>
    <row r="1770" spans="1:8" x14ac:dyDescent="0.25">
      <c r="E1770" t="str">
        <f>"FLX201908201224"</f>
        <v>FLX201908201224</v>
      </c>
      <c r="F1770" t="str">
        <f>"AP - TEX FLEX"</f>
        <v>AP - TEX FLEX</v>
      </c>
      <c r="G1770" s="2">
        <v>220</v>
      </c>
      <c r="H1770" t="str">
        <f>"AP - TEX FLEX"</f>
        <v>AP - TEX FLEX</v>
      </c>
    </row>
    <row r="1771" spans="1:8" x14ac:dyDescent="0.25">
      <c r="E1771" t="str">
        <f>"MHS201908201224"</f>
        <v>MHS201908201224</v>
      </c>
      <c r="F1771" t="str">
        <f>"AP - HEALTH SELECT MEDICAL"</f>
        <v>AP - HEALTH SELECT MEDICAL</v>
      </c>
      <c r="G1771" s="2">
        <v>1556.5</v>
      </c>
      <c r="H1771" t="str">
        <f>"AP - HEALTH SELECT MEDICAL"</f>
        <v>AP - HEALTH SELECT MEDICAL</v>
      </c>
    </row>
    <row r="1772" spans="1:8" x14ac:dyDescent="0.25">
      <c r="E1772" t="str">
        <f>"MSW201908201224"</f>
        <v>MSW201908201224</v>
      </c>
      <c r="F1772" t="str">
        <f>"AP - SCOTT &amp; WHITE MEDICAL"</f>
        <v>AP - SCOTT &amp; WHITE MEDICAL</v>
      </c>
      <c r="G1772" s="2">
        <v>569.4</v>
      </c>
      <c r="H1772" t="str">
        <f>"AP - SCOTT &amp; WHITE MEDICAL"</f>
        <v>AP - SCOTT &amp; WHITE MEDICAL</v>
      </c>
    </row>
    <row r="1773" spans="1:8" x14ac:dyDescent="0.25">
      <c r="E1773" t="str">
        <f>"SPE201908201224"</f>
        <v>SPE201908201224</v>
      </c>
      <c r="F1773" t="str">
        <f>"AP - STATE VISION"</f>
        <v>AP - STATE VISION</v>
      </c>
      <c r="G1773" s="2">
        <v>43.49</v>
      </c>
      <c r="H1773" t="str">
        <f>"AP - STATE VISION"</f>
        <v>AP - STATE VISION</v>
      </c>
    </row>
    <row r="1774" spans="1:8" x14ac:dyDescent="0.25">
      <c r="A1774" t="s">
        <v>508</v>
      </c>
      <c r="B1774">
        <v>210</v>
      </c>
      <c r="C1774" s="2">
        <v>4188</v>
      </c>
      <c r="D1774" s="1">
        <v>43705</v>
      </c>
      <c r="E1774" t="str">
        <f>"201908281337"</f>
        <v>201908281337</v>
      </c>
      <c r="F1774" t="str">
        <f>"COLONIAL LIFE &amp; ACCIDENT INS."</f>
        <v>COLONIAL LIFE &amp; ACCIDENT INS.</v>
      </c>
      <c r="G1774" s="2">
        <v>0.5</v>
      </c>
      <c r="H1774" t="str">
        <f>"COLONIAL LIFE &amp; ACCIDENT INS."</f>
        <v>COLONIAL LIFE &amp; ACCIDENT INS.</v>
      </c>
    </row>
    <row r="1775" spans="1:8" x14ac:dyDescent="0.25">
      <c r="E1775" t="str">
        <f>"CL 201908071042"</f>
        <v>CL 201908071042</v>
      </c>
      <c r="F1775" t="str">
        <f t="shared" ref="F1775:F1794" si="22">"COLONIAL"</f>
        <v>COLONIAL</v>
      </c>
      <c r="G1775" s="2">
        <v>620.30999999999995</v>
      </c>
      <c r="H1775" t="str">
        <f t="shared" ref="H1775:H1794" si="23">"COLONIAL"</f>
        <v>COLONIAL</v>
      </c>
    </row>
    <row r="1776" spans="1:8" x14ac:dyDescent="0.25">
      <c r="E1776" t="str">
        <f>"CL 201908071043"</f>
        <v>CL 201908071043</v>
      </c>
      <c r="F1776" t="str">
        <f t="shared" si="22"/>
        <v>COLONIAL</v>
      </c>
      <c r="G1776" s="2">
        <v>14.49</v>
      </c>
      <c r="H1776" t="str">
        <f t="shared" si="23"/>
        <v>COLONIAL</v>
      </c>
    </row>
    <row r="1777" spans="5:8" x14ac:dyDescent="0.25">
      <c r="E1777" t="str">
        <f>"CL 201908201222"</f>
        <v>CL 201908201222</v>
      </c>
      <c r="F1777" t="str">
        <f t="shared" si="22"/>
        <v>COLONIAL</v>
      </c>
      <c r="G1777" s="2">
        <v>620.30999999999995</v>
      </c>
      <c r="H1777" t="str">
        <f t="shared" si="23"/>
        <v>COLONIAL</v>
      </c>
    </row>
    <row r="1778" spans="5:8" x14ac:dyDescent="0.25">
      <c r="E1778" t="str">
        <f>"CL 201908201223"</f>
        <v>CL 201908201223</v>
      </c>
      <c r="F1778" t="str">
        <f t="shared" si="22"/>
        <v>COLONIAL</v>
      </c>
      <c r="G1778" s="2">
        <v>14.49</v>
      </c>
      <c r="H1778" t="str">
        <f t="shared" si="23"/>
        <v>COLONIAL</v>
      </c>
    </row>
    <row r="1779" spans="5:8" x14ac:dyDescent="0.25">
      <c r="E1779" t="str">
        <f>"CLC201908071042"</f>
        <v>CLC201908071042</v>
      </c>
      <c r="F1779" t="str">
        <f t="shared" si="22"/>
        <v>COLONIAL</v>
      </c>
      <c r="G1779" s="2">
        <v>33.99</v>
      </c>
      <c r="H1779" t="str">
        <f t="shared" si="23"/>
        <v>COLONIAL</v>
      </c>
    </row>
    <row r="1780" spans="5:8" x14ac:dyDescent="0.25">
      <c r="E1780" t="str">
        <f>"CLC201908201222"</f>
        <v>CLC201908201222</v>
      </c>
      <c r="F1780" t="str">
        <f t="shared" si="22"/>
        <v>COLONIAL</v>
      </c>
      <c r="G1780" s="2">
        <v>33.99</v>
      </c>
      <c r="H1780" t="str">
        <f t="shared" si="23"/>
        <v>COLONIAL</v>
      </c>
    </row>
    <row r="1781" spans="5:8" x14ac:dyDescent="0.25">
      <c r="E1781" t="str">
        <f>"CLI201908071042"</f>
        <v>CLI201908071042</v>
      </c>
      <c r="F1781" t="str">
        <f t="shared" si="22"/>
        <v>COLONIAL</v>
      </c>
      <c r="G1781" s="2">
        <v>534.92999999999995</v>
      </c>
      <c r="H1781" t="str">
        <f t="shared" si="23"/>
        <v>COLONIAL</v>
      </c>
    </row>
    <row r="1782" spans="5:8" x14ac:dyDescent="0.25">
      <c r="E1782" t="str">
        <f>"CLI201908201222"</f>
        <v>CLI201908201222</v>
      </c>
      <c r="F1782" t="str">
        <f t="shared" si="22"/>
        <v>COLONIAL</v>
      </c>
      <c r="G1782" s="2">
        <v>534.92999999999995</v>
      </c>
      <c r="H1782" t="str">
        <f t="shared" si="23"/>
        <v>COLONIAL</v>
      </c>
    </row>
    <row r="1783" spans="5:8" x14ac:dyDescent="0.25">
      <c r="E1783" t="str">
        <f>"CLK201908071042"</f>
        <v>CLK201908071042</v>
      </c>
      <c r="F1783" t="str">
        <f t="shared" si="22"/>
        <v>COLONIAL</v>
      </c>
      <c r="G1783" s="2">
        <v>27.09</v>
      </c>
      <c r="H1783" t="str">
        <f t="shared" si="23"/>
        <v>COLONIAL</v>
      </c>
    </row>
    <row r="1784" spans="5:8" x14ac:dyDescent="0.25">
      <c r="E1784" t="str">
        <f>"CLK201908201222"</f>
        <v>CLK201908201222</v>
      </c>
      <c r="F1784" t="str">
        <f t="shared" si="22"/>
        <v>COLONIAL</v>
      </c>
      <c r="G1784" s="2">
        <v>27.09</v>
      </c>
      <c r="H1784" t="str">
        <f t="shared" si="23"/>
        <v>COLONIAL</v>
      </c>
    </row>
    <row r="1785" spans="5:8" x14ac:dyDescent="0.25">
      <c r="E1785" t="str">
        <f>"CLS201908071042"</f>
        <v>CLS201908071042</v>
      </c>
      <c r="F1785" t="str">
        <f t="shared" si="22"/>
        <v>COLONIAL</v>
      </c>
      <c r="G1785" s="2">
        <v>327.99</v>
      </c>
      <c r="H1785" t="str">
        <f t="shared" si="23"/>
        <v>COLONIAL</v>
      </c>
    </row>
    <row r="1786" spans="5:8" x14ac:dyDescent="0.25">
      <c r="E1786" t="str">
        <f>"CLS201908071043"</f>
        <v>CLS201908071043</v>
      </c>
      <c r="F1786" t="str">
        <f t="shared" si="22"/>
        <v>COLONIAL</v>
      </c>
      <c r="G1786" s="2">
        <v>28.57</v>
      </c>
      <c r="H1786" t="str">
        <f t="shared" si="23"/>
        <v>COLONIAL</v>
      </c>
    </row>
    <row r="1787" spans="5:8" x14ac:dyDescent="0.25">
      <c r="E1787" t="str">
        <f>"CLS201908201222"</f>
        <v>CLS201908201222</v>
      </c>
      <c r="F1787" t="str">
        <f t="shared" si="22"/>
        <v>COLONIAL</v>
      </c>
      <c r="G1787" s="2">
        <v>327.99</v>
      </c>
      <c r="H1787" t="str">
        <f t="shared" si="23"/>
        <v>COLONIAL</v>
      </c>
    </row>
    <row r="1788" spans="5:8" x14ac:dyDescent="0.25">
      <c r="E1788" t="str">
        <f>"CLS201908201223"</f>
        <v>CLS201908201223</v>
      </c>
      <c r="F1788" t="str">
        <f t="shared" si="22"/>
        <v>COLONIAL</v>
      </c>
      <c r="G1788" s="2">
        <v>28.57</v>
      </c>
      <c r="H1788" t="str">
        <f t="shared" si="23"/>
        <v>COLONIAL</v>
      </c>
    </row>
    <row r="1789" spans="5:8" x14ac:dyDescent="0.25">
      <c r="E1789" t="str">
        <f>"CLT201908071042"</f>
        <v>CLT201908071042</v>
      </c>
      <c r="F1789" t="str">
        <f t="shared" si="22"/>
        <v>COLONIAL</v>
      </c>
      <c r="G1789" s="2">
        <v>300.85000000000002</v>
      </c>
      <c r="H1789" t="str">
        <f t="shared" si="23"/>
        <v>COLONIAL</v>
      </c>
    </row>
    <row r="1790" spans="5:8" x14ac:dyDescent="0.25">
      <c r="E1790" t="str">
        <f>"CLT201908201222"</f>
        <v>CLT201908201222</v>
      </c>
      <c r="F1790" t="str">
        <f t="shared" si="22"/>
        <v>COLONIAL</v>
      </c>
      <c r="G1790" s="2">
        <v>300.85000000000002</v>
      </c>
      <c r="H1790" t="str">
        <f t="shared" si="23"/>
        <v>COLONIAL</v>
      </c>
    </row>
    <row r="1791" spans="5:8" x14ac:dyDescent="0.25">
      <c r="E1791" t="str">
        <f>"CLU201908071042"</f>
        <v>CLU201908071042</v>
      </c>
      <c r="F1791" t="str">
        <f t="shared" si="22"/>
        <v>COLONIAL</v>
      </c>
      <c r="G1791" s="2">
        <v>111.55</v>
      </c>
      <c r="H1791" t="str">
        <f t="shared" si="23"/>
        <v>COLONIAL</v>
      </c>
    </row>
    <row r="1792" spans="5:8" x14ac:dyDescent="0.25">
      <c r="E1792" t="str">
        <f>"CLU201908201222"</f>
        <v>CLU201908201222</v>
      </c>
      <c r="F1792" t="str">
        <f t="shared" si="22"/>
        <v>COLONIAL</v>
      </c>
      <c r="G1792" s="2">
        <v>111.55</v>
      </c>
      <c r="H1792" t="str">
        <f t="shared" si="23"/>
        <v>COLONIAL</v>
      </c>
    </row>
    <row r="1793" spans="1:8" x14ac:dyDescent="0.25">
      <c r="E1793" t="str">
        <f>"CLW201908071042"</f>
        <v>CLW201908071042</v>
      </c>
      <c r="F1793" t="str">
        <f t="shared" si="22"/>
        <v>COLONIAL</v>
      </c>
      <c r="G1793" s="2">
        <v>93.98</v>
      </c>
      <c r="H1793" t="str">
        <f t="shared" si="23"/>
        <v>COLONIAL</v>
      </c>
    </row>
    <row r="1794" spans="1:8" x14ac:dyDescent="0.25">
      <c r="E1794" t="str">
        <f>"CLW201908201222"</f>
        <v>CLW201908201222</v>
      </c>
      <c r="F1794" t="str">
        <f t="shared" si="22"/>
        <v>COLONIAL</v>
      </c>
      <c r="G1794" s="2">
        <v>93.98</v>
      </c>
      <c r="H1794" t="str">
        <f t="shared" si="23"/>
        <v>COLONIAL</v>
      </c>
    </row>
    <row r="1795" spans="1:8" x14ac:dyDescent="0.25">
      <c r="A1795" t="s">
        <v>127</v>
      </c>
      <c r="B1795">
        <v>192</v>
      </c>
      <c r="C1795" s="2">
        <v>8081.36</v>
      </c>
      <c r="D1795" s="1">
        <v>43686</v>
      </c>
      <c r="E1795" t="str">
        <f>"CPI201908071042"</f>
        <v>CPI201908071042</v>
      </c>
      <c r="F1795" t="str">
        <f>"DEFERRED COMP 457B PAYABLE"</f>
        <v>DEFERRED COMP 457B PAYABLE</v>
      </c>
      <c r="G1795" s="2">
        <v>7973.86</v>
      </c>
      <c r="H1795" t="str">
        <f>"DEFERRED COMP 457B PAYABLE"</f>
        <v>DEFERRED COMP 457B PAYABLE</v>
      </c>
    </row>
    <row r="1796" spans="1:8" x14ac:dyDescent="0.25">
      <c r="E1796" t="str">
        <f>"CPI201908071043"</f>
        <v>CPI201908071043</v>
      </c>
      <c r="F1796" t="str">
        <f>"DEFERRED COMP 457B PAYABLE"</f>
        <v>DEFERRED COMP 457B PAYABLE</v>
      </c>
      <c r="G1796" s="2">
        <v>107.5</v>
      </c>
      <c r="H1796" t="str">
        <f>"DEFERRED COMP 457B PAYABLE"</f>
        <v>DEFERRED COMP 457B PAYABLE</v>
      </c>
    </row>
    <row r="1797" spans="1:8" x14ac:dyDescent="0.25">
      <c r="A1797" t="s">
        <v>127</v>
      </c>
      <c r="B1797">
        <v>200</v>
      </c>
      <c r="C1797" s="2">
        <v>8272.7199999999993</v>
      </c>
      <c r="D1797" s="1">
        <v>43700</v>
      </c>
      <c r="E1797" t="str">
        <f>"CPI201908201222"</f>
        <v>CPI201908201222</v>
      </c>
      <c r="F1797" t="str">
        <f>"DEFERRED COMP 457B PAYABLE"</f>
        <v>DEFERRED COMP 457B PAYABLE</v>
      </c>
      <c r="G1797" s="2">
        <v>8165.22</v>
      </c>
      <c r="H1797" t="str">
        <f>"DEFERRED COMP 457B PAYABLE"</f>
        <v>DEFERRED COMP 457B PAYABLE</v>
      </c>
    </row>
    <row r="1798" spans="1:8" x14ac:dyDescent="0.25">
      <c r="E1798" t="str">
        <f>"CPI201908201223"</f>
        <v>CPI201908201223</v>
      </c>
      <c r="F1798" t="str">
        <f>"DEFERRED COMP 457B PAYABLE"</f>
        <v>DEFERRED COMP 457B PAYABLE</v>
      </c>
      <c r="G1798" s="2">
        <v>107.5</v>
      </c>
      <c r="H1798" t="str">
        <f>"DEFERRED COMP 457B PAYABLE"</f>
        <v>DEFERRED COMP 457B PAYABLE</v>
      </c>
    </row>
    <row r="1799" spans="1:8" x14ac:dyDescent="0.25">
      <c r="A1799" t="s">
        <v>509</v>
      </c>
      <c r="B1799">
        <v>47577</v>
      </c>
      <c r="C1799" s="2">
        <v>853.85</v>
      </c>
      <c r="D1799" s="1">
        <v>43686</v>
      </c>
      <c r="E1799" t="str">
        <f>"B13201908071042"</f>
        <v>B13201908071042</v>
      </c>
      <c r="F1799" t="str">
        <f>"Rosa Warren 15-10357-TMD"</f>
        <v>Rosa Warren 15-10357-TMD</v>
      </c>
      <c r="G1799" s="2">
        <v>853.85</v>
      </c>
      <c r="H1799" t="str">
        <f>"Rosa Warren 15-10357-TMD"</f>
        <v>Rosa Warren 15-10357-TMD</v>
      </c>
    </row>
    <row r="1800" spans="1:8" x14ac:dyDescent="0.25">
      <c r="A1800" t="s">
        <v>509</v>
      </c>
      <c r="B1800">
        <v>47594</v>
      </c>
      <c r="C1800" s="2">
        <v>853.85</v>
      </c>
      <c r="D1800" s="1">
        <v>43700</v>
      </c>
      <c r="E1800" t="str">
        <f>"B13201908201222"</f>
        <v>B13201908201222</v>
      </c>
      <c r="F1800" t="str">
        <f>"Rosa Warren 15-10357-TMD"</f>
        <v>Rosa Warren 15-10357-TMD</v>
      </c>
      <c r="G1800" s="2">
        <v>853.85</v>
      </c>
      <c r="H1800" t="str">
        <f>"Rosa Warren 15-10357-TMD"</f>
        <v>Rosa Warren 15-10357-TMD</v>
      </c>
    </row>
    <row r="1801" spans="1:8" x14ac:dyDescent="0.25">
      <c r="A1801" t="s">
        <v>510</v>
      </c>
      <c r="B1801">
        <v>206</v>
      </c>
      <c r="C1801" s="2">
        <v>40291.74</v>
      </c>
      <c r="D1801" s="1">
        <v>43705</v>
      </c>
      <c r="E1801" t="str">
        <f>"201908281331"</f>
        <v>201908281331</v>
      </c>
      <c r="F1801" t="str">
        <f>"ROUNDING"</f>
        <v>ROUNDING</v>
      </c>
      <c r="G1801" s="2">
        <v>-6.61</v>
      </c>
      <c r="H1801" t="str">
        <f>"ROUNDING"</f>
        <v>ROUNDING</v>
      </c>
    </row>
    <row r="1802" spans="1:8" x14ac:dyDescent="0.25">
      <c r="E1802" t="str">
        <f>"201908281329"</f>
        <v>201908281329</v>
      </c>
      <c r="F1802" t="str">
        <f>"RETIREE AUG 2019"</f>
        <v>RETIREE AUG 2019</v>
      </c>
      <c r="G1802" s="2">
        <v>3567.31</v>
      </c>
      <c r="H1802" t="str">
        <f>"RETIREE AUG 2019"</f>
        <v>RETIREE AUG 2019</v>
      </c>
    </row>
    <row r="1803" spans="1:8" x14ac:dyDescent="0.25">
      <c r="E1803" t="str">
        <f>"201908281330"</f>
        <v>201908281330</v>
      </c>
      <c r="F1803" t="str">
        <f>"CAMERON SCHNEIDER"</f>
        <v>CAMERON SCHNEIDER</v>
      </c>
      <c r="G1803" s="2">
        <v>44.67</v>
      </c>
      <c r="H1803" t="str">
        <f>"CAMERON SCHNEIDER"</f>
        <v>CAMERON SCHNEIDER</v>
      </c>
    </row>
    <row r="1804" spans="1:8" x14ac:dyDescent="0.25">
      <c r="E1804" t="str">
        <f>"ADC201908071042"</f>
        <v>ADC201908071042</v>
      </c>
      <c r="F1804" t="str">
        <f t="shared" ref="F1804:F1816" si="24">"GUARDIAN"</f>
        <v>GUARDIAN</v>
      </c>
      <c r="G1804" s="2">
        <v>4.66</v>
      </c>
      <c r="H1804" t="str">
        <f t="shared" ref="H1804:H1867" si="25">"GUARDIAN"</f>
        <v>GUARDIAN</v>
      </c>
    </row>
    <row r="1805" spans="1:8" x14ac:dyDescent="0.25">
      <c r="E1805" t="str">
        <f>"ADC201908071043"</f>
        <v>ADC201908071043</v>
      </c>
      <c r="F1805" t="str">
        <f t="shared" si="24"/>
        <v>GUARDIAN</v>
      </c>
      <c r="G1805" s="2">
        <v>0.16</v>
      </c>
      <c r="H1805" t="str">
        <f t="shared" si="25"/>
        <v>GUARDIAN</v>
      </c>
    </row>
    <row r="1806" spans="1:8" x14ac:dyDescent="0.25">
      <c r="E1806" t="str">
        <f>"ADC201908201222"</f>
        <v>ADC201908201222</v>
      </c>
      <c r="F1806" t="str">
        <f t="shared" si="24"/>
        <v>GUARDIAN</v>
      </c>
      <c r="G1806" s="2">
        <v>4.66</v>
      </c>
      <c r="H1806" t="str">
        <f t="shared" si="25"/>
        <v>GUARDIAN</v>
      </c>
    </row>
    <row r="1807" spans="1:8" x14ac:dyDescent="0.25">
      <c r="E1807" t="str">
        <f>"ADC201908201223"</f>
        <v>ADC201908201223</v>
      </c>
      <c r="F1807" t="str">
        <f t="shared" si="24"/>
        <v>GUARDIAN</v>
      </c>
      <c r="G1807" s="2">
        <v>0.16</v>
      </c>
      <c r="H1807" t="str">
        <f t="shared" si="25"/>
        <v>GUARDIAN</v>
      </c>
    </row>
    <row r="1808" spans="1:8" x14ac:dyDescent="0.25">
      <c r="E1808" t="str">
        <f>"ADE201908071042"</f>
        <v>ADE201908071042</v>
      </c>
      <c r="F1808" t="str">
        <f t="shared" si="24"/>
        <v>GUARDIAN</v>
      </c>
      <c r="G1808" s="2">
        <v>223.07</v>
      </c>
      <c r="H1808" t="str">
        <f t="shared" si="25"/>
        <v>GUARDIAN</v>
      </c>
    </row>
    <row r="1809" spans="5:8" x14ac:dyDescent="0.25">
      <c r="E1809" t="str">
        <f>"ADE201908071043"</f>
        <v>ADE201908071043</v>
      </c>
      <c r="F1809" t="str">
        <f t="shared" si="24"/>
        <v>GUARDIAN</v>
      </c>
      <c r="G1809" s="2">
        <v>6.3</v>
      </c>
      <c r="H1809" t="str">
        <f t="shared" si="25"/>
        <v>GUARDIAN</v>
      </c>
    </row>
    <row r="1810" spans="5:8" x14ac:dyDescent="0.25">
      <c r="E1810" t="str">
        <f>"ADE201908201222"</f>
        <v>ADE201908201222</v>
      </c>
      <c r="F1810" t="str">
        <f t="shared" si="24"/>
        <v>GUARDIAN</v>
      </c>
      <c r="G1810" s="2">
        <v>223.07</v>
      </c>
      <c r="H1810" t="str">
        <f t="shared" si="25"/>
        <v>GUARDIAN</v>
      </c>
    </row>
    <row r="1811" spans="5:8" x14ac:dyDescent="0.25">
      <c r="E1811" t="str">
        <f>"ADE201908201223"</f>
        <v>ADE201908201223</v>
      </c>
      <c r="F1811" t="str">
        <f t="shared" si="24"/>
        <v>GUARDIAN</v>
      </c>
      <c r="G1811" s="2">
        <v>6.3</v>
      </c>
      <c r="H1811" t="str">
        <f t="shared" si="25"/>
        <v>GUARDIAN</v>
      </c>
    </row>
    <row r="1812" spans="5:8" x14ac:dyDescent="0.25">
      <c r="E1812" t="str">
        <f>"ADS201908071042"</f>
        <v>ADS201908071042</v>
      </c>
      <c r="F1812" t="str">
        <f t="shared" si="24"/>
        <v>GUARDIAN</v>
      </c>
      <c r="G1812" s="2">
        <v>40.17</v>
      </c>
      <c r="H1812" t="str">
        <f t="shared" si="25"/>
        <v>GUARDIAN</v>
      </c>
    </row>
    <row r="1813" spans="5:8" x14ac:dyDescent="0.25">
      <c r="E1813" t="str">
        <f>"ADS201908071043"</f>
        <v>ADS201908071043</v>
      </c>
      <c r="F1813" t="str">
        <f t="shared" si="24"/>
        <v>GUARDIAN</v>
      </c>
      <c r="G1813" s="2">
        <v>0.53</v>
      </c>
      <c r="H1813" t="str">
        <f t="shared" si="25"/>
        <v>GUARDIAN</v>
      </c>
    </row>
    <row r="1814" spans="5:8" x14ac:dyDescent="0.25">
      <c r="E1814" t="str">
        <f>"ADS201908201222"</f>
        <v>ADS201908201222</v>
      </c>
      <c r="F1814" t="str">
        <f t="shared" si="24"/>
        <v>GUARDIAN</v>
      </c>
      <c r="G1814" s="2">
        <v>40.17</v>
      </c>
      <c r="H1814" t="str">
        <f t="shared" si="25"/>
        <v>GUARDIAN</v>
      </c>
    </row>
    <row r="1815" spans="5:8" x14ac:dyDescent="0.25">
      <c r="E1815" t="str">
        <f>"ADS201908201223"</f>
        <v>ADS201908201223</v>
      </c>
      <c r="F1815" t="str">
        <f t="shared" si="24"/>
        <v>GUARDIAN</v>
      </c>
      <c r="G1815" s="2">
        <v>0.53</v>
      </c>
      <c r="H1815" t="str">
        <f t="shared" si="25"/>
        <v>GUARDIAN</v>
      </c>
    </row>
    <row r="1816" spans="5:8" x14ac:dyDescent="0.25">
      <c r="E1816" t="str">
        <f>"GDC201908071042"</f>
        <v>GDC201908071042</v>
      </c>
      <c r="F1816" t="str">
        <f t="shared" si="24"/>
        <v>GUARDIAN</v>
      </c>
      <c r="G1816" s="2">
        <v>2614.92</v>
      </c>
      <c r="H1816" t="str">
        <f t="shared" si="25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25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5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25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5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5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25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25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5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25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25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25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25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25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25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25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25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25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25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25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25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25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25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25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25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25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25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25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25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25"/>
        <v>GUARDIAN</v>
      </c>
    </row>
    <row r="1846" spans="5:8" x14ac:dyDescent="0.25">
      <c r="E1846" t="str">
        <f>"GDC201908071043"</f>
        <v>GDC201908071043</v>
      </c>
      <c r="F1846" t="str">
        <f>"GUARDIAN"</f>
        <v>GUARDIAN</v>
      </c>
      <c r="G1846" s="2">
        <v>135.84</v>
      </c>
      <c r="H1846" t="str">
        <f t="shared" si="25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25"/>
        <v>GUARDIAN</v>
      </c>
    </row>
    <row r="1848" spans="5:8" x14ac:dyDescent="0.25">
      <c r="E1848" t="str">
        <f>"GDC201908201222"</f>
        <v>GDC201908201222</v>
      </c>
      <c r="F1848" t="str">
        <f>"GUARDIAN"</f>
        <v>GUARDIAN</v>
      </c>
      <c r="G1848" s="2">
        <v>2614.92</v>
      </c>
      <c r="H1848" t="str">
        <f t="shared" si="25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25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25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25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25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25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25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25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25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25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25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25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25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25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25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25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25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25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25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25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ref="H1868:H1931" si="26">"GUARDIAN"</f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26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26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26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26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26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26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26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26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26"/>
        <v>GUARDIAN</v>
      </c>
    </row>
    <row r="1878" spans="5:8" x14ac:dyDescent="0.25">
      <c r="E1878" t="str">
        <f>"GDC201908201223"</f>
        <v>GDC201908201223</v>
      </c>
      <c r="F1878" t="str">
        <f>"GUARDIAN"</f>
        <v>GUARDIAN</v>
      </c>
      <c r="G1878" s="2">
        <v>135.84</v>
      </c>
      <c r="H1878" t="str">
        <f t="shared" si="26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26"/>
        <v>GUARDIAN</v>
      </c>
    </row>
    <row r="1880" spans="5:8" x14ac:dyDescent="0.25">
      <c r="E1880" t="str">
        <f>"GDE201908071042"</f>
        <v>GDE201908071042</v>
      </c>
      <c r="F1880" t="str">
        <f>"GUARDIAN"</f>
        <v>GUARDIAN</v>
      </c>
      <c r="G1880" s="2">
        <v>4309.2</v>
      </c>
      <c r="H1880" t="str">
        <f t="shared" si="26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26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26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26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26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26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26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26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26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26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26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26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26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26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26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26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26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26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26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26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26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26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26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26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26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26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26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26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26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26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26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26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26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26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26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26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26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26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26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26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26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26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26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26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26"/>
        <v>GUARDIAN</v>
      </c>
    </row>
    <row r="1925" spans="5:8" x14ac:dyDescent="0.25">
      <c r="E1925" t="str">
        <f>"GDE201908071043"</f>
        <v>GDE201908071043</v>
      </c>
      <c r="F1925" t="str">
        <f>"GUARDIAN"</f>
        <v>GUARDIAN</v>
      </c>
      <c r="G1925" s="2">
        <v>169.29</v>
      </c>
      <c r="H1925" t="str">
        <f t="shared" si="26"/>
        <v>GUARDIAN</v>
      </c>
    </row>
    <row r="1926" spans="5:8" x14ac:dyDescent="0.25">
      <c r="E1926" t="str">
        <f>"GDE201908201222"</f>
        <v>GDE201908201222</v>
      </c>
      <c r="F1926" t="str">
        <f>"GUARDIAN"</f>
        <v>GUARDIAN</v>
      </c>
      <c r="G1926" s="2">
        <v>4247.6400000000003</v>
      </c>
      <c r="H1926" t="str">
        <f t="shared" si="26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26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26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26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26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26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ref="H1932:H1995" si="27">"GUARDIAN"</f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27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27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27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27"/>
        <v>GUARDIAN</v>
      </c>
    </row>
    <row r="1937" spans="5:8" x14ac:dyDescent="0.25">
      <c r="E1937" t="str">
        <f>""</f>
        <v/>
      </c>
      <c r="F1937" t="str">
        <f>""</f>
        <v/>
      </c>
      <c r="H1937" t="str">
        <f t="shared" si="27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27"/>
        <v>GUARDIAN</v>
      </c>
    </row>
    <row r="1939" spans="5:8" x14ac:dyDescent="0.25">
      <c r="E1939" t="str">
        <f>""</f>
        <v/>
      </c>
      <c r="F1939" t="str">
        <f>""</f>
        <v/>
      </c>
      <c r="H1939" t="str">
        <f t="shared" si="27"/>
        <v>GUARDIAN</v>
      </c>
    </row>
    <row r="1940" spans="5:8" x14ac:dyDescent="0.25">
      <c r="E1940" t="str">
        <f>""</f>
        <v/>
      </c>
      <c r="F1940" t="str">
        <f>""</f>
        <v/>
      </c>
      <c r="H1940" t="str">
        <f t="shared" si="27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27"/>
        <v>GUARDIAN</v>
      </c>
    </row>
    <row r="1942" spans="5:8" x14ac:dyDescent="0.25">
      <c r="E1942" t="str">
        <f>""</f>
        <v/>
      </c>
      <c r="F1942" t="str">
        <f>""</f>
        <v/>
      </c>
      <c r="H1942" t="str">
        <f t="shared" si="27"/>
        <v>GUARDIAN</v>
      </c>
    </row>
    <row r="1943" spans="5:8" x14ac:dyDescent="0.25">
      <c r="E1943" t="str">
        <f>""</f>
        <v/>
      </c>
      <c r="F1943" t="str">
        <f>""</f>
        <v/>
      </c>
      <c r="H1943" t="str">
        <f t="shared" si="27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27"/>
        <v>GUARDIAN</v>
      </c>
    </row>
    <row r="1945" spans="5:8" x14ac:dyDescent="0.25">
      <c r="E1945" t="str">
        <f>""</f>
        <v/>
      </c>
      <c r="F1945" t="str">
        <f>""</f>
        <v/>
      </c>
      <c r="H1945" t="str">
        <f t="shared" si="27"/>
        <v>GUARDIAN</v>
      </c>
    </row>
    <row r="1946" spans="5:8" x14ac:dyDescent="0.25">
      <c r="E1946" t="str">
        <f>""</f>
        <v/>
      </c>
      <c r="F1946" t="str">
        <f>""</f>
        <v/>
      </c>
      <c r="H1946" t="str">
        <f t="shared" si="27"/>
        <v>GUARDIAN</v>
      </c>
    </row>
    <row r="1947" spans="5:8" x14ac:dyDescent="0.25">
      <c r="E1947" t="str">
        <f>""</f>
        <v/>
      </c>
      <c r="F1947" t="str">
        <f>""</f>
        <v/>
      </c>
      <c r="H1947" t="str">
        <f t="shared" si="27"/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27"/>
        <v>GUARDIAN</v>
      </c>
    </row>
    <row r="1949" spans="5:8" x14ac:dyDescent="0.25">
      <c r="E1949" t="str">
        <f>""</f>
        <v/>
      </c>
      <c r="F1949" t="str">
        <f>""</f>
        <v/>
      </c>
      <c r="H1949" t="str">
        <f t="shared" si="27"/>
        <v>GUARDIAN</v>
      </c>
    </row>
    <row r="1950" spans="5:8" x14ac:dyDescent="0.25">
      <c r="E1950" t="str">
        <f>""</f>
        <v/>
      </c>
      <c r="F1950" t="str">
        <f>""</f>
        <v/>
      </c>
      <c r="H1950" t="str">
        <f t="shared" si="27"/>
        <v>GUARDIAN</v>
      </c>
    </row>
    <row r="1951" spans="5:8" x14ac:dyDescent="0.25">
      <c r="E1951" t="str">
        <f>""</f>
        <v/>
      </c>
      <c r="F1951" t="str">
        <f>""</f>
        <v/>
      </c>
      <c r="H1951" t="str">
        <f t="shared" si="27"/>
        <v>GUARDIAN</v>
      </c>
    </row>
    <row r="1952" spans="5:8" x14ac:dyDescent="0.25">
      <c r="E1952" t="str">
        <f>""</f>
        <v/>
      </c>
      <c r="F1952" t="str">
        <f>""</f>
        <v/>
      </c>
      <c r="H1952" t="str">
        <f t="shared" si="27"/>
        <v>GUARDIAN</v>
      </c>
    </row>
    <row r="1953" spans="5:8" x14ac:dyDescent="0.25">
      <c r="E1953" t="str">
        <f>""</f>
        <v/>
      </c>
      <c r="F1953" t="str">
        <f>""</f>
        <v/>
      </c>
      <c r="H1953" t="str">
        <f t="shared" si="27"/>
        <v>GUARDIAN</v>
      </c>
    </row>
    <row r="1954" spans="5:8" x14ac:dyDescent="0.25">
      <c r="E1954" t="str">
        <f>""</f>
        <v/>
      </c>
      <c r="F1954" t="str">
        <f>""</f>
        <v/>
      </c>
      <c r="H1954" t="str">
        <f t="shared" si="27"/>
        <v>GUARDIAN</v>
      </c>
    </row>
    <row r="1955" spans="5:8" x14ac:dyDescent="0.25">
      <c r="E1955" t="str">
        <f>""</f>
        <v/>
      </c>
      <c r="F1955" t="str">
        <f>""</f>
        <v/>
      </c>
      <c r="H1955" t="str">
        <f t="shared" si="27"/>
        <v>GUARDIAN</v>
      </c>
    </row>
    <row r="1956" spans="5:8" x14ac:dyDescent="0.25">
      <c r="E1956" t="str">
        <f>""</f>
        <v/>
      </c>
      <c r="F1956" t="str">
        <f>""</f>
        <v/>
      </c>
      <c r="H1956" t="str">
        <f t="shared" si="27"/>
        <v>GUARDIAN</v>
      </c>
    </row>
    <row r="1957" spans="5:8" x14ac:dyDescent="0.25">
      <c r="E1957" t="str">
        <f>""</f>
        <v/>
      </c>
      <c r="F1957" t="str">
        <f>""</f>
        <v/>
      </c>
      <c r="H1957" t="str">
        <f t="shared" si="27"/>
        <v>GUARDIAN</v>
      </c>
    </row>
    <row r="1958" spans="5:8" x14ac:dyDescent="0.25">
      <c r="E1958" t="str">
        <f>""</f>
        <v/>
      </c>
      <c r="F1958" t="str">
        <f>""</f>
        <v/>
      </c>
      <c r="H1958" t="str">
        <f t="shared" si="27"/>
        <v>GUARDIAN</v>
      </c>
    </row>
    <row r="1959" spans="5:8" x14ac:dyDescent="0.25">
      <c r="E1959" t="str">
        <f>""</f>
        <v/>
      </c>
      <c r="F1959" t="str">
        <f>""</f>
        <v/>
      </c>
      <c r="H1959" t="str">
        <f t="shared" si="27"/>
        <v>GUARDIAN</v>
      </c>
    </row>
    <row r="1960" spans="5:8" x14ac:dyDescent="0.25">
      <c r="E1960" t="str">
        <f>""</f>
        <v/>
      </c>
      <c r="F1960" t="str">
        <f>""</f>
        <v/>
      </c>
      <c r="H1960" t="str">
        <f t="shared" si="27"/>
        <v>GUARDIAN</v>
      </c>
    </row>
    <row r="1961" spans="5:8" x14ac:dyDescent="0.25">
      <c r="E1961" t="str">
        <f>""</f>
        <v/>
      </c>
      <c r="F1961" t="str">
        <f>""</f>
        <v/>
      </c>
      <c r="H1961" t="str">
        <f t="shared" si="27"/>
        <v>GUARDIAN</v>
      </c>
    </row>
    <row r="1962" spans="5:8" x14ac:dyDescent="0.25">
      <c r="E1962" t="str">
        <f>""</f>
        <v/>
      </c>
      <c r="F1962" t="str">
        <f>""</f>
        <v/>
      </c>
      <c r="H1962" t="str">
        <f t="shared" si="27"/>
        <v>GUARDIAN</v>
      </c>
    </row>
    <row r="1963" spans="5:8" x14ac:dyDescent="0.25">
      <c r="E1963" t="str">
        <f>""</f>
        <v/>
      </c>
      <c r="F1963" t="str">
        <f>""</f>
        <v/>
      </c>
      <c r="H1963" t="str">
        <f t="shared" si="27"/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27"/>
        <v>GUARDIAN</v>
      </c>
    </row>
    <row r="1965" spans="5:8" x14ac:dyDescent="0.25">
      <c r="E1965" t="str">
        <f>""</f>
        <v/>
      </c>
      <c r="F1965" t="str">
        <f>""</f>
        <v/>
      </c>
      <c r="H1965" t="str">
        <f t="shared" si="27"/>
        <v>GUARDIAN</v>
      </c>
    </row>
    <row r="1966" spans="5:8" x14ac:dyDescent="0.25">
      <c r="E1966" t="str">
        <f>""</f>
        <v/>
      </c>
      <c r="F1966" t="str">
        <f>""</f>
        <v/>
      </c>
      <c r="H1966" t="str">
        <f t="shared" si="27"/>
        <v>GUARDIAN</v>
      </c>
    </row>
    <row r="1967" spans="5:8" x14ac:dyDescent="0.25">
      <c r="E1967" t="str">
        <f>""</f>
        <v/>
      </c>
      <c r="F1967" t="str">
        <f>""</f>
        <v/>
      </c>
      <c r="H1967" t="str">
        <f t="shared" si="27"/>
        <v>GUARDIAN</v>
      </c>
    </row>
    <row r="1968" spans="5:8" x14ac:dyDescent="0.25">
      <c r="E1968" t="str">
        <f>""</f>
        <v/>
      </c>
      <c r="F1968" t="str">
        <f>""</f>
        <v/>
      </c>
      <c r="H1968" t="str">
        <f t="shared" si="27"/>
        <v>GUARDIAN</v>
      </c>
    </row>
    <row r="1969" spans="5:8" x14ac:dyDescent="0.25">
      <c r="E1969" t="str">
        <f>""</f>
        <v/>
      </c>
      <c r="F1969" t="str">
        <f>""</f>
        <v/>
      </c>
      <c r="H1969" t="str">
        <f t="shared" si="27"/>
        <v>GUARDIAN</v>
      </c>
    </row>
    <row r="1970" spans="5:8" x14ac:dyDescent="0.25">
      <c r="E1970" t="str">
        <f>"GDE201908201223"</f>
        <v>GDE201908201223</v>
      </c>
      <c r="F1970" t="str">
        <f>"GUARDIAN"</f>
        <v>GUARDIAN</v>
      </c>
      <c r="G1970" s="2">
        <v>169.29</v>
      </c>
      <c r="H1970" t="str">
        <f t="shared" si="27"/>
        <v>GUARDIAN</v>
      </c>
    </row>
    <row r="1971" spans="5:8" x14ac:dyDescent="0.25">
      <c r="E1971" t="str">
        <f>"GDF201908071042"</f>
        <v>GDF201908071042</v>
      </c>
      <c r="F1971" t="str">
        <f>"GUARDIAN"</f>
        <v>GUARDIAN</v>
      </c>
      <c r="G1971" s="2">
        <v>2224.63</v>
      </c>
      <c r="H1971" t="str">
        <f t="shared" si="27"/>
        <v>GUARDIAN</v>
      </c>
    </row>
    <row r="1972" spans="5:8" x14ac:dyDescent="0.25">
      <c r="E1972" t="str">
        <f>""</f>
        <v/>
      </c>
      <c r="F1972" t="str">
        <f>""</f>
        <v/>
      </c>
      <c r="H1972" t="str">
        <f t="shared" si="27"/>
        <v>GUARDIAN</v>
      </c>
    </row>
    <row r="1973" spans="5:8" x14ac:dyDescent="0.25">
      <c r="E1973" t="str">
        <f>""</f>
        <v/>
      </c>
      <c r="F1973" t="str">
        <f>""</f>
        <v/>
      </c>
      <c r="H1973" t="str">
        <f t="shared" si="27"/>
        <v>GUARDIAN</v>
      </c>
    </row>
    <row r="1974" spans="5:8" x14ac:dyDescent="0.25">
      <c r="E1974" t="str">
        <f>""</f>
        <v/>
      </c>
      <c r="F1974" t="str">
        <f>""</f>
        <v/>
      </c>
      <c r="H1974" t="str">
        <f t="shared" si="27"/>
        <v>GUARDIAN</v>
      </c>
    </row>
    <row r="1975" spans="5:8" x14ac:dyDescent="0.25">
      <c r="E1975" t="str">
        <f>""</f>
        <v/>
      </c>
      <c r="F1975" t="str">
        <f>""</f>
        <v/>
      </c>
      <c r="H1975" t="str">
        <f t="shared" si="27"/>
        <v>GUARDIAN</v>
      </c>
    </row>
    <row r="1976" spans="5:8" x14ac:dyDescent="0.25">
      <c r="E1976" t="str">
        <f>""</f>
        <v/>
      </c>
      <c r="F1976" t="str">
        <f>""</f>
        <v/>
      </c>
      <c r="H1976" t="str">
        <f t="shared" si="27"/>
        <v>GUARDIAN</v>
      </c>
    </row>
    <row r="1977" spans="5:8" x14ac:dyDescent="0.25">
      <c r="E1977" t="str">
        <f>""</f>
        <v/>
      </c>
      <c r="F1977" t="str">
        <f>""</f>
        <v/>
      </c>
      <c r="H1977" t="str">
        <f t="shared" si="27"/>
        <v>GUARDIAN</v>
      </c>
    </row>
    <row r="1978" spans="5:8" x14ac:dyDescent="0.25">
      <c r="E1978" t="str">
        <f>""</f>
        <v/>
      </c>
      <c r="F1978" t="str">
        <f>""</f>
        <v/>
      </c>
      <c r="H1978" t="str">
        <f t="shared" si="27"/>
        <v>GUARDIAN</v>
      </c>
    </row>
    <row r="1979" spans="5:8" x14ac:dyDescent="0.25">
      <c r="E1979" t="str">
        <f>""</f>
        <v/>
      </c>
      <c r="F1979" t="str">
        <f>""</f>
        <v/>
      </c>
      <c r="H1979" t="str">
        <f t="shared" si="27"/>
        <v>GUARDIAN</v>
      </c>
    </row>
    <row r="1980" spans="5:8" x14ac:dyDescent="0.25">
      <c r="E1980" t="str">
        <f>""</f>
        <v/>
      </c>
      <c r="F1980" t="str">
        <f>""</f>
        <v/>
      </c>
      <c r="H1980" t="str">
        <f t="shared" si="27"/>
        <v>GUARDIAN</v>
      </c>
    </row>
    <row r="1981" spans="5:8" x14ac:dyDescent="0.25">
      <c r="E1981" t="str">
        <f>""</f>
        <v/>
      </c>
      <c r="F1981" t="str">
        <f>""</f>
        <v/>
      </c>
      <c r="H1981" t="str">
        <f t="shared" si="27"/>
        <v>GUARDIAN</v>
      </c>
    </row>
    <row r="1982" spans="5:8" x14ac:dyDescent="0.25">
      <c r="E1982" t="str">
        <f>""</f>
        <v/>
      </c>
      <c r="F1982" t="str">
        <f>""</f>
        <v/>
      </c>
      <c r="H1982" t="str">
        <f t="shared" si="27"/>
        <v>GUARDIAN</v>
      </c>
    </row>
    <row r="1983" spans="5:8" x14ac:dyDescent="0.25">
      <c r="E1983" t="str">
        <f>""</f>
        <v/>
      </c>
      <c r="F1983" t="str">
        <f>""</f>
        <v/>
      </c>
      <c r="H1983" t="str">
        <f t="shared" si="27"/>
        <v>GUARDIAN</v>
      </c>
    </row>
    <row r="1984" spans="5:8" x14ac:dyDescent="0.25">
      <c r="E1984" t="str">
        <f>""</f>
        <v/>
      </c>
      <c r="F1984" t="str">
        <f>""</f>
        <v/>
      </c>
      <c r="H1984" t="str">
        <f t="shared" si="27"/>
        <v>GUARDIAN</v>
      </c>
    </row>
    <row r="1985" spans="5:8" x14ac:dyDescent="0.25">
      <c r="E1985" t="str">
        <f>""</f>
        <v/>
      </c>
      <c r="F1985" t="str">
        <f>""</f>
        <v/>
      </c>
      <c r="H1985" t="str">
        <f t="shared" si="27"/>
        <v>GUARDIAN</v>
      </c>
    </row>
    <row r="1986" spans="5:8" x14ac:dyDescent="0.25">
      <c r="E1986" t="str">
        <f>""</f>
        <v/>
      </c>
      <c r="F1986" t="str">
        <f>""</f>
        <v/>
      </c>
      <c r="H1986" t="str">
        <f t="shared" si="27"/>
        <v>GUARDIAN</v>
      </c>
    </row>
    <row r="1987" spans="5:8" x14ac:dyDescent="0.25">
      <c r="E1987" t="str">
        <f>""</f>
        <v/>
      </c>
      <c r="F1987" t="str">
        <f>""</f>
        <v/>
      </c>
      <c r="H1987" t="str">
        <f t="shared" si="27"/>
        <v>GUARDIAN</v>
      </c>
    </row>
    <row r="1988" spans="5:8" x14ac:dyDescent="0.25">
      <c r="E1988" t="str">
        <f>""</f>
        <v/>
      </c>
      <c r="F1988" t="str">
        <f>""</f>
        <v/>
      </c>
      <c r="H1988" t="str">
        <f t="shared" si="27"/>
        <v>GUARDIAN</v>
      </c>
    </row>
    <row r="1989" spans="5:8" x14ac:dyDescent="0.25">
      <c r="E1989" t="str">
        <f>""</f>
        <v/>
      </c>
      <c r="F1989" t="str">
        <f>""</f>
        <v/>
      </c>
      <c r="H1989" t="str">
        <f t="shared" si="27"/>
        <v>GUARDIAN</v>
      </c>
    </row>
    <row r="1990" spans="5:8" x14ac:dyDescent="0.25">
      <c r="E1990" t="str">
        <f>"GDF201908071043"</f>
        <v>GDF201908071043</v>
      </c>
      <c r="F1990" t="str">
        <f>"GUARDIAN"</f>
        <v>GUARDIAN</v>
      </c>
      <c r="G1990" s="2">
        <v>100.42</v>
      </c>
      <c r="H1990" t="str">
        <f t="shared" si="27"/>
        <v>GUARDIAN</v>
      </c>
    </row>
    <row r="1991" spans="5:8" x14ac:dyDescent="0.25">
      <c r="E1991" t="str">
        <f>""</f>
        <v/>
      </c>
      <c r="F1991" t="str">
        <f>""</f>
        <v/>
      </c>
      <c r="H1991" t="str">
        <f t="shared" si="27"/>
        <v>GUARDIAN</v>
      </c>
    </row>
    <row r="1992" spans="5:8" x14ac:dyDescent="0.25">
      <c r="E1992" t="str">
        <f>"GDF201908201222"</f>
        <v>GDF201908201222</v>
      </c>
      <c r="F1992" t="str">
        <f>"GUARDIAN"</f>
        <v>GUARDIAN</v>
      </c>
      <c r="G1992" s="2">
        <v>2259.4499999999998</v>
      </c>
      <c r="H1992" t="str">
        <f t="shared" si="27"/>
        <v>GUARDIAN</v>
      </c>
    </row>
    <row r="1993" spans="5:8" x14ac:dyDescent="0.25">
      <c r="E1993" t="str">
        <f>""</f>
        <v/>
      </c>
      <c r="F1993" t="str">
        <f>""</f>
        <v/>
      </c>
      <c r="H1993" t="str">
        <f t="shared" si="27"/>
        <v>GUARDIAN</v>
      </c>
    </row>
    <row r="1994" spans="5:8" x14ac:dyDescent="0.25">
      <c r="E1994" t="str">
        <f>""</f>
        <v/>
      </c>
      <c r="F1994" t="str">
        <f>""</f>
        <v/>
      </c>
      <c r="H1994" t="str">
        <f t="shared" si="27"/>
        <v>GUARDIAN</v>
      </c>
    </row>
    <row r="1995" spans="5:8" x14ac:dyDescent="0.25">
      <c r="E1995" t="str">
        <f>""</f>
        <v/>
      </c>
      <c r="F1995" t="str">
        <f>""</f>
        <v/>
      </c>
      <c r="H1995" t="str">
        <f t="shared" si="27"/>
        <v>GUARDIAN</v>
      </c>
    </row>
    <row r="1996" spans="5:8" x14ac:dyDescent="0.25">
      <c r="E1996" t="str">
        <f>""</f>
        <v/>
      </c>
      <c r="F1996" t="str">
        <f>""</f>
        <v/>
      </c>
      <c r="H1996" t="str">
        <f t="shared" ref="H1996:H2062" si="28">"GUARDIAN"</f>
        <v>GUARDIAN</v>
      </c>
    </row>
    <row r="1997" spans="5:8" x14ac:dyDescent="0.25">
      <c r="E1997" t="str">
        <f>""</f>
        <v/>
      </c>
      <c r="F1997" t="str">
        <f>""</f>
        <v/>
      </c>
      <c r="H1997" t="str">
        <f t="shared" si="28"/>
        <v>GUARDIAN</v>
      </c>
    </row>
    <row r="1998" spans="5:8" x14ac:dyDescent="0.25">
      <c r="E1998" t="str">
        <f>""</f>
        <v/>
      </c>
      <c r="F1998" t="str">
        <f>""</f>
        <v/>
      </c>
      <c r="H1998" t="str">
        <f t="shared" si="28"/>
        <v>GUARDIAN</v>
      </c>
    </row>
    <row r="1999" spans="5:8" x14ac:dyDescent="0.25">
      <c r="E1999" t="str">
        <f>""</f>
        <v/>
      </c>
      <c r="F1999" t="str">
        <f>""</f>
        <v/>
      </c>
      <c r="H1999" t="str">
        <f t="shared" si="28"/>
        <v>GUARDIAN</v>
      </c>
    </row>
    <row r="2000" spans="5:8" x14ac:dyDescent="0.25">
      <c r="E2000" t="str">
        <f>""</f>
        <v/>
      </c>
      <c r="F2000" t="str">
        <f>""</f>
        <v/>
      </c>
      <c r="H2000" t="str">
        <f t="shared" si="28"/>
        <v>GUARDIAN</v>
      </c>
    </row>
    <row r="2001" spans="5:8" x14ac:dyDescent="0.25">
      <c r="E2001" t="str">
        <f>""</f>
        <v/>
      </c>
      <c r="F2001" t="str">
        <f>""</f>
        <v/>
      </c>
      <c r="H2001" t="str">
        <f t="shared" si="28"/>
        <v>GUARDIAN</v>
      </c>
    </row>
    <row r="2002" spans="5:8" x14ac:dyDescent="0.25">
      <c r="E2002" t="str">
        <f>""</f>
        <v/>
      </c>
      <c r="F2002" t="str">
        <f>""</f>
        <v/>
      </c>
      <c r="H2002" t="str">
        <f t="shared" si="28"/>
        <v>GUARDIAN</v>
      </c>
    </row>
    <row r="2003" spans="5:8" x14ac:dyDescent="0.25">
      <c r="E2003" t="str">
        <f>""</f>
        <v/>
      </c>
      <c r="F2003" t="str">
        <f>""</f>
        <v/>
      </c>
      <c r="H2003" t="str">
        <f t="shared" si="28"/>
        <v>GUARDIAN</v>
      </c>
    </row>
    <row r="2004" spans="5:8" x14ac:dyDescent="0.25">
      <c r="E2004" t="str">
        <f>""</f>
        <v/>
      </c>
      <c r="F2004" t="str">
        <f>""</f>
        <v/>
      </c>
      <c r="H2004" t="str">
        <f t="shared" si="28"/>
        <v>GUARDIAN</v>
      </c>
    </row>
    <row r="2005" spans="5:8" x14ac:dyDescent="0.25">
      <c r="E2005" t="str">
        <f>""</f>
        <v/>
      </c>
      <c r="F2005" t="str">
        <f>""</f>
        <v/>
      </c>
      <c r="H2005" t="str">
        <f t="shared" si="28"/>
        <v>GUARDIAN</v>
      </c>
    </row>
    <row r="2006" spans="5:8" x14ac:dyDescent="0.25">
      <c r="E2006" t="str">
        <f>""</f>
        <v/>
      </c>
      <c r="F2006" t="str">
        <f>""</f>
        <v/>
      </c>
      <c r="H2006" t="str">
        <f t="shared" si="28"/>
        <v>GUARDIAN</v>
      </c>
    </row>
    <row r="2007" spans="5:8" x14ac:dyDescent="0.25">
      <c r="E2007" t="str">
        <f>""</f>
        <v/>
      </c>
      <c r="F2007" t="str">
        <f>""</f>
        <v/>
      </c>
      <c r="H2007" t="str">
        <f t="shared" si="28"/>
        <v>GUARDIAN</v>
      </c>
    </row>
    <row r="2008" spans="5:8" x14ac:dyDescent="0.25">
      <c r="E2008" t="str">
        <f>""</f>
        <v/>
      </c>
      <c r="F2008" t="str">
        <f>""</f>
        <v/>
      </c>
      <c r="H2008" t="str">
        <f t="shared" si="28"/>
        <v>GUARDIAN</v>
      </c>
    </row>
    <row r="2009" spans="5:8" x14ac:dyDescent="0.25">
      <c r="E2009" t="str">
        <f>""</f>
        <v/>
      </c>
      <c r="F2009" t="str">
        <f>""</f>
        <v/>
      </c>
      <c r="H2009" t="str">
        <f t="shared" si="28"/>
        <v>GUARDIAN</v>
      </c>
    </row>
    <row r="2010" spans="5:8" x14ac:dyDescent="0.25">
      <c r="E2010" t="str">
        <f>""</f>
        <v/>
      </c>
      <c r="F2010" t="str">
        <f>""</f>
        <v/>
      </c>
      <c r="H2010" t="str">
        <f t="shared" si="28"/>
        <v>GUARDIAN</v>
      </c>
    </row>
    <row r="2011" spans="5:8" x14ac:dyDescent="0.25">
      <c r="E2011" t="str">
        <f>"GDF201908201223"</f>
        <v>GDF201908201223</v>
      </c>
      <c r="F2011" t="str">
        <f>"GUARDIAN"</f>
        <v>GUARDIAN</v>
      </c>
      <c r="G2011" s="2">
        <v>100.42</v>
      </c>
      <c r="H2011" t="str">
        <f t="shared" si="28"/>
        <v>GUARDIAN</v>
      </c>
    </row>
    <row r="2012" spans="5:8" x14ac:dyDescent="0.25">
      <c r="E2012" t="str">
        <f>""</f>
        <v/>
      </c>
      <c r="F2012" t="str">
        <f>""</f>
        <v/>
      </c>
      <c r="H2012" t="str">
        <f t="shared" si="28"/>
        <v>GUARDIAN</v>
      </c>
    </row>
    <row r="2013" spans="5:8" x14ac:dyDescent="0.25">
      <c r="E2013" t="str">
        <f>"GDS201908071042"</f>
        <v>GDS201908071042</v>
      </c>
      <c r="F2013" t="str">
        <f>"GUARDIAN"</f>
        <v>GUARDIAN</v>
      </c>
      <c r="G2013" s="2">
        <v>1861.2</v>
      </c>
      <c r="H2013" t="str">
        <f t="shared" si="28"/>
        <v>GUARDIAN</v>
      </c>
    </row>
    <row r="2014" spans="5:8" x14ac:dyDescent="0.25">
      <c r="E2014" t="str">
        <f>""</f>
        <v/>
      </c>
      <c r="F2014" t="str">
        <f>""</f>
        <v/>
      </c>
      <c r="H2014" t="str">
        <f t="shared" si="28"/>
        <v>GUARDIAN</v>
      </c>
    </row>
    <row r="2015" spans="5:8" x14ac:dyDescent="0.25">
      <c r="E2015" t="str">
        <f>""</f>
        <v/>
      </c>
      <c r="F2015" t="str">
        <f>""</f>
        <v/>
      </c>
      <c r="H2015" t="str">
        <f t="shared" si="28"/>
        <v>GUARDIAN</v>
      </c>
    </row>
    <row r="2016" spans="5:8" x14ac:dyDescent="0.25">
      <c r="E2016" t="str">
        <f>""</f>
        <v/>
      </c>
      <c r="F2016" t="str">
        <f>""</f>
        <v/>
      </c>
      <c r="H2016" t="str">
        <f t="shared" si="28"/>
        <v>GUARDIAN</v>
      </c>
    </row>
    <row r="2017" spans="5:8" x14ac:dyDescent="0.25">
      <c r="E2017" t="str">
        <f>""</f>
        <v/>
      </c>
      <c r="F2017" t="str">
        <f>""</f>
        <v/>
      </c>
      <c r="H2017" t="str">
        <f t="shared" si="28"/>
        <v>GUARDIAN</v>
      </c>
    </row>
    <row r="2018" spans="5:8" x14ac:dyDescent="0.25">
      <c r="E2018" t="str">
        <f>""</f>
        <v/>
      </c>
      <c r="F2018" t="str">
        <f>""</f>
        <v/>
      </c>
      <c r="H2018" t="str">
        <f t="shared" si="28"/>
        <v>GUARDIAN</v>
      </c>
    </row>
    <row r="2019" spans="5:8" x14ac:dyDescent="0.25">
      <c r="E2019" t="str">
        <f>""</f>
        <v/>
      </c>
      <c r="F2019" t="str">
        <f>""</f>
        <v/>
      </c>
      <c r="H2019" t="str">
        <f t="shared" si="28"/>
        <v>GUARDIAN</v>
      </c>
    </row>
    <row r="2020" spans="5:8" x14ac:dyDescent="0.25">
      <c r="E2020" t="str">
        <f>""</f>
        <v/>
      </c>
      <c r="F2020" t="str">
        <f>""</f>
        <v/>
      </c>
      <c r="H2020" t="str">
        <f t="shared" si="28"/>
        <v>GUARDIAN</v>
      </c>
    </row>
    <row r="2021" spans="5:8" x14ac:dyDescent="0.25">
      <c r="E2021" t="str">
        <f>""</f>
        <v/>
      </c>
      <c r="F2021" t="str">
        <f>""</f>
        <v/>
      </c>
      <c r="H2021" t="str">
        <f t="shared" si="28"/>
        <v>GUARDIAN</v>
      </c>
    </row>
    <row r="2022" spans="5:8" x14ac:dyDescent="0.25">
      <c r="E2022" t="str">
        <f>""</f>
        <v/>
      </c>
      <c r="F2022" t="str">
        <f>""</f>
        <v/>
      </c>
      <c r="H2022" t="str">
        <f t="shared" si="28"/>
        <v>GUARDIAN</v>
      </c>
    </row>
    <row r="2023" spans="5:8" x14ac:dyDescent="0.25">
      <c r="E2023" t="str">
        <f>""</f>
        <v/>
      </c>
      <c r="F2023" t="str">
        <f>""</f>
        <v/>
      </c>
      <c r="H2023" t="str">
        <f t="shared" si="28"/>
        <v>GUARDIAN</v>
      </c>
    </row>
    <row r="2024" spans="5:8" x14ac:dyDescent="0.25">
      <c r="E2024" t="str">
        <f>""</f>
        <v/>
      </c>
      <c r="F2024" t="str">
        <f>""</f>
        <v/>
      </c>
      <c r="H2024" t="str">
        <f t="shared" si="28"/>
        <v>GUARDIAN</v>
      </c>
    </row>
    <row r="2025" spans="5:8" x14ac:dyDescent="0.25">
      <c r="E2025" t="str">
        <f>""</f>
        <v/>
      </c>
      <c r="F2025" t="str">
        <f>""</f>
        <v/>
      </c>
      <c r="H2025" t="str">
        <f t="shared" si="28"/>
        <v>GUARDIAN</v>
      </c>
    </row>
    <row r="2026" spans="5:8" x14ac:dyDescent="0.25">
      <c r="E2026" t="str">
        <f>""</f>
        <v/>
      </c>
      <c r="F2026" t="str">
        <f>""</f>
        <v/>
      </c>
      <c r="H2026" t="str">
        <f t="shared" si="28"/>
        <v>GUARDIAN</v>
      </c>
    </row>
    <row r="2027" spans="5:8" x14ac:dyDescent="0.25">
      <c r="E2027" t="str">
        <f>""</f>
        <v/>
      </c>
      <c r="F2027" t="str">
        <f>""</f>
        <v/>
      </c>
      <c r="H2027" t="str">
        <f t="shared" si="28"/>
        <v>GUARDIAN</v>
      </c>
    </row>
    <row r="2028" spans="5:8" x14ac:dyDescent="0.25">
      <c r="E2028" t="str">
        <f>""</f>
        <v/>
      </c>
      <c r="F2028" t="str">
        <f>""</f>
        <v/>
      </c>
      <c r="H2028" t="str">
        <f t="shared" si="28"/>
        <v>GUARDIAN</v>
      </c>
    </row>
    <row r="2029" spans="5:8" x14ac:dyDescent="0.25">
      <c r="E2029" t="str">
        <f>""</f>
        <v/>
      </c>
      <c r="F2029" t="str">
        <f>""</f>
        <v/>
      </c>
      <c r="H2029" t="str">
        <f t="shared" si="28"/>
        <v>GUARDIAN</v>
      </c>
    </row>
    <row r="2030" spans="5:8" x14ac:dyDescent="0.25">
      <c r="E2030" t="str">
        <f>""</f>
        <v/>
      </c>
      <c r="F2030" t="str">
        <f>""</f>
        <v/>
      </c>
      <c r="H2030" t="str">
        <f t="shared" si="28"/>
        <v>GUARDIAN</v>
      </c>
    </row>
    <row r="2031" spans="5:8" x14ac:dyDescent="0.25">
      <c r="E2031" t="str">
        <f>""</f>
        <v/>
      </c>
      <c r="F2031" t="str">
        <f>""</f>
        <v/>
      </c>
      <c r="H2031" t="str">
        <f t="shared" si="28"/>
        <v>GUARDIAN</v>
      </c>
    </row>
    <row r="2032" spans="5:8" x14ac:dyDescent="0.25">
      <c r="E2032" t="str">
        <f>""</f>
        <v/>
      </c>
      <c r="F2032" t="str">
        <f>""</f>
        <v/>
      </c>
      <c r="H2032" t="str">
        <f t="shared" si="28"/>
        <v>GUARDIAN</v>
      </c>
    </row>
    <row r="2033" spans="5:8" x14ac:dyDescent="0.25">
      <c r="E2033" t="str">
        <f>""</f>
        <v/>
      </c>
      <c r="F2033" t="str">
        <f>""</f>
        <v/>
      </c>
      <c r="H2033" t="str">
        <f t="shared" si="28"/>
        <v>GUARDIAN</v>
      </c>
    </row>
    <row r="2034" spans="5:8" x14ac:dyDescent="0.25">
      <c r="E2034" t="str">
        <f>""</f>
        <v/>
      </c>
      <c r="F2034" t="str">
        <f>""</f>
        <v/>
      </c>
      <c r="H2034" t="str">
        <f t="shared" si="28"/>
        <v>GUARDIAN</v>
      </c>
    </row>
    <row r="2035" spans="5:8" x14ac:dyDescent="0.25">
      <c r="E2035" t="str">
        <f>""</f>
        <v/>
      </c>
      <c r="F2035" t="str">
        <f>""</f>
        <v/>
      </c>
      <c r="H2035" t="str">
        <f t="shared" si="28"/>
        <v>GUARDIAN</v>
      </c>
    </row>
    <row r="2036" spans="5:8" x14ac:dyDescent="0.25">
      <c r="E2036" t="str">
        <f>""</f>
        <v/>
      </c>
      <c r="F2036" t="str">
        <f>""</f>
        <v/>
      </c>
      <c r="H2036" t="str">
        <f t="shared" si="28"/>
        <v>GUARDIAN</v>
      </c>
    </row>
    <row r="2037" spans="5:8" x14ac:dyDescent="0.25">
      <c r="E2037" t="str">
        <f>""</f>
        <v/>
      </c>
      <c r="F2037" t="str">
        <f>""</f>
        <v/>
      </c>
      <c r="H2037" t="str">
        <f t="shared" si="28"/>
        <v>GUARDIAN</v>
      </c>
    </row>
    <row r="2038" spans="5:8" x14ac:dyDescent="0.25">
      <c r="E2038" t="str">
        <f>"GDS201908201222"</f>
        <v>GDS201908201222</v>
      </c>
      <c r="F2038" t="str">
        <f>"GUARDIAN"</f>
        <v>GUARDIAN</v>
      </c>
      <c r="G2038" s="2">
        <v>1861.2</v>
      </c>
      <c r="H2038" t="str">
        <f t="shared" si="28"/>
        <v>GUARDIAN</v>
      </c>
    </row>
    <row r="2039" spans="5:8" x14ac:dyDescent="0.25">
      <c r="E2039" t="str">
        <f>""</f>
        <v/>
      </c>
      <c r="F2039" t="str">
        <f>""</f>
        <v/>
      </c>
      <c r="H2039" t="str">
        <f t="shared" si="28"/>
        <v>GUARDIAN</v>
      </c>
    </row>
    <row r="2040" spans="5:8" x14ac:dyDescent="0.25">
      <c r="E2040" t="str">
        <f>""</f>
        <v/>
      </c>
      <c r="F2040" t="str">
        <f>""</f>
        <v/>
      </c>
      <c r="H2040" t="str">
        <f t="shared" si="28"/>
        <v>GUARDIAN</v>
      </c>
    </row>
    <row r="2041" spans="5:8" x14ac:dyDescent="0.25">
      <c r="E2041" t="str">
        <f>""</f>
        <v/>
      </c>
      <c r="F2041" t="str">
        <f>""</f>
        <v/>
      </c>
      <c r="H2041" t="str">
        <f t="shared" si="28"/>
        <v>GUARDIAN</v>
      </c>
    </row>
    <row r="2042" spans="5:8" x14ac:dyDescent="0.25">
      <c r="E2042" t="str">
        <f>""</f>
        <v/>
      </c>
      <c r="F2042" t="str">
        <f>""</f>
        <v/>
      </c>
      <c r="H2042" t="str">
        <f t="shared" si="28"/>
        <v>GUARDIAN</v>
      </c>
    </row>
    <row r="2043" spans="5:8" x14ac:dyDescent="0.25">
      <c r="E2043" t="str">
        <f>""</f>
        <v/>
      </c>
      <c r="F2043" t="str">
        <f>""</f>
        <v/>
      </c>
      <c r="H2043" t="str">
        <f t="shared" si="28"/>
        <v>GUARDIAN</v>
      </c>
    </row>
    <row r="2044" spans="5:8" x14ac:dyDescent="0.25">
      <c r="E2044" t="str">
        <f>""</f>
        <v/>
      </c>
      <c r="F2044" t="str">
        <f>""</f>
        <v/>
      </c>
      <c r="H2044" t="str">
        <f t="shared" si="28"/>
        <v>GUARDIAN</v>
      </c>
    </row>
    <row r="2045" spans="5:8" x14ac:dyDescent="0.25">
      <c r="E2045" t="str">
        <f>""</f>
        <v/>
      </c>
      <c r="F2045" t="str">
        <f>""</f>
        <v/>
      </c>
      <c r="H2045" t="str">
        <f t="shared" si="28"/>
        <v>GUARDIAN</v>
      </c>
    </row>
    <row r="2046" spans="5:8" x14ac:dyDescent="0.25">
      <c r="E2046" t="str">
        <f>""</f>
        <v/>
      </c>
      <c r="F2046" t="str">
        <f>""</f>
        <v/>
      </c>
      <c r="H2046" t="str">
        <f t="shared" si="28"/>
        <v>GUARDIAN</v>
      </c>
    </row>
    <row r="2047" spans="5:8" x14ac:dyDescent="0.25">
      <c r="E2047" t="str">
        <f>""</f>
        <v/>
      </c>
      <c r="F2047" t="str">
        <f>""</f>
        <v/>
      </c>
      <c r="H2047" t="str">
        <f t="shared" si="28"/>
        <v>GUARDIAN</v>
      </c>
    </row>
    <row r="2048" spans="5:8" x14ac:dyDescent="0.25">
      <c r="E2048" t="str">
        <f>""</f>
        <v/>
      </c>
      <c r="F2048" t="str">
        <f>""</f>
        <v/>
      </c>
      <c r="H2048" t="str">
        <f t="shared" si="28"/>
        <v>GUARDIAN</v>
      </c>
    </row>
    <row r="2049" spans="5:8" x14ac:dyDescent="0.25">
      <c r="E2049" t="str">
        <f>""</f>
        <v/>
      </c>
      <c r="F2049" t="str">
        <f>""</f>
        <v/>
      </c>
      <c r="H2049" t="str">
        <f t="shared" si="28"/>
        <v>GUARDIAN</v>
      </c>
    </row>
    <row r="2050" spans="5:8" x14ac:dyDescent="0.25">
      <c r="E2050" t="str">
        <f>""</f>
        <v/>
      </c>
      <c r="F2050" t="str">
        <f>""</f>
        <v/>
      </c>
      <c r="H2050" t="str">
        <f t="shared" si="28"/>
        <v>GUARDIAN</v>
      </c>
    </row>
    <row r="2051" spans="5:8" x14ac:dyDescent="0.25">
      <c r="E2051" t="str">
        <f>""</f>
        <v/>
      </c>
      <c r="F2051" t="str">
        <f>""</f>
        <v/>
      </c>
      <c r="H2051" t="str">
        <f t="shared" si="28"/>
        <v>GUARDIAN</v>
      </c>
    </row>
    <row r="2052" spans="5:8" x14ac:dyDescent="0.25">
      <c r="E2052" t="str">
        <f>""</f>
        <v/>
      </c>
      <c r="F2052" t="str">
        <f>""</f>
        <v/>
      </c>
      <c r="H2052" t="str">
        <f t="shared" si="28"/>
        <v>GUARDIAN</v>
      </c>
    </row>
    <row r="2053" spans="5:8" x14ac:dyDescent="0.25">
      <c r="E2053" t="str">
        <f>""</f>
        <v/>
      </c>
      <c r="F2053" t="str">
        <f>""</f>
        <v/>
      </c>
      <c r="H2053" t="str">
        <f t="shared" si="28"/>
        <v>GUARDIAN</v>
      </c>
    </row>
    <row r="2054" spans="5:8" x14ac:dyDescent="0.25">
      <c r="E2054" t="str">
        <f>""</f>
        <v/>
      </c>
      <c r="F2054" t="str">
        <f>""</f>
        <v/>
      </c>
      <c r="H2054" t="str">
        <f t="shared" si="28"/>
        <v>GUARDIAN</v>
      </c>
    </row>
    <row r="2055" spans="5:8" x14ac:dyDescent="0.25">
      <c r="E2055" t="str">
        <f>""</f>
        <v/>
      </c>
      <c r="F2055" t="str">
        <f>""</f>
        <v/>
      </c>
      <c r="H2055" t="str">
        <f t="shared" si="28"/>
        <v>GUARDIAN</v>
      </c>
    </row>
    <row r="2056" spans="5:8" x14ac:dyDescent="0.25">
      <c r="E2056" t="str">
        <f>""</f>
        <v/>
      </c>
      <c r="F2056" t="str">
        <f>""</f>
        <v/>
      </c>
      <c r="H2056" t="str">
        <f t="shared" si="28"/>
        <v>GUARDIAN</v>
      </c>
    </row>
    <row r="2057" spans="5:8" x14ac:dyDescent="0.25">
      <c r="E2057" t="str">
        <f>""</f>
        <v/>
      </c>
      <c r="F2057" t="str">
        <f>""</f>
        <v/>
      </c>
      <c r="H2057" t="str">
        <f t="shared" si="28"/>
        <v>GUARDIAN</v>
      </c>
    </row>
    <row r="2058" spans="5:8" x14ac:dyDescent="0.25">
      <c r="E2058" t="str">
        <f>""</f>
        <v/>
      </c>
      <c r="F2058" t="str">
        <f>""</f>
        <v/>
      </c>
      <c r="H2058" t="str">
        <f t="shared" si="28"/>
        <v>GUARDIAN</v>
      </c>
    </row>
    <row r="2059" spans="5:8" x14ac:dyDescent="0.25">
      <c r="E2059" t="str">
        <f>""</f>
        <v/>
      </c>
      <c r="F2059" t="str">
        <f>""</f>
        <v/>
      </c>
      <c r="H2059" t="str">
        <f t="shared" si="28"/>
        <v>GUARDIAN</v>
      </c>
    </row>
    <row r="2060" spans="5:8" x14ac:dyDescent="0.25">
      <c r="E2060" t="str">
        <f>""</f>
        <v/>
      </c>
      <c r="F2060" t="str">
        <f>""</f>
        <v/>
      </c>
      <c r="H2060" t="str">
        <f t="shared" si="28"/>
        <v>GUARDIAN</v>
      </c>
    </row>
    <row r="2061" spans="5:8" x14ac:dyDescent="0.25">
      <c r="E2061" t="str">
        <f>""</f>
        <v/>
      </c>
      <c r="F2061" t="str">
        <f>""</f>
        <v/>
      </c>
      <c r="H2061" t="str">
        <f t="shared" si="28"/>
        <v>GUARDIAN</v>
      </c>
    </row>
    <row r="2062" spans="5:8" x14ac:dyDescent="0.25">
      <c r="E2062" t="str">
        <f>""</f>
        <v/>
      </c>
      <c r="F2062" t="str">
        <f>""</f>
        <v/>
      </c>
      <c r="H2062" t="str">
        <f t="shared" si="28"/>
        <v>GUARDIAN</v>
      </c>
    </row>
    <row r="2063" spans="5:8" x14ac:dyDescent="0.25">
      <c r="E2063" t="str">
        <f>"GV1201908071042"</f>
        <v>GV1201908071042</v>
      </c>
      <c r="F2063" t="str">
        <f>"GUARDIAN VISION"</f>
        <v>GUARDIAN VISION</v>
      </c>
      <c r="G2063" s="2">
        <v>392</v>
      </c>
      <c r="H2063" t="str">
        <f>"GUARDIAN VISION"</f>
        <v>GUARDIAN VISION</v>
      </c>
    </row>
    <row r="2064" spans="5:8" x14ac:dyDescent="0.25">
      <c r="E2064" t="str">
        <f>"GV1201908201222"</f>
        <v>GV1201908201222</v>
      </c>
      <c r="F2064" t="str">
        <f>"GUARDIAN VISION"</f>
        <v>GUARDIAN VISION</v>
      </c>
      <c r="G2064" s="2">
        <v>380.8</v>
      </c>
      <c r="H2064" t="str">
        <f>"GUARDIAN VISION"</f>
        <v>GUARDIAN VISION</v>
      </c>
    </row>
    <row r="2065" spans="5:8" x14ac:dyDescent="0.25">
      <c r="E2065" t="str">
        <f>"GVE201908071042"</f>
        <v>GVE201908071042</v>
      </c>
      <c r="F2065" t="str">
        <f>"GUARDIAN VISION VENDOR"</f>
        <v>GUARDIAN VISION VENDOR</v>
      </c>
      <c r="G2065" s="2">
        <v>586.71</v>
      </c>
      <c r="H2065" t="str">
        <f>"GUARDIAN VISION VENDOR"</f>
        <v>GUARDIAN VISION VENDOR</v>
      </c>
    </row>
    <row r="2066" spans="5:8" x14ac:dyDescent="0.25">
      <c r="E2066" t="str">
        <f>"GVE201908071043"</f>
        <v>GVE201908071043</v>
      </c>
      <c r="F2066" t="str">
        <f>"GUARDIAN VISION VENDOR"</f>
        <v>GUARDIAN VISION VENDOR</v>
      </c>
      <c r="G2066" s="2">
        <v>25.83</v>
      </c>
      <c r="H2066" t="str">
        <f>"GUARDIAN VISION VENDOR"</f>
        <v>GUARDIAN VISION VENDOR</v>
      </c>
    </row>
    <row r="2067" spans="5:8" x14ac:dyDescent="0.25">
      <c r="E2067" t="str">
        <f>"GVE201908201222"</f>
        <v>GVE201908201222</v>
      </c>
      <c r="F2067" t="str">
        <f>"GUARDIAN VISION VENDOR"</f>
        <v>GUARDIAN VISION VENDOR</v>
      </c>
      <c r="G2067" s="2">
        <v>579.33000000000004</v>
      </c>
      <c r="H2067" t="str">
        <f>"GUARDIAN VISION VENDOR"</f>
        <v>GUARDIAN VISION VENDOR</v>
      </c>
    </row>
    <row r="2068" spans="5:8" x14ac:dyDescent="0.25">
      <c r="E2068" t="str">
        <f>"GVE201908201223"</f>
        <v>GVE201908201223</v>
      </c>
      <c r="F2068" t="str">
        <f>"GUARDIAN VISION VENDOR"</f>
        <v>GUARDIAN VISION VENDOR</v>
      </c>
      <c r="G2068" s="2">
        <v>25.83</v>
      </c>
      <c r="H2068" t="str">
        <f>"GUARDIAN VISION VENDOR"</f>
        <v>GUARDIAN VISION VENDOR</v>
      </c>
    </row>
    <row r="2069" spans="5:8" x14ac:dyDescent="0.25">
      <c r="E2069" t="str">
        <f>"GVF201908071042"</f>
        <v>GVF201908071042</v>
      </c>
      <c r="F2069" t="str">
        <f>"GUARDIAN VISION"</f>
        <v>GUARDIAN VISION</v>
      </c>
      <c r="G2069" s="2">
        <v>551.6</v>
      </c>
      <c r="H2069" t="str">
        <f>"GUARDIAN VISION"</f>
        <v>GUARDIAN VISION</v>
      </c>
    </row>
    <row r="2070" spans="5:8" x14ac:dyDescent="0.25">
      <c r="E2070" t="str">
        <f>"GVF201908071043"</f>
        <v>GVF201908071043</v>
      </c>
      <c r="F2070" t="str">
        <f>"GUARDIAN VISION VENDOR"</f>
        <v>GUARDIAN VISION VENDOR</v>
      </c>
      <c r="G2070" s="2">
        <v>29.55</v>
      </c>
      <c r="H2070" t="str">
        <f>"GUARDIAN VISION VENDOR"</f>
        <v>GUARDIAN VISION VENDOR</v>
      </c>
    </row>
    <row r="2071" spans="5:8" x14ac:dyDescent="0.25">
      <c r="E2071" t="str">
        <f>"GVF201908201222"</f>
        <v>GVF201908201222</v>
      </c>
      <c r="F2071" t="str">
        <f>"GUARDIAN VISION"</f>
        <v>GUARDIAN VISION</v>
      </c>
      <c r="G2071" s="2">
        <v>561.45000000000005</v>
      </c>
      <c r="H2071" t="str">
        <f>"GUARDIAN VISION"</f>
        <v>GUARDIAN VISION</v>
      </c>
    </row>
    <row r="2072" spans="5:8" x14ac:dyDescent="0.25">
      <c r="E2072" t="str">
        <f>"GVF201908201223"</f>
        <v>GVF201908201223</v>
      </c>
      <c r="F2072" t="str">
        <f>"GUARDIAN VISION VENDOR"</f>
        <v>GUARDIAN VISION VENDOR</v>
      </c>
      <c r="G2072" s="2">
        <v>29.55</v>
      </c>
      <c r="H2072" t="str">
        <f>"GUARDIAN VISION VENDOR"</f>
        <v>GUARDIAN VISION VENDOR</v>
      </c>
    </row>
    <row r="2073" spans="5:8" x14ac:dyDescent="0.25">
      <c r="E2073" t="str">
        <f>"LIA201908071042"</f>
        <v>LIA201908071042</v>
      </c>
      <c r="F2073" t="str">
        <f>"GUARDIAN"</f>
        <v>GUARDIAN</v>
      </c>
      <c r="G2073" s="2">
        <v>202.87</v>
      </c>
      <c r="H2073" t="str">
        <f t="shared" ref="H2073:H2104" si="29">"GUARDIAN"</f>
        <v>GUARDIAN</v>
      </c>
    </row>
    <row r="2074" spans="5:8" x14ac:dyDescent="0.25">
      <c r="E2074" t="str">
        <f>""</f>
        <v/>
      </c>
      <c r="F2074" t="str">
        <f>""</f>
        <v/>
      </c>
      <c r="H2074" t="str">
        <f t="shared" si="29"/>
        <v>GUARDIAN</v>
      </c>
    </row>
    <row r="2075" spans="5:8" x14ac:dyDescent="0.25">
      <c r="E2075" t="str">
        <f>""</f>
        <v/>
      </c>
      <c r="F2075" t="str">
        <f>""</f>
        <v/>
      </c>
      <c r="H2075" t="str">
        <f t="shared" si="29"/>
        <v>GUARDIAN</v>
      </c>
    </row>
    <row r="2076" spans="5:8" x14ac:dyDescent="0.25">
      <c r="E2076" t="str">
        <f>""</f>
        <v/>
      </c>
      <c r="F2076" t="str">
        <f>""</f>
        <v/>
      </c>
      <c r="H2076" t="str">
        <f t="shared" si="29"/>
        <v>GUARDIAN</v>
      </c>
    </row>
    <row r="2077" spans="5:8" x14ac:dyDescent="0.25">
      <c r="E2077" t="str">
        <f>""</f>
        <v/>
      </c>
      <c r="F2077" t="str">
        <f>""</f>
        <v/>
      </c>
      <c r="H2077" t="str">
        <f t="shared" si="29"/>
        <v>GUARDIAN</v>
      </c>
    </row>
    <row r="2078" spans="5:8" x14ac:dyDescent="0.25">
      <c r="E2078" t="str">
        <f>""</f>
        <v/>
      </c>
      <c r="F2078" t="str">
        <f>""</f>
        <v/>
      </c>
      <c r="H2078" t="str">
        <f t="shared" si="29"/>
        <v>GUARDIAN</v>
      </c>
    </row>
    <row r="2079" spans="5:8" x14ac:dyDescent="0.25">
      <c r="E2079" t="str">
        <f>""</f>
        <v/>
      </c>
      <c r="F2079" t="str">
        <f>""</f>
        <v/>
      </c>
      <c r="H2079" t="str">
        <f t="shared" si="29"/>
        <v>GUARDIAN</v>
      </c>
    </row>
    <row r="2080" spans="5:8" x14ac:dyDescent="0.25">
      <c r="E2080" t="str">
        <f>""</f>
        <v/>
      </c>
      <c r="F2080" t="str">
        <f>""</f>
        <v/>
      </c>
      <c r="H2080" t="str">
        <f t="shared" si="29"/>
        <v>GUARDIAN</v>
      </c>
    </row>
    <row r="2081" spans="5:8" x14ac:dyDescent="0.25">
      <c r="E2081" t="str">
        <f>""</f>
        <v/>
      </c>
      <c r="F2081" t="str">
        <f>""</f>
        <v/>
      </c>
      <c r="H2081" t="str">
        <f t="shared" si="29"/>
        <v>GUARDIAN</v>
      </c>
    </row>
    <row r="2082" spans="5:8" x14ac:dyDescent="0.25">
      <c r="E2082" t="str">
        <f>""</f>
        <v/>
      </c>
      <c r="F2082" t="str">
        <f>""</f>
        <v/>
      </c>
      <c r="H2082" t="str">
        <f t="shared" si="29"/>
        <v>GUARDIAN</v>
      </c>
    </row>
    <row r="2083" spans="5:8" x14ac:dyDescent="0.25">
      <c r="E2083" t="str">
        <f>""</f>
        <v/>
      </c>
      <c r="F2083" t="str">
        <f>""</f>
        <v/>
      </c>
      <c r="H2083" t="str">
        <f t="shared" si="29"/>
        <v>GUARDIAN</v>
      </c>
    </row>
    <row r="2084" spans="5:8" x14ac:dyDescent="0.25">
      <c r="E2084" t="str">
        <f>""</f>
        <v/>
      </c>
      <c r="F2084" t="str">
        <f>""</f>
        <v/>
      </c>
      <c r="H2084" t="str">
        <f t="shared" si="29"/>
        <v>GUARDIAN</v>
      </c>
    </row>
    <row r="2085" spans="5:8" x14ac:dyDescent="0.25">
      <c r="E2085" t="str">
        <f>""</f>
        <v/>
      </c>
      <c r="F2085" t="str">
        <f>""</f>
        <v/>
      </c>
      <c r="H2085" t="str">
        <f t="shared" si="29"/>
        <v>GUARDIAN</v>
      </c>
    </row>
    <row r="2086" spans="5:8" x14ac:dyDescent="0.25">
      <c r="E2086" t="str">
        <f>""</f>
        <v/>
      </c>
      <c r="F2086" t="str">
        <f>""</f>
        <v/>
      </c>
      <c r="H2086" t="str">
        <f t="shared" si="29"/>
        <v>GUARDIAN</v>
      </c>
    </row>
    <row r="2087" spans="5:8" x14ac:dyDescent="0.25">
      <c r="E2087" t="str">
        <f>""</f>
        <v/>
      </c>
      <c r="F2087" t="str">
        <f>""</f>
        <v/>
      </c>
      <c r="H2087" t="str">
        <f t="shared" si="29"/>
        <v>GUARDIAN</v>
      </c>
    </row>
    <row r="2088" spans="5:8" x14ac:dyDescent="0.25">
      <c r="E2088" t="str">
        <f>""</f>
        <v/>
      </c>
      <c r="F2088" t="str">
        <f>""</f>
        <v/>
      </c>
      <c r="H2088" t="str">
        <f t="shared" si="29"/>
        <v>GUARDIAN</v>
      </c>
    </row>
    <row r="2089" spans="5:8" x14ac:dyDescent="0.25">
      <c r="E2089" t="str">
        <f>""</f>
        <v/>
      </c>
      <c r="F2089" t="str">
        <f>""</f>
        <v/>
      </c>
      <c r="H2089" t="str">
        <f t="shared" si="29"/>
        <v>GUARDIAN</v>
      </c>
    </row>
    <row r="2090" spans="5:8" x14ac:dyDescent="0.25">
      <c r="E2090" t="str">
        <f>""</f>
        <v/>
      </c>
      <c r="F2090" t="str">
        <f>""</f>
        <v/>
      </c>
      <c r="H2090" t="str">
        <f t="shared" si="29"/>
        <v>GUARDIAN</v>
      </c>
    </row>
    <row r="2091" spans="5:8" x14ac:dyDescent="0.25">
      <c r="E2091" t="str">
        <f>""</f>
        <v/>
      </c>
      <c r="F2091" t="str">
        <f>""</f>
        <v/>
      </c>
      <c r="H2091" t="str">
        <f t="shared" si="29"/>
        <v>GUARDIAN</v>
      </c>
    </row>
    <row r="2092" spans="5:8" x14ac:dyDescent="0.25">
      <c r="E2092" t="str">
        <f>""</f>
        <v/>
      </c>
      <c r="F2092" t="str">
        <f>""</f>
        <v/>
      </c>
      <c r="H2092" t="str">
        <f t="shared" si="29"/>
        <v>GUARDIAN</v>
      </c>
    </row>
    <row r="2093" spans="5:8" x14ac:dyDescent="0.25">
      <c r="E2093" t="str">
        <f>""</f>
        <v/>
      </c>
      <c r="F2093" t="str">
        <f>""</f>
        <v/>
      </c>
      <c r="H2093" t="str">
        <f t="shared" si="29"/>
        <v>GUARDIAN</v>
      </c>
    </row>
    <row r="2094" spans="5:8" x14ac:dyDescent="0.25">
      <c r="E2094" t="str">
        <f>""</f>
        <v/>
      </c>
      <c r="F2094" t="str">
        <f>""</f>
        <v/>
      </c>
      <c r="H2094" t="str">
        <f t="shared" si="29"/>
        <v>GUARDIAN</v>
      </c>
    </row>
    <row r="2095" spans="5:8" x14ac:dyDescent="0.25">
      <c r="E2095" t="str">
        <f>""</f>
        <v/>
      </c>
      <c r="F2095" t="str">
        <f>""</f>
        <v/>
      </c>
      <c r="H2095" t="str">
        <f t="shared" si="29"/>
        <v>GUARDIAN</v>
      </c>
    </row>
    <row r="2096" spans="5:8" x14ac:dyDescent="0.25">
      <c r="E2096" t="str">
        <f>"LIA201908071043"</f>
        <v>LIA201908071043</v>
      </c>
      <c r="F2096" t="str">
        <f>"GUARDIAN"</f>
        <v>GUARDIAN</v>
      </c>
      <c r="G2096" s="2">
        <v>40.799999999999997</v>
      </c>
      <c r="H2096" t="str">
        <f t="shared" si="29"/>
        <v>GUARDIAN</v>
      </c>
    </row>
    <row r="2097" spans="5:8" x14ac:dyDescent="0.25">
      <c r="E2097" t="str">
        <f>""</f>
        <v/>
      </c>
      <c r="F2097" t="str">
        <f>""</f>
        <v/>
      </c>
      <c r="H2097" t="str">
        <f t="shared" si="29"/>
        <v>GUARDIAN</v>
      </c>
    </row>
    <row r="2098" spans="5:8" x14ac:dyDescent="0.25">
      <c r="E2098" t="str">
        <f>"LIA201908201222"</f>
        <v>LIA201908201222</v>
      </c>
      <c r="F2098" t="str">
        <f>"GUARDIAN"</f>
        <v>GUARDIAN</v>
      </c>
      <c r="G2098" s="2">
        <v>201.39</v>
      </c>
      <c r="H2098" t="str">
        <f t="shared" si="29"/>
        <v>GUARDIAN</v>
      </c>
    </row>
    <row r="2099" spans="5:8" x14ac:dyDescent="0.25">
      <c r="E2099" t="str">
        <f>""</f>
        <v/>
      </c>
      <c r="F2099" t="str">
        <f>""</f>
        <v/>
      </c>
      <c r="H2099" t="str">
        <f t="shared" si="29"/>
        <v>GUARDIAN</v>
      </c>
    </row>
    <row r="2100" spans="5:8" x14ac:dyDescent="0.25">
      <c r="E2100" t="str">
        <f>""</f>
        <v/>
      </c>
      <c r="F2100" t="str">
        <f>""</f>
        <v/>
      </c>
      <c r="H2100" t="str">
        <f t="shared" si="29"/>
        <v>GUARDIAN</v>
      </c>
    </row>
    <row r="2101" spans="5:8" x14ac:dyDescent="0.25">
      <c r="E2101" t="str">
        <f>""</f>
        <v/>
      </c>
      <c r="F2101" t="str">
        <f>""</f>
        <v/>
      </c>
      <c r="H2101" t="str">
        <f t="shared" si="29"/>
        <v>GUARDIAN</v>
      </c>
    </row>
    <row r="2102" spans="5:8" x14ac:dyDescent="0.25">
      <c r="E2102" t="str">
        <f>""</f>
        <v/>
      </c>
      <c r="F2102" t="str">
        <f>""</f>
        <v/>
      </c>
      <c r="H2102" t="str">
        <f t="shared" si="29"/>
        <v>GUARDIAN</v>
      </c>
    </row>
    <row r="2103" spans="5:8" x14ac:dyDescent="0.25">
      <c r="E2103" t="str">
        <f>""</f>
        <v/>
      </c>
      <c r="F2103" t="str">
        <f>""</f>
        <v/>
      </c>
      <c r="H2103" t="str">
        <f t="shared" si="29"/>
        <v>GUARDIAN</v>
      </c>
    </row>
    <row r="2104" spans="5:8" x14ac:dyDescent="0.25">
      <c r="E2104" t="str">
        <f>""</f>
        <v/>
      </c>
      <c r="F2104" t="str">
        <f>""</f>
        <v/>
      </c>
      <c r="H2104" t="str">
        <f t="shared" si="29"/>
        <v>GUARDIAN</v>
      </c>
    </row>
    <row r="2105" spans="5:8" x14ac:dyDescent="0.25">
      <c r="E2105" t="str">
        <f>""</f>
        <v/>
      </c>
      <c r="F2105" t="str">
        <f>""</f>
        <v/>
      </c>
      <c r="H2105" t="str">
        <f t="shared" ref="H2105:H2136" si="30">"GUARDIAN"</f>
        <v>GUARDIAN</v>
      </c>
    </row>
    <row r="2106" spans="5:8" x14ac:dyDescent="0.25">
      <c r="E2106" t="str">
        <f>""</f>
        <v/>
      </c>
      <c r="F2106" t="str">
        <f>""</f>
        <v/>
      </c>
      <c r="H2106" t="str">
        <f t="shared" si="30"/>
        <v>GUARDIAN</v>
      </c>
    </row>
    <row r="2107" spans="5:8" x14ac:dyDescent="0.25">
      <c r="E2107" t="str">
        <f>""</f>
        <v/>
      </c>
      <c r="F2107" t="str">
        <f>""</f>
        <v/>
      </c>
      <c r="H2107" t="str">
        <f t="shared" si="30"/>
        <v>GUARDIAN</v>
      </c>
    </row>
    <row r="2108" spans="5:8" x14ac:dyDescent="0.25">
      <c r="E2108" t="str">
        <f>""</f>
        <v/>
      </c>
      <c r="F2108" t="str">
        <f>""</f>
        <v/>
      </c>
      <c r="H2108" t="str">
        <f t="shared" si="30"/>
        <v>GUARDIAN</v>
      </c>
    </row>
    <row r="2109" spans="5:8" x14ac:dyDescent="0.25">
      <c r="E2109" t="str">
        <f>""</f>
        <v/>
      </c>
      <c r="F2109" t="str">
        <f>""</f>
        <v/>
      </c>
      <c r="H2109" t="str">
        <f t="shared" si="30"/>
        <v>GUARDIAN</v>
      </c>
    </row>
    <row r="2110" spans="5:8" x14ac:dyDescent="0.25">
      <c r="E2110" t="str">
        <f>""</f>
        <v/>
      </c>
      <c r="F2110" t="str">
        <f>""</f>
        <v/>
      </c>
      <c r="H2110" t="str">
        <f t="shared" si="30"/>
        <v>GUARDIAN</v>
      </c>
    </row>
    <row r="2111" spans="5:8" x14ac:dyDescent="0.25">
      <c r="E2111" t="str">
        <f>""</f>
        <v/>
      </c>
      <c r="F2111" t="str">
        <f>""</f>
        <v/>
      </c>
      <c r="H2111" t="str">
        <f t="shared" si="30"/>
        <v>GUARDIAN</v>
      </c>
    </row>
    <row r="2112" spans="5:8" x14ac:dyDescent="0.25">
      <c r="E2112" t="str">
        <f>""</f>
        <v/>
      </c>
      <c r="F2112" t="str">
        <f>""</f>
        <v/>
      </c>
      <c r="H2112" t="str">
        <f t="shared" si="30"/>
        <v>GUARDIAN</v>
      </c>
    </row>
    <row r="2113" spans="5:8" x14ac:dyDescent="0.25">
      <c r="E2113" t="str">
        <f>""</f>
        <v/>
      </c>
      <c r="F2113" t="str">
        <f>""</f>
        <v/>
      </c>
      <c r="H2113" t="str">
        <f t="shared" si="30"/>
        <v>GUARDIAN</v>
      </c>
    </row>
    <row r="2114" spans="5:8" x14ac:dyDescent="0.25">
      <c r="E2114" t="str">
        <f>""</f>
        <v/>
      </c>
      <c r="F2114" t="str">
        <f>""</f>
        <v/>
      </c>
      <c r="H2114" t="str">
        <f t="shared" si="30"/>
        <v>GUARDIAN</v>
      </c>
    </row>
    <row r="2115" spans="5:8" x14ac:dyDescent="0.25">
      <c r="E2115" t="str">
        <f>""</f>
        <v/>
      </c>
      <c r="F2115" t="str">
        <f>""</f>
        <v/>
      </c>
      <c r="H2115" t="str">
        <f t="shared" si="30"/>
        <v>GUARDIAN</v>
      </c>
    </row>
    <row r="2116" spans="5:8" x14ac:dyDescent="0.25">
      <c r="E2116" t="str">
        <f>""</f>
        <v/>
      </c>
      <c r="F2116" t="str">
        <f>""</f>
        <v/>
      </c>
      <c r="H2116" t="str">
        <f t="shared" si="30"/>
        <v>GUARDIAN</v>
      </c>
    </row>
    <row r="2117" spans="5:8" x14ac:dyDescent="0.25">
      <c r="E2117" t="str">
        <f>""</f>
        <v/>
      </c>
      <c r="F2117" t="str">
        <f>""</f>
        <v/>
      </c>
      <c r="H2117" t="str">
        <f t="shared" si="30"/>
        <v>GUARDIAN</v>
      </c>
    </row>
    <row r="2118" spans="5:8" x14ac:dyDescent="0.25">
      <c r="E2118" t="str">
        <f>""</f>
        <v/>
      </c>
      <c r="F2118" t="str">
        <f>""</f>
        <v/>
      </c>
      <c r="H2118" t="str">
        <f t="shared" si="30"/>
        <v>GUARDIAN</v>
      </c>
    </row>
    <row r="2119" spans="5:8" x14ac:dyDescent="0.25">
      <c r="E2119" t="str">
        <f>""</f>
        <v/>
      </c>
      <c r="F2119" t="str">
        <f>""</f>
        <v/>
      </c>
      <c r="H2119" t="str">
        <f t="shared" si="30"/>
        <v>GUARDIAN</v>
      </c>
    </row>
    <row r="2120" spans="5:8" x14ac:dyDescent="0.25">
      <c r="E2120" t="str">
        <f>"LIA201908201223"</f>
        <v>LIA201908201223</v>
      </c>
      <c r="F2120" t="str">
        <f>"GUARDIAN"</f>
        <v>GUARDIAN</v>
      </c>
      <c r="G2120" s="2">
        <v>40.799999999999997</v>
      </c>
      <c r="H2120" t="str">
        <f t="shared" si="30"/>
        <v>GUARDIAN</v>
      </c>
    </row>
    <row r="2121" spans="5:8" x14ac:dyDescent="0.25">
      <c r="E2121" t="str">
        <f>""</f>
        <v/>
      </c>
      <c r="F2121" t="str">
        <f>""</f>
        <v/>
      </c>
      <c r="H2121" t="str">
        <f t="shared" si="30"/>
        <v>GUARDIAN</v>
      </c>
    </row>
    <row r="2122" spans="5:8" x14ac:dyDescent="0.25">
      <c r="E2122" t="str">
        <f>"LIC201908071042"</f>
        <v>LIC201908071042</v>
      </c>
      <c r="F2122" t="str">
        <f>"GUARDIAN"</f>
        <v>GUARDIAN</v>
      </c>
      <c r="G2122" s="2">
        <v>31.66</v>
      </c>
      <c r="H2122" t="str">
        <f t="shared" si="30"/>
        <v>GUARDIAN</v>
      </c>
    </row>
    <row r="2123" spans="5:8" x14ac:dyDescent="0.25">
      <c r="E2123" t="str">
        <f>"LIC201908071043"</f>
        <v>LIC201908071043</v>
      </c>
      <c r="F2123" t="str">
        <f>"GUARDIAN"</f>
        <v>GUARDIAN</v>
      </c>
      <c r="G2123" s="2">
        <v>1.05</v>
      </c>
      <c r="H2123" t="str">
        <f t="shared" si="30"/>
        <v>GUARDIAN</v>
      </c>
    </row>
    <row r="2124" spans="5:8" x14ac:dyDescent="0.25">
      <c r="E2124" t="str">
        <f>"LIC201908201222"</f>
        <v>LIC201908201222</v>
      </c>
      <c r="F2124" t="str">
        <f>"GUARDIAN"</f>
        <v>GUARDIAN</v>
      </c>
      <c r="G2124" s="2">
        <v>31.66</v>
      </c>
      <c r="H2124" t="str">
        <f t="shared" si="30"/>
        <v>GUARDIAN</v>
      </c>
    </row>
    <row r="2125" spans="5:8" x14ac:dyDescent="0.25">
      <c r="E2125" t="str">
        <f>"LIC201908201223"</f>
        <v>LIC201908201223</v>
      </c>
      <c r="F2125" t="str">
        <f>"GUARDIAN"</f>
        <v>GUARDIAN</v>
      </c>
      <c r="G2125" s="2">
        <v>1.05</v>
      </c>
      <c r="H2125" t="str">
        <f t="shared" si="30"/>
        <v>GUARDIAN</v>
      </c>
    </row>
    <row r="2126" spans="5:8" x14ac:dyDescent="0.25">
      <c r="E2126" t="str">
        <f>"LIE201908071042"</f>
        <v>LIE201908071042</v>
      </c>
      <c r="F2126" t="str">
        <f>"GUARDIAN"</f>
        <v>GUARDIAN</v>
      </c>
      <c r="G2126" s="2">
        <v>3397.55</v>
      </c>
      <c r="H2126" t="str">
        <f t="shared" si="30"/>
        <v>GUARDIAN</v>
      </c>
    </row>
    <row r="2127" spans="5:8" x14ac:dyDescent="0.25">
      <c r="E2127" t="str">
        <f>""</f>
        <v/>
      </c>
      <c r="F2127" t="str">
        <f>""</f>
        <v/>
      </c>
      <c r="H2127" t="str">
        <f t="shared" si="30"/>
        <v>GUARDIAN</v>
      </c>
    </row>
    <row r="2128" spans="5:8" x14ac:dyDescent="0.25">
      <c r="E2128" t="str">
        <f>""</f>
        <v/>
      </c>
      <c r="F2128" t="str">
        <f>""</f>
        <v/>
      </c>
      <c r="H2128" t="str">
        <f t="shared" si="30"/>
        <v>GUARDIAN</v>
      </c>
    </row>
    <row r="2129" spans="5:8" x14ac:dyDescent="0.25">
      <c r="E2129" t="str">
        <f>""</f>
        <v/>
      </c>
      <c r="F2129" t="str">
        <f>""</f>
        <v/>
      </c>
      <c r="H2129" t="str">
        <f t="shared" si="30"/>
        <v>GUARDIAN</v>
      </c>
    </row>
    <row r="2130" spans="5:8" x14ac:dyDescent="0.25">
      <c r="E2130" t="str">
        <f>""</f>
        <v/>
      </c>
      <c r="F2130" t="str">
        <f>""</f>
        <v/>
      </c>
      <c r="H2130" t="str">
        <f t="shared" si="30"/>
        <v>GUARDIAN</v>
      </c>
    </row>
    <row r="2131" spans="5:8" x14ac:dyDescent="0.25">
      <c r="E2131" t="str">
        <f>""</f>
        <v/>
      </c>
      <c r="F2131" t="str">
        <f>""</f>
        <v/>
      </c>
      <c r="H2131" t="str">
        <f t="shared" si="30"/>
        <v>GUARDIAN</v>
      </c>
    </row>
    <row r="2132" spans="5:8" x14ac:dyDescent="0.25">
      <c r="E2132" t="str">
        <f>""</f>
        <v/>
      </c>
      <c r="F2132" t="str">
        <f>""</f>
        <v/>
      </c>
      <c r="H2132" t="str">
        <f t="shared" si="30"/>
        <v>GUARDIAN</v>
      </c>
    </row>
    <row r="2133" spans="5:8" x14ac:dyDescent="0.25">
      <c r="E2133" t="str">
        <f>""</f>
        <v/>
      </c>
      <c r="F2133" t="str">
        <f>""</f>
        <v/>
      </c>
      <c r="H2133" t="str">
        <f t="shared" si="30"/>
        <v>GUARDIAN</v>
      </c>
    </row>
    <row r="2134" spans="5:8" x14ac:dyDescent="0.25">
      <c r="E2134" t="str">
        <f>""</f>
        <v/>
      </c>
      <c r="F2134" t="str">
        <f>""</f>
        <v/>
      </c>
      <c r="H2134" t="str">
        <f t="shared" si="30"/>
        <v>GUARDIAN</v>
      </c>
    </row>
    <row r="2135" spans="5:8" x14ac:dyDescent="0.25">
      <c r="E2135" t="str">
        <f>""</f>
        <v/>
      </c>
      <c r="F2135" t="str">
        <f>""</f>
        <v/>
      </c>
      <c r="H2135" t="str">
        <f t="shared" si="30"/>
        <v>GUARDIAN</v>
      </c>
    </row>
    <row r="2136" spans="5:8" x14ac:dyDescent="0.25">
      <c r="E2136" t="str">
        <f>""</f>
        <v/>
      </c>
      <c r="F2136" t="str">
        <f>""</f>
        <v/>
      </c>
      <c r="H2136" t="str">
        <f t="shared" si="30"/>
        <v>GUARDIAN</v>
      </c>
    </row>
    <row r="2137" spans="5:8" x14ac:dyDescent="0.25">
      <c r="E2137" t="str">
        <f>""</f>
        <v/>
      </c>
      <c r="F2137" t="str">
        <f>""</f>
        <v/>
      </c>
      <c r="H2137" t="str">
        <f t="shared" ref="H2137:H2168" si="31">"GUARDIAN"</f>
        <v>GUARDIAN</v>
      </c>
    </row>
    <row r="2138" spans="5:8" x14ac:dyDescent="0.25">
      <c r="E2138" t="str">
        <f>""</f>
        <v/>
      </c>
      <c r="F2138" t="str">
        <f>""</f>
        <v/>
      </c>
      <c r="H2138" t="str">
        <f t="shared" si="31"/>
        <v>GUARDIAN</v>
      </c>
    </row>
    <row r="2139" spans="5:8" x14ac:dyDescent="0.25">
      <c r="E2139" t="str">
        <f>""</f>
        <v/>
      </c>
      <c r="F2139" t="str">
        <f>""</f>
        <v/>
      </c>
      <c r="H2139" t="str">
        <f t="shared" si="31"/>
        <v>GUARDIAN</v>
      </c>
    </row>
    <row r="2140" spans="5:8" x14ac:dyDescent="0.25">
      <c r="E2140" t="str">
        <f>""</f>
        <v/>
      </c>
      <c r="F2140" t="str">
        <f>""</f>
        <v/>
      </c>
      <c r="H2140" t="str">
        <f t="shared" si="31"/>
        <v>GUARDIAN</v>
      </c>
    </row>
    <row r="2141" spans="5:8" x14ac:dyDescent="0.25">
      <c r="E2141" t="str">
        <f>""</f>
        <v/>
      </c>
      <c r="F2141" t="str">
        <f>""</f>
        <v/>
      </c>
      <c r="H2141" t="str">
        <f t="shared" si="31"/>
        <v>GUARDIAN</v>
      </c>
    </row>
    <row r="2142" spans="5:8" x14ac:dyDescent="0.25">
      <c r="E2142" t="str">
        <f>""</f>
        <v/>
      </c>
      <c r="F2142" t="str">
        <f>""</f>
        <v/>
      </c>
      <c r="H2142" t="str">
        <f t="shared" si="31"/>
        <v>GUARDIAN</v>
      </c>
    </row>
    <row r="2143" spans="5:8" x14ac:dyDescent="0.25">
      <c r="E2143" t="str">
        <f>""</f>
        <v/>
      </c>
      <c r="F2143" t="str">
        <f>""</f>
        <v/>
      </c>
      <c r="H2143" t="str">
        <f t="shared" si="31"/>
        <v>GUARDIAN</v>
      </c>
    </row>
    <row r="2144" spans="5:8" x14ac:dyDescent="0.25">
      <c r="E2144" t="str">
        <f>""</f>
        <v/>
      </c>
      <c r="F2144" t="str">
        <f>""</f>
        <v/>
      </c>
      <c r="H2144" t="str">
        <f t="shared" si="31"/>
        <v>GUARDIAN</v>
      </c>
    </row>
    <row r="2145" spans="5:8" x14ac:dyDescent="0.25">
      <c r="E2145" t="str">
        <f>""</f>
        <v/>
      </c>
      <c r="F2145" t="str">
        <f>""</f>
        <v/>
      </c>
      <c r="H2145" t="str">
        <f t="shared" si="31"/>
        <v>GUARDIAN</v>
      </c>
    </row>
    <row r="2146" spans="5:8" x14ac:dyDescent="0.25">
      <c r="E2146" t="str">
        <f>""</f>
        <v/>
      </c>
      <c r="F2146" t="str">
        <f>""</f>
        <v/>
      </c>
      <c r="H2146" t="str">
        <f t="shared" si="31"/>
        <v>GUARDIAN</v>
      </c>
    </row>
    <row r="2147" spans="5:8" x14ac:dyDescent="0.25">
      <c r="E2147" t="str">
        <f>""</f>
        <v/>
      </c>
      <c r="F2147" t="str">
        <f>""</f>
        <v/>
      </c>
      <c r="H2147" t="str">
        <f t="shared" si="31"/>
        <v>GUARDIAN</v>
      </c>
    </row>
    <row r="2148" spans="5:8" x14ac:dyDescent="0.25">
      <c r="E2148" t="str">
        <f>""</f>
        <v/>
      </c>
      <c r="F2148" t="str">
        <f>""</f>
        <v/>
      </c>
      <c r="H2148" t="str">
        <f t="shared" si="31"/>
        <v>GUARDIAN</v>
      </c>
    </row>
    <row r="2149" spans="5:8" x14ac:dyDescent="0.25">
      <c r="E2149" t="str">
        <f>""</f>
        <v/>
      </c>
      <c r="F2149" t="str">
        <f>""</f>
        <v/>
      </c>
      <c r="H2149" t="str">
        <f t="shared" si="31"/>
        <v>GUARDIAN</v>
      </c>
    </row>
    <row r="2150" spans="5:8" x14ac:dyDescent="0.25">
      <c r="E2150" t="str">
        <f>""</f>
        <v/>
      </c>
      <c r="F2150" t="str">
        <f>""</f>
        <v/>
      </c>
      <c r="H2150" t="str">
        <f t="shared" si="31"/>
        <v>GUARDIAN</v>
      </c>
    </row>
    <row r="2151" spans="5:8" x14ac:dyDescent="0.25">
      <c r="E2151" t="str">
        <f>""</f>
        <v/>
      </c>
      <c r="F2151" t="str">
        <f>""</f>
        <v/>
      </c>
      <c r="H2151" t="str">
        <f t="shared" si="31"/>
        <v>GUARDIAN</v>
      </c>
    </row>
    <row r="2152" spans="5:8" x14ac:dyDescent="0.25">
      <c r="E2152" t="str">
        <f>""</f>
        <v/>
      </c>
      <c r="F2152" t="str">
        <f>""</f>
        <v/>
      </c>
      <c r="H2152" t="str">
        <f t="shared" si="31"/>
        <v>GUARDIAN</v>
      </c>
    </row>
    <row r="2153" spans="5:8" x14ac:dyDescent="0.25">
      <c r="E2153" t="str">
        <f>""</f>
        <v/>
      </c>
      <c r="F2153" t="str">
        <f>""</f>
        <v/>
      </c>
      <c r="H2153" t="str">
        <f t="shared" si="31"/>
        <v>GUARDIAN</v>
      </c>
    </row>
    <row r="2154" spans="5:8" x14ac:dyDescent="0.25">
      <c r="E2154" t="str">
        <f>""</f>
        <v/>
      </c>
      <c r="F2154" t="str">
        <f>""</f>
        <v/>
      </c>
      <c r="H2154" t="str">
        <f t="shared" si="31"/>
        <v>GUARDIAN</v>
      </c>
    </row>
    <row r="2155" spans="5:8" x14ac:dyDescent="0.25">
      <c r="E2155" t="str">
        <f>""</f>
        <v/>
      </c>
      <c r="F2155" t="str">
        <f>""</f>
        <v/>
      </c>
      <c r="H2155" t="str">
        <f t="shared" si="31"/>
        <v>GUARDIAN</v>
      </c>
    </row>
    <row r="2156" spans="5:8" x14ac:dyDescent="0.25">
      <c r="E2156" t="str">
        <f>""</f>
        <v/>
      </c>
      <c r="F2156" t="str">
        <f>""</f>
        <v/>
      </c>
      <c r="H2156" t="str">
        <f t="shared" si="31"/>
        <v>GUARDIAN</v>
      </c>
    </row>
    <row r="2157" spans="5:8" x14ac:dyDescent="0.25">
      <c r="E2157" t="str">
        <f>""</f>
        <v/>
      </c>
      <c r="F2157" t="str">
        <f>""</f>
        <v/>
      </c>
      <c r="H2157" t="str">
        <f t="shared" si="31"/>
        <v>GUARDIAN</v>
      </c>
    </row>
    <row r="2158" spans="5:8" x14ac:dyDescent="0.25">
      <c r="E2158" t="str">
        <f>""</f>
        <v/>
      </c>
      <c r="F2158" t="str">
        <f>""</f>
        <v/>
      </c>
      <c r="H2158" t="str">
        <f t="shared" si="31"/>
        <v>GUARDIAN</v>
      </c>
    </row>
    <row r="2159" spans="5:8" x14ac:dyDescent="0.25">
      <c r="E2159" t="str">
        <f>""</f>
        <v/>
      </c>
      <c r="F2159" t="str">
        <f>""</f>
        <v/>
      </c>
      <c r="H2159" t="str">
        <f t="shared" si="31"/>
        <v>GUARDIAN</v>
      </c>
    </row>
    <row r="2160" spans="5:8" x14ac:dyDescent="0.25">
      <c r="E2160" t="str">
        <f>""</f>
        <v/>
      </c>
      <c r="F2160" t="str">
        <f>""</f>
        <v/>
      </c>
      <c r="H2160" t="str">
        <f t="shared" si="31"/>
        <v>GUARDIAN</v>
      </c>
    </row>
    <row r="2161" spans="5:8" x14ac:dyDescent="0.25">
      <c r="E2161" t="str">
        <f>""</f>
        <v/>
      </c>
      <c r="F2161" t="str">
        <f>""</f>
        <v/>
      </c>
      <c r="H2161" t="str">
        <f t="shared" si="31"/>
        <v>GUARDIAN</v>
      </c>
    </row>
    <row r="2162" spans="5:8" x14ac:dyDescent="0.25">
      <c r="E2162" t="str">
        <f>""</f>
        <v/>
      </c>
      <c r="F2162" t="str">
        <f>""</f>
        <v/>
      </c>
      <c r="H2162" t="str">
        <f t="shared" si="31"/>
        <v>GUARDIAN</v>
      </c>
    </row>
    <row r="2163" spans="5:8" x14ac:dyDescent="0.25">
      <c r="E2163" t="str">
        <f>""</f>
        <v/>
      </c>
      <c r="F2163" t="str">
        <f>""</f>
        <v/>
      </c>
      <c r="H2163" t="str">
        <f t="shared" si="31"/>
        <v>GUARDIAN</v>
      </c>
    </row>
    <row r="2164" spans="5:8" x14ac:dyDescent="0.25">
      <c r="E2164" t="str">
        <f>""</f>
        <v/>
      </c>
      <c r="F2164" t="str">
        <f>""</f>
        <v/>
      </c>
      <c r="H2164" t="str">
        <f t="shared" si="31"/>
        <v>GUARDIAN</v>
      </c>
    </row>
    <row r="2165" spans="5:8" x14ac:dyDescent="0.25">
      <c r="E2165" t="str">
        <f>""</f>
        <v/>
      </c>
      <c r="F2165" t="str">
        <f>""</f>
        <v/>
      </c>
      <c r="H2165" t="str">
        <f t="shared" si="31"/>
        <v>GUARDIAN</v>
      </c>
    </row>
    <row r="2166" spans="5:8" x14ac:dyDescent="0.25">
      <c r="E2166" t="str">
        <f>""</f>
        <v/>
      </c>
      <c r="F2166" t="str">
        <f>""</f>
        <v/>
      </c>
      <c r="H2166" t="str">
        <f t="shared" si="31"/>
        <v>GUARDIAN</v>
      </c>
    </row>
    <row r="2167" spans="5:8" x14ac:dyDescent="0.25">
      <c r="E2167" t="str">
        <f>""</f>
        <v/>
      </c>
      <c r="F2167" t="str">
        <f>""</f>
        <v/>
      </c>
      <c r="H2167" t="str">
        <f t="shared" si="31"/>
        <v>GUARDIAN</v>
      </c>
    </row>
    <row r="2168" spans="5:8" x14ac:dyDescent="0.25">
      <c r="E2168" t="str">
        <f>""</f>
        <v/>
      </c>
      <c r="F2168" t="str">
        <f>""</f>
        <v/>
      </c>
      <c r="H2168" t="str">
        <f t="shared" si="31"/>
        <v>GUARDIAN</v>
      </c>
    </row>
    <row r="2169" spans="5:8" x14ac:dyDescent="0.25">
      <c r="E2169" t="str">
        <f>""</f>
        <v/>
      </c>
      <c r="F2169" t="str">
        <f>""</f>
        <v/>
      </c>
      <c r="H2169" t="str">
        <f t="shared" ref="H2169:H2200" si="32">"GUARDIAN"</f>
        <v>GUARDIAN</v>
      </c>
    </row>
    <row r="2170" spans="5:8" x14ac:dyDescent="0.25">
      <c r="E2170" t="str">
        <f>""</f>
        <v/>
      </c>
      <c r="F2170" t="str">
        <f>""</f>
        <v/>
      </c>
      <c r="H2170" t="str">
        <f t="shared" si="32"/>
        <v>GUARDIAN</v>
      </c>
    </row>
    <row r="2171" spans="5:8" x14ac:dyDescent="0.25">
      <c r="E2171" t="str">
        <f>""</f>
        <v/>
      </c>
      <c r="F2171" t="str">
        <f>""</f>
        <v/>
      </c>
      <c r="H2171" t="str">
        <f t="shared" si="32"/>
        <v>GUARDIAN</v>
      </c>
    </row>
    <row r="2172" spans="5:8" x14ac:dyDescent="0.25">
      <c r="E2172" t="str">
        <f>""</f>
        <v/>
      </c>
      <c r="F2172" t="str">
        <f>""</f>
        <v/>
      </c>
      <c r="H2172" t="str">
        <f t="shared" si="32"/>
        <v>GUARDIAN</v>
      </c>
    </row>
    <row r="2173" spans="5:8" x14ac:dyDescent="0.25">
      <c r="E2173" t="str">
        <f>""</f>
        <v/>
      </c>
      <c r="F2173" t="str">
        <f>""</f>
        <v/>
      </c>
      <c r="H2173" t="str">
        <f t="shared" si="32"/>
        <v>GUARDIAN</v>
      </c>
    </row>
    <row r="2174" spans="5:8" x14ac:dyDescent="0.25">
      <c r="E2174" t="str">
        <f>""</f>
        <v/>
      </c>
      <c r="F2174" t="str">
        <f>""</f>
        <v/>
      </c>
      <c r="H2174" t="str">
        <f t="shared" si="32"/>
        <v>GUARDIAN</v>
      </c>
    </row>
    <row r="2175" spans="5:8" x14ac:dyDescent="0.25">
      <c r="E2175" t="str">
        <f>""</f>
        <v/>
      </c>
      <c r="F2175" t="str">
        <f>""</f>
        <v/>
      </c>
      <c r="H2175" t="str">
        <f t="shared" si="32"/>
        <v>GUARDIAN</v>
      </c>
    </row>
    <row r="2176" spans="5:8" x14ac:dyDescent="0.25">
      <c r="E2176" t="str">
        <f>"LIE201908071043"</f>
        <v>LIE201908071043</v>
      </c>
      <c r="F2176" t="str">
        <f>"GUARDIAN"</f>
        <v>GUARDIAN</v>
      </c>
      <c r="G2176" s="2">
        <v>83.65</v>
      </c>
      <c r="H2176" t="str">
        <f t="shared" si="32"/>
        <v>GUARDIAN</v>
      </c>
    </row>
    <row r="2177" spans="5:8" x14ac:dyDescent="0.25">
      <c r="E2177" t="str">
        <f>""</f>
        <v/>
      </c>
      <c r="F2177" t="str">
        <f>""</f>
        <v/>
      </c>
      <c r="H2177" t="str">
        <f t="shared" si="32"/>
        <v>GUARDIAN</v>
      </c>
    </row>
    <row r="2178" spans="5:8" x14ac:dyDescent="0.25">
      <c r="E2178" t="str">
        <f>"LIE201908201222"</f>
        <v>LIE201908201222</v>
      </c>
      <c r="F2178" t="str">
        <f>"GUARDIAN"</f>
        <v>GUARDIAN</v>
      </c>
      <c r="G2178" s="2">
        <v>3393.85</v>
      </c>
      <c r="H2178" t="str">
        <f t="shared" si="32"/>
        <v>GUARDIAN</v>
      </c>
    </row>
    <row r="2179" spans="5:8" x14ac:dyDescent="0.25">
      <c r="E2179" t="str">
        <f>""</f>
        <v/>
      </c>
      <c r="F2179" t="str">
        <f>""</f>
        <v/>
      </c>
      <c r="H2179" t="str">
        <f t="shared" si="32"/>
        <v>GUARDIAN</v>
      </c>
    </row>
    <row r="2180" spans="5:8" x14ac:dyDescent="0.25">
      <c r="E2180" t="str">
        <f>""</f>
        <v/>
      </c>
      <c r="F2180" t="str">
        <f>""</f>
        <v/>
      </c>
      <c r="H2180" t="str">
        <f t="shared" si="32"/>
        <v>GUARDIAN</v>
      </c>
    </row>
    <row r="2181" spans="5:8" x14ac:dyDescent="0.25">
      <c r="E2181" t="str">
        <f>""</f>
        <v/>
      </c>
      <c r="F2181" t="str">
        <f>""</f>
        <v/>
      </c>
      <c r="H2181" t="str">
        <f t="shared" si="32"/>
        <v>GUARDIAN</v>
      </c>
    </row>
    <row r="2182" spans="5:8" x14ac:dyDescent="0.25">
      <c r="E2182" t="str">
        <f>""</f>
        <v/>
      </c>
      <c r="F2182" t="str">
        <f>""</f>
        <v/>
      </c>
      <c r="H2182" t="str">
        <f t="shared" si="32"/>
        <v>GUARDIAN</v>
      </c>
    </row>
    <row r="2183" spans="5:8" x14ac:dyDescent="0.25">
      <c r="E2183" t="str">
        <f>""</f>
        <v/>
      </c>
      <c r="F2183" t="str">
        <f>""</f>
        <v/>
      </c>
      <c r="H2183" t="str">
        <f t="shared" si="32"/>
        <v>GUARDIAN</v>
      </c>
    </row>
    <row r="2184" spans="5:8" x14ac:dyDescent="0.25">
      <c r="E2184" t="str">
        <f>""</f>
        <v/>
      </c>
      <c r="F2184" t="str">
        <f>""</f>
        <v/>
      </c>
      <c r="H2184" t="str">
        <f t="shared" si="32"/>
        <v>GUARDIAN</v>
      </c>
    </row>
    <row r="2185" spans="5:8" x14ac:dyDescent="0.25">
      <c r="E2185" t="str">
        <f>""</f>
        <v/>
      </c>
      <c r="F2185" t="str">
        <f>""</f>
        <v/>
      </c>
      <c r="H2185" t="str">
        <f t="shared" si="32"/>
        <v>GUARDIAN</v>
      </c>
    </row>
    <row r="2186" spans="5:8" x14ac:dyDescent="0.25">
      <c r="E2186" t="str">
        <f>""</f>
        <v/>
      </c>
      <c r="F2186" t="str">
        <f>""</f>
        <v/>
      </c>
      <c r="H2186" t="str">
        <f t="shared" si="32"/>
        <v>GUARDIAN</v>
      </c>
    </row>
    <row r="2187" spans="5:8" x14ac:dyDescent="0.25">
      <c r="E2187" t="str">
        <f>""</f>
        <v/>
      </c>
      <c r="F2187" t="str">
        <f>""</f>
        <v/>
      </c>
      <c r="H2187" t="str">
        <f t="shared" si="32"/>
        <v>GUARDIAN</v>
      </c>
    </row>
    <row r="2188" spans="5:8" x14ac:dyDescent="0.25">
      <c r="E2188" t="str">
        <f>""</f>
        <v/>
      </c>
      <c r="F2188" t="str">
        <f>""</f>
        <v/>
      </c>
      <c r="H2188" t="str">
        <f t="shared" si="32"/>
        <v>GUARDIAN</v>
      </c>
    </row>
    <row r="2189" spans="5:8" x14ac:dyDescent="0.25">
      <c r="E2189" t="str">
        <f>""</f>
        <v/>
      </c>
      <c r="F2189" t="str">
        <f>""</f>
        <v/>
      </c>
      <c r="H2189" t="str">
        <f t="shared" si="32"/>
        <v>GUARDIAN</v>
      </c>
    </row>
    <row r="2190" spans="5:8" x14ac:dyDescent="0.25">
      <c r="E2190" t="str">
        <f>""</f>
        <v/>
      </c>
      <c r="F2190" t="str">
        <f>""</f>
        <v/>
      </c>
      <c r="H2190" t="str">
        <f t="shared" si="32"/>
        <v>GUARDIAN</v>
      </c>
    </row>
    <row r="2191" spans="5:8" x14ac:dyDescent="0.25">
      <c r="E2191" t="str">
        <f>""</f>
        <v/>
      </c>
      <c r="F2191" t="str">
        <f>""</f>
        <v/>
      </c>
      <c r="H2191" t="str">
        <f t="shared" si="32"/>
        <v>GUARDIAN</v>
      </c>
    </row>
    <row r="2192" spans="5:8" x14ac:dyDescent="0.25">
      <c r="E2192" t="str">
        <f>""</f>
        <v/>
      </c>
      <c r="F2192" t="str">
        <f>""</f>
        <v/>
      </c>
      <c r="H2192" t="str">
        <f t="shared" si="32"/>
        <v>GUARDIAN</v>
      </c>
    </row>
    <row r="2193" spans="5:8" x14ac:dyDescent="0.25">
      <c r="E2193" t="str">
        <f>""</f>
        <v/>
      </c>
      <c r="F2193" t="str">
        <f>""</f>
        <v/>
      </c>
      <c r="H2193" t="str">
        <f t="shared" si="32"/>
        <v>GUARDIAN</v>
      </c>
    </row>
    <row r="2194" spans="5:8" x14ac:dyDescent="0.25">
      <c r="E2194" t="str">
        <f>""</f>
        <v/>
      </c>
      <c r="F2194" t="str">
        <f>""</f>
        <v/>
      </c>
      <c r="H2194" t="str">
        <f t="shared" si="32"/>
        <v>GUARDIAN</v>
      </c>
    </row>
    <row r="2195" spans="5:8" x14ac:dyDescent="0.25">
      <c r="E2195" t="str">
        <f>""</f>
        <v/>
      </c>
      <c r="F2195" t="str">
        <f>""</f>
        <v/>
      </c>
      <c r="H2195" t="str">
        <f t="shared" si="32"/>
        <v>GUARDIAN</v>
      </c>
    </row>
    <row r="2196" spans="5:8" x14ac:dyDescent="0.25">
      <c r="E2196" t="str">
        <f>""</f>
        <v/>
      </c>
      <c r="F2196" t="str">
        <f>""</f>
        <v/>
      </c>
      <c r="H2196" t="str">
        <f t="shared" si="32"/>
        <v>GUARDIAN</v>
      </c>
    </row>
    <row r="2197" spans="5:8" x14ac:dyDescent="0.25">
      <c r="E2197" t="str">
        <f>""</f>
        <v/>
      </c>
      <c r="F2197" t="str">
        <f>""</f>
        <v/>
      </c>
      <c r="H2197" t="str">
        <f t="shared" si="32"/>
        <v>GUARDIAN</v>
      </c>
    </row>
    <row r="2198" spans="5:8" x14ac:dyDescent="0.25">
      <c r="E2198" t="str">
        <f>""</f>
        <v/>
      </c>
      <c r="F2198" t="str">
        <f>""</f>
        <v/>
      </c>
      <c r="H2198" t="str">
        <f t="shared" si="32"/>
        <v>GUARDIAN</v>
      </c>
    </row>
    <row r="2199" spans="5:8" x14ac:dyDescent="0.25">
      <c r="E2199" t="str">
        <f>""</f>
        <v/>
      </c>
      <c r="F2199" t="str">
        <f>""</f>
        <v/>
      </c>
      <c r="H2199" t="str">
        <f t="shared" si="32"/>
        <v>GUARDIAN</v>
      </c>
    </row>
    <row r="2200" spans="5:8" x14ac:dyDescent="0.25">
      <c r="E2200" t="str">
        <f>""</f>
        <v/>
      </c>
      <c r="F2200" t="str">
        <f>""</f>
        <v/>
      </c>
      <c r="H2200" t="str">
        <f t="shared" si="32"/>
        <v>GUARDIAN</v>
      </c>
    </row>
    <row r="2201" spans="5:8" x14ac:dyDescent="0.25">
      <c r="E2201" t="str">
        <f>""</f>
        <v/>
      </c>
      <c r="F2201" t="str">
        <f>""</f>
        <v/>
      </c>
      <c r="H2201" t="str">
        <f t="shared" ref="H2201:H2232" si="33">"GUARDIAN"</f>
        <v>GUARDIAN</v>
      </c>
    </row>
    <row r="2202" spans="5:8" x14ac:dyDescent="0.25">
      <c r="E2202" t="str">
        <f>""</f>
        <v/>
      </c>
      <c r="F2202" t="str">
        <f>""</f>
        <v/>
      </c>
      <c r="H2202" t="str">
        <f t="shared" si="33"/>
        <v>GUARDIAN</v>
      </c>
    </row>
    <row r="2203" spans="5:8" x14ac:dyDescent="0.25">
      <c r="E2203" t="str">
        <f>""</f>
        <v/>
      </c>
      <c r="F2203" t="str">
        <f>""</f>
        <v/>
      </c>
      <c r="H2203" t="str">
        <f t="shared" si="33"/>
        <v>GUARDIAN</v>
      </c>
    </row>
    <row r="2204" spans="5:8" x14ac:dyDescent="0.25">
      <c r="E2204" t="str">
        <f>""</f>
        <v/>
      </c>
      <c r="F2204" t="str">
        <f>""</f>
        <v/>
      </c>
      <c r="H2204" t="str">
        <f t="shared" si="33"/>
        <v>GUARDIAN</v>
      </c>
    </row>
    <row r="2205" spans="5:8" x14ac:dyDescent="0.25">
      <c r="E2205" t="str">
        <f>""</f>
        <v/>
      </c>
      <c r="F2205" t="str">
        <f>""</f>
        <v/>
      </c>
      <c r="H2205" t="str">
        <f t="shared" si="33"/>
        <v>GUARDIAN</v>
      </c>
    </row>
    <row r="2206" spans="5:8" x14ac:dyDescent="0.25">
      <c r="E2206" t="str">
        <f>""</f>
        <v/>
      </c>
      <c r="F2206" t="str">
        <f>""</f>
        <v/>
      </c>
      <c r="H2206" t="str">
        <f t="shared" si="33"/>
        <v>GUARDIAN</v>
      </c>
    </row>
    <row r="2207" spans="5:8" x14ac:dyDescent="0.25">
      <c r="E2207" t="str">
        <f>""</f>
        <v/>
      </c>
      <c r="F2207" t="str">
        <f>""</f>
        <v/>
      </c>
      <c r="H2207" t="str">
        <f t="shared" si="33"/>
        <v>GUARDIAN</v>
      </c>
    </row>
    <row r="2208" spans="5:8" x14ac:dyDescent="0.25">
      <c r="E2208" t="str">
        <f>""</f>
        <v/>
      </c>
      <c r="F2208" t="str">
        <f>""</f>
        <v/>
      </c>
      <c r="H2208" t="str">
        <f t="shared" si="33"/>
        <v>GUARDIAN</v>
      </c>
    </row>
    <row r="2209" spans="5:8" x14ac:dyDescent="0.25">
      <c r="E2209" t="str">
        <f>""</f>
        <v/>
      </c>
      <c r="F2209" t="str">
        <f>""</f>
        <v/>
      </c>
      <c r="H2209" t="str">
        <f t="shared" si="33"/>
        <v>GUARDIAN</v>
      </c>
    </row>
    <row r="2210" spans="5:8" x14ac:dyDescent="0.25">
      <c r="E2210" t="str">
        <f>""</f>
        <v/>
      </c>
      <c r="F2210" t="str">
        <f>""</f>
        <v/>
      </c>
      <c r="H2210" t="str">
        <f t="shared" si="33"/>
        <v>GUARDIAN</v>
      </c>
    </row>
    <row r="2211" spans="5:8" x14ac:dyDescent="0.25">
      <c r="E2211" t="str">
        <f>""</f>
        <v/>
      </c>
      <c r="F2211" t="str">
        <f>""</f>
        <v/>
      </c>
      <c r="H2211" t="str">
        <f t="shared" si="33"/>
        <v>GUARDIAN</v>
      </c>
    </row>
    <row r="2212" spans="5:8" x14ac:dyDescent="0.25">
      <c r="E2212" t="str">
        <f>""</f>
        <v/>
      </c>
      <c r="F2212" t="str">
        <f>""</f>
        <v/>
      </c>
      <c r="H2212" t="str">
        <f t="shared" si="33"/>
        <v>GUARDIAN</v>
      </c>
    </row>
    <row r="2213" spans="5:8" x14ac:dyDescent="0.25">
      <c r="E2213" t="str">
        <f>""</f>
        <v/>
      </c>
      <c r="F2213" t="str">
        <f>""</f>
        <v/>
      </c>
      <c r="H2213" t="str">
        <f t="shared" si="33"/>
        <v>GUARDIAN</v>
      </c>
    </row>
    <row r="2214" spans="5:8" x14ac:dyDescent="0.25">
      <c r="E2214" t="str">
        <f>""</f>
        <v/>
      </c>
      <c r="F2214" t="str">
        <f>""</f>
        <v/>
      </c>
      <c r="H2214" t="str">
        <f t="shared" si="33"/>
        <v>GUARDIAN</v>
      </c>
    </row>
    <row r="2215" spans="5:8" x14ac:dyDescent="0.25">
      <c r="E2215" t="str">
        <f>""</f>
        <v/>
      </c>
      <c r="F2215" t="str">
        <f>""</f>
        <v/>
      </c>
      <c r="H2215" t="str">
        <f t="shared" si="33"/>
        <v>GUARDIAN</v>
      </c>
    </row>
    <row r="2216" spans="5:8" x14ac:dyDescent="0.25">
      <c r="E2216" t="str">
        <f>""</f>
        <v/>
      </c>
      <c r="F2216" t="str">
        <f>""</f>
        <v/>
      </c>
      <c r="H2216" t="str">
        <f t="shared" si="33"/>
        <v>GUARDIAN</v>
      </c>
    </row>
    <row r="2217" spans="5:8" x14ac:dyDescent="0.25">
      <c r="E2217" t="str">
        <f>""</f>
        <v/>
      </c>
      <c r="F2217" t="str">
        <f>""</f>
        <v/>
      </c>
      <c r="H2217" t="str">
        <f t="shared" si="33"/>
        <v>GUARDIAN</v>
      </c>
    </row>
    <row r="2218" spans="5:8" x14ac:dyDescent="0.25">
      <c r="E2218" t="str">
        <f>""</f>
        <v/>
      </c>
      <c r="F2218" t="str">
        <f>""</f>
        <v/>
      </c>
      <c r="H2218" t="str">
        <f t="shared" si="33"/>
        <v>GUARDIAN</v>
      </c>
    </row>
    <row r="2219" spans="5:8" x14ac:dyDescent="0.25">
      <c r="E2219" t="str">
        <f>""</f>
        <v/>
      </c>
      <c r="F2219" t="str">
        <f>""</f>
        <v/>
      </c>
      <c r="H2219" t="str">
        <f t="shared" si="33"/>
        <v>GUARDIAN</v>
      </c>
    </row>
    <row r="2220" spans="5:8" x14ac:dyDescent="0.25">
      <c r="E2220" t="str">
        <f>""</f>
        <v/>
      </c>
      <c r="F2220" t="str">
        <f>""</f>
        <v/>
      </c>
      <c r="H2220" t="str">
        <f t="shared" si="33"/>
        <v>GUARDIAN</v>
      </c>
    </row>
    <row r="2221" spans="5:8" x14ac:dyDescent="0.25">
      <c r="E2221" t="str">
        <f>""</f>
        <v/>
      </c>
      <c r="F2221" t="str">
        <f>""</f>
        <v/>
      </c>
      <c r="H2221" t="str">
        <f t="shared" si="33"/>
        <v>GUARDIAN</v>
      </c>
    </row>
    <row r="2222" spans="5:8" x14ac:dyDescent="0.25">
      <c r="E2222" t="str">
        <f>""</f>
        <v/>
      </c>
      <c r="F2222" t="str">
        <f>""</f>
        <v/>
      </c>
      <c r="H2222" t="str">
        <f t="shared" si="33"/>
        <v>GUARDIAN</v>
      </c>
    </row>
    <row r="2223" spans="5:8" x14ac:dyDescent="0.25">
      <c r="E2223" t="str">
        <f>""</f>
        <v/>
      </c>
      <c r="F2223" t="str">
        <f>""</f>
        <v/>
      </c>
      <c r="H2223" t="str">
        <f t="shared" si="33"/>
        <v>GUARDIAN</v>
      </c>
    </row>
    <row r="2224" spans="5:8" x14ac:dyDescent="0.25">
      <c r="E2224" t="str">
        <f>""</f>
        <v/>
      </c>
      <c r="F2224" t="str">
        <f>""</f>
        <v/>
      </c>
      <c r="H2224" t="str">
        <f t="shared" si="33"/>
        <v>GUARDIAN</v>
      </c>
    </row>
    <row r="2225" spans="1:8" x14ac:dyDescent="0.25">
      <c r="E2225" t="str">
        <f>""</f>
        <v/>
      </c>
      <c r="F2225" t="str">
        <f>""</f>
        <v/>
      </c>
      <c r="H2225" t="str">
        <f t="shared" si="33"/>
        <v>GUARDIAN</v>
      </c>
    </row>
    <row r="2226" spans="1:8" x14ac:dyDescent="0.25">
      <c r="E2226" t="str">
        <f>""</f>
        <v/>
      </c>
      <c r="F2226" t="str">
        <f>""</f>
        <v/>
      </c>
      <c r="H2226" t="str">
        <f t="shared" si="33"/>
        <v>GUARDIAN</v>
      </c>
    </row>
    <row r="2227" spans="1:8" x14ac:dyDescent="0.25">
      <c r="E2227" t="str">
        <f>"LIE201908201223"</f>
        <v>LIE201908201223</v>
      </c>
      <c r="F2227" t="str">
        <f>"GUARDIAN"</f>
        <v>GUARDIAN</v>
      </c>
      <c r="G2227" s="2">
        <v>83.65</v>
      </c>
      <c r="H2227" t="str">
        <f t="shared" si="33"/>
        <v>GUARDIAN</v>
      </c>
    </row>
    <row r="2228" spans="1:8" x14ac:dyDescent="0.25">
      <c r="E2228" t="str">
        <f>""</f>
        <v/>
      </c>
      <c r="F2228" t="str">
        <f>""</f>
        <v/>
      </c>
      <c r="H2228" t="str">
        <f t="shared" si="33"/>
        <v>GUARDIAN</v>
      </c>
    </row>
    <row r="2229" spans="1:8" x14ac:dyDescent="0.25">
      <c r="E2229" t="str">
        <f>"LIS201908071042"</f>
        <v>LIS201908071042</v>
      </c>
      <c r="F2229" t="str">
        <f t="shared" ref="F2229:F2240" si="34">"GUARDIAN"</f>
        <v>GUARDIAN</v>
      </c>
      <c r="G2229" s="2">
        <v>468.83</v>
      </c>
      <c r="H2229" t="str">
        <f t="shared" si="33"/>
        <v>GUARDIAN</v>
      </c>
    </row>
    <row r="2230" spans="1:8" x14ac:dyDescent="0.25">
      <c r="E2230" t="str">
        <f>"LIS201908071043"</f>
        <v>LIS201908071043</v>
      </c>
      <c r="F2230" t="str">
        <f t="shared" si="34"/>
        <v>GUARDIAN</v>
      </c>
      <c r="G2230" s="2">
        <v>36.15</v>
      </c>
      <c r="H2230" t="str">
        <f t="shared" si="33"/>
        <v>GUARDIAN</v>
      </c>
    </row>
    <row r="2231" spans="1:8" x14ac:dyDescent="0.25">
      <c r="E2231" t="str">
        <f>"LIS201908201222"</f>
        <v>LIS201908201222</v>
      </c>
      <c r="F2231" t="str">
        <f t="shared" si="34"/>
        <v>GUARDIAN</v>
      </c>
      <c r="G2231" s="2">
        <v>468.83</v>
      </c>
      <c r="H2231" t="str">
        <f t="shared" si="33"/>
        <v>GUARDIAN</v>
      </c>
    </row>
    <row r="2232" spans="1:8" x14ac:dyDescent="0.25">
      <c r="E2232" t="str">
        <f>"LIS201908201223"</f>
        <v>LIS201908201223</v>
      </c>
      <c r="F2232" t="str">
        <f t="shared" si="34"/>
        <v>GUARDIAN</v>
      </c>
      <c r="G2232" s="2">
        <v>36.15</v>
      </c>
      <c r="H2232" t="str">
        <f t="shared" si="33"/>
        <v>GUARDIAN</v>
      </c>
    </row>
    <row r="2233" spans="1:8" x14ac:dyDescent="0.25">
      <c r="E2233" t="str">
        <f>"LTD201908071042"</f>
        <v>LTD201908071042</v>
      </c>
      <c r="F2233" t="str">
        <f t="shared" si="34"/>
        <v>GUARDIAN</v>
      </c>
      <c r="G2233" s="2">
        <v>850.78</v>
      </c>
      <c r="H2233" t="str">
        <f t="shared" ref="H2233:H2240" si="35">"GUARDIAN"</f>
        <v>GUARDIAN</v>
      </c>
    </row>
    <row r="2234" spans="1:8" x14ac:dyDescent="0.25">
      <c r="E2234" t="str">
        <f>"LTD201908071043"</f>
        <v>LTD201908071043</v>
      </c>
      <c r="F2234" t="str">
        <f t="shared" si="34"/>
        <v>GUARDIAN</v>
      </c>
      <c r="G2234" s="2">
        <v>6.11</v>
      </c>
      <c r="H2234" t="str">
        <f t="shared" si="35"/>
        <v>GUARDIAN</v>
      </c>
    </row>
    <row r="2235" spans="1:8" x14ac:dyDescent="0.25">
      <c r="E2235" t="str">
        <f>"LTD201908201222"</f>
        <v>LTD201908201222</v>
      </c>
      <c r="F2235" t="str">
        <f t="shared" si="34"/>
        <v>GUARDIAN</v>
      </c>
      <c r="G2235" s="2">
        <v>786.74</v>
      </c>
      <c r="H2235" t="str">
        <f t="shared" si="35"/>
        <v>GUARDIAN</v>
      </c>
    </row>
    <row r="2236" spans="1:8" x14ac:dyDescent="0.25">
      <c r="E2236" t="str">
        <f>"LTD201908201223"</f>
        <v>LTD201908201223</v>
      </c>
      <c r="F2236" t="str">
        <f t="shared" si="34"/>
        <v>GUARDIAN</v>
      </c>
      <c r="G2236" s="2">
        <v>6.11</v>
      </c>
      <c r="H2236" t="str">
        <f t="shared" si="35"/>
        <v>GUARDIAN</v>
      </c>
    </row>
    <row r="2237" spans="1:8" x14ac:dyDescent="0.25">
      <c r="A2237" t="s">
        <v>510</v>
      </c>
      <c r="B2237">
        <v>207</v>
      </c>
      <c r="C2237" s="2">
        <v>109.1</v>
      </c>
      <c r="D2237" s="1">
        <v>43705</v>
      </c>
      <c r="E2237" t="str">
        <f>"AEG201908071042"</f>
        <v>AEG201908071042</v>
      </c>
      <c r="F2237" t="str">
        <f t="shared" si="34"/>
        <v>GUARDIAN</v>
      </c>
      <c r="G2237" s="2">
        <v>6.66</v>
      </c>
      <c r="H2237" t="str">
        <f t="shared" si="35"/>
        <v>GUARDIAN</v>
      </c>
    </row>
    <row r="2238" spans="1:8" x14ac:dyDescent="0.25">
      <c r="E2238" t="str">
        <f>"AEG201908201222"</f>
        <v>AEG201908201222</v>
      </c>
      <c r="F2238" t="str">
        <f t="shared" si="34"/>
        <v>GUARDIAN</v>
      </c>
      <c r="G2238" s="2">
        <v>6.66</v>
      </c>
      <c r="H2238" t="str">
        <f t="shared" si="35"/>
        <v>GUARDIAN</v>
      </c>
    </row>
    <row r="2239" spans="1:8" x14ac:dyDescent="0.25">
      <c r="E2239" t="str">
        <f>"AFG201908071042"</f>
        <v>AFG201908071042</v>
      </c>
      <c r="F2239" t="str">
        <f t="shared" si="34"/>
        <v>GUARDIAN</v>
      </c>
      <c r="G2239" s="2">
        <v>47.89</v>
      </c>
      <c r="H2239" t="str">
        <f t="shared" si="35"/>
        <v>GUARDIAN</v>
      </c>
    </row>
    <row r="2240" spans="1:8" x14ac:dyDescent="0.25">
      <c r="E2240" t="str">
        <f>"AFG201908201222"</f>
        <v>AFG201908201222</v>
      </c>
      <c r="F2240" t="str">
        <f t="shared" si="34"/>
        <v>GUARDIAN</v>
      </c>
      <c r="G2240" s="2">
        <v>47.89</v>
      </c>
      <c r="H2240" t="str">
        <f t="shared" si="35"/>
        <v>GUARDIAN</v>
      </c>
    </row>
    <row r="2241" spans="1:8" x14ac:dyDescent="0.25">
      <c r="A2241" t="s">
        <v>511</v>
      </c>
      <c r="B2241">
        <v>190</v>
      </c>
      <c r="C2241" s="2">
        <v>227033.19</v>
      </c>
      <c r="D2241" s="1">
        <v>43686</v>
      </c>
      <c r="E2241" t="str">
        <f>"T1 201908071042"</f>
        <v>T1 201908071042</v>
      </c>
      <c r="F2241" t="str">
        <f>"FEDERAL WITHHOLDING"</f>
        <v>FEDERAL WITHHOLDING</v>
      </c>
      <c r="G2241" s="2">
        <v>75054.48</v>
      </c>
      <c r="H2241" t="str">
        <f>"FEDERAL WITHHOLDING"</f>
        <v>FEDERAL WITHHOLDING</v>
      </c>
    </row>
    <row r="2242" spans="1:8" x14ac:dyDescent="0.25">
      <c r="E2242" t="str">
        <f>"T1 201908071043"</f>
        <v>T1 201908071043</v>
      </c>
      <c r="F2242" t="str">
        <f>"FEDERAL WITHHOLDING"</f>
        <v>FEDERAL WITHHOLDING</v>
      </c>
      <c r="G2242" s="2">
        <v>2860.2</v>
      </c>
      <c r="H2242" t="str">
        <f>"FEDERAL WITHHOLDING"</f>
        <v>FEDERAL WITHHOLDING</v>
      </c>
    </row>
    <row r="2243" spans="1:8" x14ac:dyDescent="0.25">
      <c r="E2243" t="str">
        <f>"T1 201908071044"</f>
        <v>T1 201908071044</v>
      </c>
      <c r="F2243" t="str">
        <f>"FEDERAL WITHHOLDING"</f>
        <v>FEDERAL WITHHOLDING</v>
      </c>
      <c r="G2243" s="2">
        <v>3491.29</v>
      </c>
      <c r="H2243" t="str">
        <f>"FEDERAL WITHHOLDING"</f>
        <v>FEDERAL WITHHOLDING</v>
      </c>
    </row>
    <row r="2244" spans="1:8" x14ac:dyDescent="0.25">
      <c r="E2244" t="str">
        <f>"T3 201908071042"</f>
        <v>T3 201908071042</v>
      </c>
      <c r="F2244" t="str">
        <f>"SOCIAL SECURITY TAXES"</f>
        <v>SOCIAL SECURITY TAXES</v>
      </c>
      <c r="G2244" s="2">
        <v>109039.98</v>
      </c>
      <c r="H2244" t="str">
        <f t="shared" ref="H2244:H2275" si="36">"SOCIAL SECURITY TAXES"</f>
        <v>SOCIAL SECURITY TAXES</v>
      </c>
    </row>
    <row r="2245" spans="1:8" x14ac:dyDescent="0.25">
      <c r="E2245" t="str">
        <f>""</f>
        <v/>
      </c>
      <c r="F2245" t="str">
        <f>""</f>
        <v/>
      </c>
      <c r="H2245" t="str">
        <f t="shared" si="36"/>
        <v>SOCIAL SECURITY TAXES</v>
      </c>
    </row>
    <row r="2246" spans="1:8" x14ac:dyDescent="0.25">
      <c r="E2246" t="str">
        <f>""</f>
        <v/>
      </c>
      <c r="F2246" t="str">
        <f>""</f>
        <v/>
      </c>
      <c r="H2246" t="str">
        <f t="shared" si="36"/>
        <v>SOCIAL SECURITY TAXES</v>
      </c>
    </row>
    <row r="2247" spans="1:8" x14ac:dyDescent="0.25">
      <c r="E2247" t="str">
        <f>""</f>
        <v/>
      </c>
      <c r="F2247" t="str">
        <f>""</f>
        <v/>
      </c>
      <c r="H2247" t="str">
        <f t="shared" si="36"/>
        <v>SOCIAL SECURITY TAXES</v>
      </c>
    </row>
    <row r="2248" spans="1:8" x14ac:dyDescent="0.25">
      <c r="E2248" t="str">
        <f>""</f>
        <v/>
      </c>
      <c r="F2248" t="str">
        <f>""</f>
        <v/>
      </c>
      <c r="H2248" t="str">
        <f t="shared" si="36"/>
        <v>SOCIAL SECURITY TAXES</v>
      </c>
    </row>
    <row r="2249" spans="1:8" x14ac:dyDescent="0.25">
      <c r="E2249" t="str">
        <f>""</f>
        <v/>
      </c>
      <c r="F2249" t="str">
        <f>""</f>
        <v/>
      </c>
      <c r="H2249" t="str">
        <f t="shared" si="36"/>
        <v>SOCIAL SECURITY TAXES</v>
      </c>
    </row>
    <row r="2250" spans="1:8" x14ac:dyDescent="0.25">
      <c r="E2250" t="str">
        <f>""</f>
        <v/>
      </c>
      <c r="F2250" t="str">
        <f>""</f>
        <v/>
      </c>
      <c r="H2250" t="str">
        <f t="shared" si="36"/>
        <v>SOCIAL SECURITY TAXES</v>
      </c>
    </row>
    <row r="2251" spans="1:8" x14ac:dyDescent="0.25">
      <c r="E2251" t="str">
        <f>""</f>
        <v/>
      </c>
      <c r="F2251" t="str">
        <f>""</f>
        <v/>
      </c>
      <c r="H2251" t="str">
        <f t="shared" si="36"/>
        <v>SOCIAL SECURITY TAXES</v>
      </c>
    </row>
    <row r="2252" spans="1:8" x14ac:dyDescent="0.25">
      <c r="E2252" t="str">
        <f>""</f>
        <v/>
      </c>
      <c r="F2252" t="str">
        <f>""</f>
        <v/>
      </c>
      <c r="H2252" t="str">
        <f t="shared" si="36"/>
        <v>SOCIAL SECURITY TAXES</v>
      </c>
    </row>
    <row r="2253" spans="1:8" x14ac:dyDescent="0.25">
      <c r="E2253" t="str">
        <f>""</f>
        <v/>
      </c>
      <c r="F2253" t="str">
        <f>""</f>
        <v/>
      </c>
      <c r="H2253" t="str">
        <f t="shared" si="36"/>
        <v>SOCIAL SECURITY TAXES</v>
      </c>
    </row>
    <row r="2254" spans="1:8" x14ac:dyDescent="0.25">
      <c r="E2254" t="str">
        <f>""</f>
        <v/>
      </c>
      <c r="F2254" t="str">
        <f>""</f>
        <v/>
      </c>
      <c r="H2254" t="str">
        <f t="shared" si="36"/>
        <v>SOCIAL SECURITY TAXES</v>
      </c>
    </row>
    <row r="2255" spans="1:8" x14ac:dyDescent="0.25">
      <c r="E2255" t="str">
        <f>""</f>
        <v/>
      </c>
      <c r="F2255" t="str">
        <f>""</f>
        <v/>
      </c>
      <c r="H2255" t="str">
        <f t="shared" si="36"/>
        <v>SOCIAL SECURITY TAXES</v>
      </c>
    </row>
    <row r="2256" spans="1:8" x14ac:dyDescent="0.25">
      <c r="E2256" t="str">
        <f>""</f>
        <v/>
      </c>
      <c r="F2256" t="str">
        <f>""</f>
        <v/>
      </c>
      <c r="H2256" t="str">
        <f t="shared" si="36"/>
        <v>SOCIAL SECURITY TAXES</v>
      </c>
    </row>
    <row r="2257" spans="5:8" x14ac:dyDescent="0.25">
      <c r="E2257" t="str">
        <f>""</f>
        <v/>
      </c>
      <c r="F2257" t="str">
        <f>""</f>
        <v/>
      </c>
      <c r="H2257" t="str">
        <f t="shared" si="36"/>
        <v>SOCIAL SECURITY TAXES</v>
      </c>
    </row>
    <row r="2258" spans="5:8" x14ac:dyDescent="0.25">
      <c r="E2258" t="str">
        <f>""</f>
        <v/>
      </c>
      <c r="F2258" t="str">
        <f>""</f>
        <v/>
      </c>
      <c r="H2258" t="str">
        <f t="shared" si="36"/>
        <v>SOCIAL SECURITY TAXES</v>
      </c>
    </row>
    <row r="2259" spans="5:8" x14ac:dyDescent="0.25">
      <c r="E2259" t="str">
        <f>""</f>
        <v/>
      </c>
      <c r="F2259" t="str">
        <f>""</f>
        <v/>
      </c>
      <c r="H2259" t="str">
        <f t="shared" si="36"/>
        <v>SOCIAL SECURITY TAXES</v>
      </c>
    </row>
    <row r="2260" spans="5:8" x14ac:dyDescent="0.25">
      <c r="E2260" t="str">
        <f>""</f>
        <v/>
      </c>
      <c r="F2260" t="str">
        <f>""</f>
        <v/>
      </c>
      <c r="H2260" t="str">
        <f t="shared" si="36"/>
        <v>SOCIAL SECURITY TAXES</v>
      </c>
    </row>
    <row r="2261" spans="5:8" x14ac:dyDescent="0.25">
      <c r="E2261" t="str">
        <f>""</f>
        <v/>
      </c>
      <c r="F2261" t="str">
        <f>""</f>
        <v/>
      </c>
      <c r="H2261" t="str">
        <f t="shared" si="36"/>
        <v>SOCIAL SECURITY TAXES</v>
      </c>
    </row>
    <row r="2262" spans="5:8" x14ac:dyDescent="0.25">
      <c r="E2262" t="str">
        <f>""</f>
        <v/>
      </c>
      <c r="F2262" t="str">
        <f>""</f>
        <v/>
      </c>
      <c r="H2262" t="str">
        <f t="shared" si="36"/>
        <v>SOCIAL SECURITY TAXES</v>
      </c>
    </row>
    <row r="2263" spans="5:8" x14ac:dyDescent="0.25">
      <c r="E2263" t="str">
        <f>""</f>
        <v/>
      </c>
      <c r="F2263" t="str">
        <f>""</f>
        <v/>
      </c>
      <c r="H2263" t="str">
        <f t="shared" si="36"/>
        <v>SOCIAL SECURITY TAXES</v>
      </c>
    </row>
    <row r="2264" spans="5:8" x14ac:dyDescent="0.25">
      <c r="E2264" t="str">
        <f>""</f>
        <v/>
      </c>
      <c r="F2264" t="str">
        <f>""</f>
        <v/>
      </c>
      <c r="H2264" t="str">
        <f t="shared" si="36"/>
        <v>SOCIAL SECURITY TAXES</v>
      </c>
    </row>
    <row r="2265" spans="5:8" x14ac:dyDescent="0.25">
      <c r="E2265" t="str">
        <f>""</f>
        <v/>
      </c>
      <c r="F2265" t="str">
        <f>""</f>
        <v/>
      </c>
      <c r="H2265" t="str">
        <f t="shared" si="36"/>
        <v>SOCIAL SECURITY TAXES</v>
      </c>
    </row>
    <row r="2266" spans="5:8" x14ac:dyDescent="0.25">
      <c r="E2266" t="str">
        <f>""</f>
        <v/>
      </c>
      <c r="F2266" t="str">
        <f>""</f>
        <v/>
      </c>
      <c r="H2266" t="str">
        <f t="shared" si="36"/>
        <v>SOCIAL SECURITY TAXES</v>
      </c>
    </row>
    <row r="2267" spans="5:8" x14ac:dyDescent="0.25">
      <c r="E2267" t="str">
        <f>""</f>
        <v/>
      </c>
      <c r="F2267" t="str">
        <f>""</f>
        <v/>
      </c>
      <c r="H2267" t="str">
        <f t="shared" si="36"/>
        <v>SOCIAL SECURITY TAXES</v>
      </c>
    </row>
    <row r="2268" spans="5:8" x14ac:dyDescent="0.25">
      <c r="E2268" t="str">
        <f>""</f>
        <v/>
      </c>
      <c r="F2268" t="str">
        <f>""</f>
        <v/>
      </c>
      <c r="H2268" t="str">
        <f t="shared" si="36"/>
        <v>SOCIAL SECURITY TAXES</v>
      </c>
    </row>
    <row r="2269" spans="5:8" x14ac:dyDescent="0.25">
      <c r="E2269" t="str">
        <f>""</f>
        <v/>
      </c>
      <c r="F2269" t="str">
        <f>""</f>
        <v/>
      </c>
      <c r="H2269" t="str">
        <f t="shared" si="36"/>
        <v>SOCIAL SECURITY TAXES</v>
      </c>
    </row>
    <row r="2270" spans="5:8" x14ac:dyDescent="0.25">
      <c r="E2270" t="str">
        <f>""</f>
        <v/>
      </c>
      <c r="F2270" t="str">
        <f>""</f>
        <v/>
      </c>
      <c r="H2270" t="str">
        <f t="shared" si="36"/>
        <v>SOCIAL SECURITY TAXES</v>
      </c>
    </row>
    <row r="2271" spans="5:8" x14ac:dyDescent="0.25">
      <c r="E2271" t="str">
        <f>""</f>
        <v/>
      </c>
      <c r="F2271" t="str">
        <f>""</f>
        <v/>
      </c>
      <c r="H2271" t="str">
        <f t="shared" si="36"/>
        <v>SOCIAL SECURITY TAXES</v>
      </c>
    </row>
    <row r="2272" spans="5:8" x14ac:dyDescent="0.25">
      <c r="E2272" t="str">
        <f>""</f>
        <v/>
      </c>
      <c r="F2272" t="str">
        <f>""</f>
        <v/>
      </c>
      <c r="H2272" t="str">
        <f t="shared" si="36"/>
        <v>SOCIAL SECURITY TAXES</v>
      </c>
    </row>
    <row r="2273" spans="5:8" x14ac:dyDescent="0.25">
      <c r="E2273" t="str">
        <f>""</f>
        <v/>
      </c>
      <c r="F2273" t="str">
        <f>""</f>
        <v/>
      </c>
      <c r="H2273" t="str">
        <f t="shared" si="36"/>
        <v>SOCIAL SECURITY TAXES</v>
      </c>
    </row>
    <row r="2274" spans="5:8" x14ac:dyDescent="0.25">
      <c r="E2274" t="str">
        <f>""</f>
        <v/>
      </c>
      <c r="F2274" t="str">
        <f>""</f>
        <v/>
      </c>
      <c r="H2274" t="str">
        <f t="shared" si="36"/>
        <v>SOCIAL SECURITY TAXES</v>
      </c>
    </row>
    <row r="2275" spans="5:8" x14ac:dyDescent="0.25">
      <c r="E2275" t="str">
        <f>""</f>
        <v/>
      </c>
      <c r="F2275" t="str">
        <f>""</f>
        <v/>
      </c>
      <c r="H2275" t="str">
        <f t="shared" si="36"/>
        <v>SOCIAL SECURITY TAXES</v>
      </c>
    </row>
    <row r="2276" spans="5:8" x14ac:dyDescent="0.25">
      <c r="E2276" t="str">
        <f>""</f>
        <v/>
      </c>
      <c r="F2276" t="str">
        <f>""</f>
        <v/>
      </c>
      <c r="H2276" t="str">
        <f t="shared" ref="H2276:H2299" si="37">"SOCIAL SECURITY TAXES"</f>
        <v>SOCIAL SECURITY TAXES</v>
      </c>
    </row>
    <row r="2277" spans="5:8" x14ac:dyDescent="0.25">
      <c r="E2277" t="str">
        <f>""</f>
        <v/>
      </c>
      <c r="F2277" t="str">
        <f>""</f>
        <v/>
      </c>
      <c r="H2277" t="str">
        <f t="shared" si="37"/>
        <v>SOCIAL SECURITY TAXES</v>
      </c>
    </row>
    <row r="2278" spans="5:8" x14ac:dyDescent="0.25">
      <c r="E2278" t="str">
        <f>""</f>
        <v/>
      </c>
      <c r="F2278" t="str">
        <f>""</f>
        <v/>
      </c>
      <c r="H2278" t="str">
        <f t="shared" si="37"/>
        <v>SOCIAL SECURITY TAXES</v>
      </c>
    </row>
    <row r="2279" spans="5:8" x14ac:dyDescent="0.25">
      <c r="E2279" t="str">
        <f>""</f>
        <v/>
      </c>
      <c r="F2279" t="str">
        <f>""</f>
        <v/>
      </c>
      <c r="H2279" t="str">
        <f t="shared" si="37"/>
        <v>SOCIAL SECURITY TAXES</v>
      </c>
    </row>
    <row r="2280" spans="5:8" x14ac:dyDescent="0.25">
      <c r="E2280" t="str">
        <f>""</f>
        <v/>
      </c>
      <c r="F2280" t="str">
        <f>""</f>
        <v/>
      </c>
      <c r="H2280" t="str">
        <f t="shared" si="37"/>
        <v>SOCIAL SECURITY TAXES</v>
      </c>
    </row>
    <row r="2281" spans="5:8" x14ac:dyDescent="0.25">
      <c r="E2281" t="str">
        <f>""</f>
        <v/>
      </c>
      <c r="F2281" t="str">
        <f>""</f>
        <v/>
      </c>
      <c r="H2281" t="str">
        <f t="shared" si="37"/>
        <v>SOCIAL SECURITY TAXES</v>
      </c>
    </row>
    <row r="2282" spans="5:8" x14ac:dyDescent="0.25">
      <c r="E2282" t="str">
        <f>""</f>
        <v/>
      </c>
      <c r="F2282" t="str">
        <f>""</f>
        <v/>
      </c>
      <c r="H2282" t="str">
        <f t="shared" si="37"/>
        <v>SOCIAL SECURITY TAXES</v>
      </c>
    </row>
    <row r="2283" spans="5:8" x14ac:dyDescent="0.25">
      <c r="E2283" t="str">
        <f>""</f>
        <v/>
      </c>
      <c r="F2283" t="str">
        <f>""</f>
        <v/>
      </c>
      <c r="H2283" t="str">
        <f t="shared" si="37"/>
        <v>SOCIAL SECURITY TAXES</v>
      </c>
    </row>
    <row r="2284" spans="5:8" x14ac:dyDescent="0.25">
      <c r="E2284" t="str">
        <f>""</f>
        <v/>
      </c>
      <c r="F2284" t="str">
        <f>""</f>
        <v/>
      </c>
      <c r="H2284" t="str">
        <f t="shared" si="37"/>
        <v>SOCIAL SECURITY TAXES</v>
      </c>
    </row>
    <row r="2285" spans="5:8" x14ac:dyDescent="0.25">
      <c r="E2285" t="str">
        <f>""</f>
        <v/>
      </c>
      <c r="F2285" t="str">
        <f>""</f>
        <v/>
      </c>
      <c r="H2285" t="str">
        <f t="shared" si="37"/>
        <v>SOCIAL SECURITY TAXES</v>
      </c>
    </row>
    <row r="2286" spans="5:8" x14ac:dyDescent="0.25">
      <c r="E2286" t="str">
        <f>""</f>
        <v/>
      </c>
      <c r="F2286" t="str">
        <f>""</f>
        <v/>
      </c>
      <c r="H2286" t="str">
        <f t="shared" si="37"/>
        <v>SOCIAL SECURITY TAXES</v>
      </c>
    </row>
    <row r="2287" spans="5:8" x14ac:dyDescent="0.25">
      <c r="E2287" t="str">
        <f>""</f>
        <v/>
      </c>
      <c r="F2287" t="str">
        <f>""</f>
        <v/>
      </c>
      <c r="H2287" t="str">
        <f t="shared" si="37"/>
        <v>SOCIAL SECURITY TAXES</v>
      </c>
    </row>
    <row r="2288" spans="5:8" x14ac:dyDescent="0.25">
      <c r="E2288" t="str">
        <f>""</f>
        <v/>
      </c>
      <c r="F2288" t="str">
        <f>""</f>
        <v/>
      </c>
      <c r="H2288" t="str">
        <f t="shared" si="37"/>
        <v>SOCIAL SECURITY TAXES</v>
      </c>
    </row>
    <row r="2289" spans="5:8" x14ac:dyDescent="0.25">
      <c r="E2289" t="str">
        <f>""</f>
        <v/>
      </c>
      <c r="F2289" t="str">
        <f>""</f>
        <v/>
      </c>
      <c r="H2289" t="str">
        <f t="shared" si="37"/>
        <v>SOCIAL SECURITY TAXES</v>
      </c>
    </row>
    <row r="2290" spans="5:8" x14ac:dyDescent="0.25">
      <c r="E2290" t="str">
        <f>""</f>
        <v/>
      </c>
      <c r="F2290" t="str">
        <f>""</f>
        <v/>
      </c>
      <c r="H2290" t="str">
        <f t="shared" si="37"/>
        <v>SOCIAL SECURITY TAXES</v>
      </c>
    </row>
    <row r="2291" spans="5:8" x14ac:dyDescent="0.25">
      <c r="E2291" t="str">
        <f>""</f>
        <v/>
      </c>
      <c r="F2291" t="str">
        <f>""</f>
        <v/>
      </c>
      <c r="H2291" t="str">
        <f t="shared" si="37"/>
        <v>SOCIAL SECURITY TAXES</v>
      </c>
    </row>
    <row r="2292" spans="5:8" x14ac:dyDescent="0.25">
      <c r="E2292" t="str">
        <f>""</f>
        <v/>
      </c>
      <c r="F2292" t="str">
        <f>""</f>
        <v/>
      </c>
      <c r="H2292" t="str">
        <f t="shared" si="37"/>
        <v>SOCIAL SECURITY TAXES</v>
      </c>
    </row>
    <row r="2293" spans="5:8" x14ac:dyDescent="0.25">
      <c r="E2293" t="str">
        <f>""</f>
        <v/>
      </c>
      <c r="F2293" t="str">
        <f>""</f>
        <v/>
      </c>
      <c r="H2293" t="str">
        <f t="shared" si="37"/>
        <v>SOCIAL SECURITY TAXES</v>
      </c>
    </row>
    <row r="2294" spans="5:8" x14ac:dyDescent="0.25">
      <c r="E2294" t="str">
        <f>""</f>
        <v/>
      </c>
      <c r="F2294" t="str">
        <f>""</f>
        <v/>
      </c>
      <c r="H2294" t="str">
        <f t="shared" si="37"/>
        <v>SOCIAL SECURITY TAXES</v>
      </c>
    </row>
    <row r="2295" spans="5:8" x14ac:dyDescent="0.25">
      <c r="E2295" t="str">
        <f>""</f>
        <v/>
      </c>
      <c r="F2295" t="str">
        <f>""</f>
        <v/>
      </c>
      <c r="H2295" t="str">
        <f t="shared" si="37"/>
        <v>SOCIAL SECURITY TAXES</v>
      </c>
    </row>
    <row r="2296" spans="5:8" x14ac:dyDescent="0.25">
      <c r="E2296" t="str">
        <f>"T3 201908071043"</f>
        <v>T3 201908071043</v>
      </c>
      <c r="F2296" t="str">
        <f>"SOCIAL SECURITY TAXES"</f>
        <v>SOCIAL SECURITY TAXES</v>
      </c>
      <c r="G2296" s="2">
        <v>4004.54</v>
      </c>
      <c r="H2296" t="str">
        <f t="shared" si="37"/>
        <v>SOCIAL SECURITY TAXES</v>
      </c>
    </row>
    <row r="2297" spans="5:8" x14ac:dyDescent="0.25">
      <c r="E2297" t="str">
        <f>""</f>
        <v/>
      </c>
      <c r="F2297" t="str">
        <f>""</f>
        <v/>
      </c>
      <c r="H2297" t="str">
        <f t="shared" si="37"/>
        <v>SOCIAL SECURITY TAXES</v>
      </c>
    </row>
    <row r="2298" spans="5:8" x14ac:dyDescent="0.25">
      <c r="E2298" t="str">
        <f>"T3 201908071044"</f>
        <v>T3 201908071044</v>
      </c>
      <c r="F2298" t="str">
        <f>"SOCIAL SECURITY TAXES"</f>
        <v>SOCIAL SECURITY TAXES</v>
      </c>
      <c r="G2298" s="2">
        <v>4980.18</v>
      </c>
      <c r="H2298" t="str">
        <f t="shared" si="37"/>
        <v>SOCIAL SECURITY TAXES</v>
      </c>
    </row>
    <row r="2299" spans="5:8" x14ac:dyDescent="0.25">
      <c r="E2299" t="str">
        <f>""</f>
        <v/>
      </c>
      <c r="F2299" t="str">
        <f>""</f>
        <v/>
      </c>
      <c r="H2299" t="str">
        <f t="shared" si="37"/>
        <v>SOCIAL SECURITY TAXES</v>
      </c>
    </row>
    <row r="2300" spans="5:8" x14ac:dyDescent="0.25">
      <c r="E2300" t="str">
        <f>"T4 201908071042"</f>
        <v>T4 201908071042</v>
      </c>
      <c r="F2300" t="str">
        <f>"MEDICARE TAXES"</f>
        <v>MEDICARE TAXES</v>
      </c>
      <c r="G2300" s="2">
        <v>25501.24</v>
      </c>
      <c r="H2300" t="str">
        <f t="shared" ref="H2300:H2331" si="38">"MEDICARE TAXES"</f>
        <v>MEDICARE TAXES</v>
      </c>
    </row>
    <row r="2301" spans="5:8" x14ac:dyDescent="0.25">
      <c r="E2301" t="str">
        <f>""</f>
        <v/>
      </c>
      <c r="F2301" t="str">
        <f>""</f>
        <v/>
      </c>
      <c r="H2301" t="str">
        <f t="shared" si="38"/>
        <v>MEDICARE TAXES</v>
      </c>
    </row>
    <row r="2302" spans="5:8" x14ac:dyDescent="0.25">
      <c r="E2302" t="str">
        <f>""</f>
        <v/>
      </c>
      <c r="F2302" t="str">
        <f>""</f>
        <v/>
      </c>
      <c r="H2302" t="str">
        <f t="shared" si="38"/>
        <v>MEDICARE TAXES</v>
      </c>
    </row>
    <row r="2303" spans="5:8" x14ac:dyDescent="0.25">
      <c r="E2303" t="str">
        <f>""</f>
        <v/>
      </c>
      <c r="F2303" t="str">
        <f>""</f>
        <v/>
      </c>
      <c r="H2303" t="str">
        <f t="shared" si="38"/>
        <v>MEDICARE TAXES</v>
      </c>
    </row>
    <row r="2304" spans="5:8" x14ac:dyDescent="0.25">
      <c r="E2304" t="str">
        <f>""</f>
        <v/>
      </c>
      <c r="F2304" t="str">
        <f>""</f>
        <v/>
      </c>
      <c r="H2304" t="str">
        <f t="shared" si="38"/>
        <v>MEDICARE TAXES</v>
      </c>
    </row>
    <row r="2305" spans="5:8" x14ac:dyDescent="0.25">
      <c r="E2305" t="str">
        <f>""</f>
        <v/>
      </c>
      <c r="F2305" t="str">
        <f>""</f>
        <v/>
      </c>
      <c r="H2305" t="str">
        <f t="shared" si="38"/>
        <v>MEDICARE TAXES</v>
      </c>
    </row>
    <row r="2306" spans="5:8" x14ac:dyDescent="0.25">
      <c r="E2306" t="str">
        <f>""</f>
        <v/>
      </c>
      <c r="F2306" t="str">
        <f>""</f>
        <v/>
      </c>
      <c r="H2306" t="str">
        <f t="shared" si="38"/>
        <v>MEDICARE TAXES</v>
      </c>
    </row>
    <row r="2307" spans="5:8" x14ac:dyDescent="0.25">
      <c r="E2307" t="str">
        <f>""</f>
        <v/>
      </c>
      <c r="F2307" t="str">
        <f>""</f>
        <v/>
      </c>
      <c r="H2307" t="str">
        <f t="shared" si="38"/>
        <v>MEDICARE TAXES</v>
      </c>
    </row>
    <row r="2308" spans="5:8" x14ac:dyDescent="0.25">
      <c r="E2308" t="str">
        <f>""</f>
        <v/>
      </c>
      <c r="F2308" t="str">
        <f>""</f>
        <v/>
      </c>
      <c r="H2308" t="str">
        <f t="shared" si="38"/>
        <v>MEDICARE TAXES</v>
      </c>
    </row>
    <row r="2309" spans="5:8" x14ac:dyDescent="0.25">
      <c r="E2309" t="str">
        <f>""</f>
        <v/>
      </c>
      <c r="F2309" t="str">
        <f>""</f>
        <v/>
      </c>
      <c r="H2309" t="str">
        <f t="shared" si="38"/>
        <v>MEDICARE TAXES</v>
      </c>
    </row>
    <row r="2310" spans="5:8" x14ac:dyDescent="0.25">
      <c r="E2310" t="str">
        <f>""</f>
        <v/>
      </c>
      <c r="F2310" t="str">
        <f>""</f>
        <v/>
      </c>
      <c r="H2310" t="str">
        <f t="shared" si="38"/>
        <v>MEDICARE TAXES</v>
      </c>
    </row>
    <row r="2311" spans="5:8" x14ac:dyDescent="0.25">
      <c r="E2311" t="str">
        <f>""</f>
        <v/>
      </c>
      <c r="F2311" t="str">
        <f>""</f>
        <v/>
      </c>
      <c r="H2311" t="str">
        <f t="shared" si="38"/>
        <v>MEDICARE TAXES</v>
      </c>
    </row>
    <row r="2312" spans="5:8" x14ac:dyDescent="0.25">
      <c r="E2312" t="str">
        <f>""</f>
        <v/>
      </c>
      <c r="F2312" t="str">
        <f>""</f>
        <v/>
      </c>
      <c r="H2312" t="str">
        <f t="shared" si="38"/>
        <v>MEDICARE TAXES</v>
      </c>
    </row>
    <row r="2313" spans="5:8" x14ac:dyDescent="0.25">
      <c r="E2313" t="str">
        <f>""</f>
        <v/>
      </c>
      <c r="F2313" t="str">
        <f>""</f>
        <v/>
      </c>
      <c r="H2313" t="str">
        <f t="shared" si="38"/>
        <v>MEDICARE TAXES</v>
      </c>
    </row>
    <row r="2314" spans="5:8" x14ac:dyDescent="0.25">
      <c r="E2314" t="str">
        <f>""</f>
        <v/>
      </c>
      <c r="F2314" t="str">
        <f>""</f>
        <v/>
      </c>
      <c r="H2314" t="str">
        <f t="shared" si="38"/>
        <v>MEDICARE TAXES</v>
      </c>
    </row>
    <row r="2315" spans="5:8" x14ac:dyDescent="0.25">
      <c r="E2315" t="str">
        <f>""</f>
        <v/>
      </c>
      <c r="F2315" t="str">
        <f>""</f>
        <v/>
      </c>
      <c r="H2315" t="str">
        <f t="shared" si="38"/>
        <v>MEDICARE TAXES</v>
      </c>
    </row>
    <row r="2316" spans="5:8" x14ac:dyDescent="0.25">
      <c r="E2316" t="str">
        <f>""</f>
        <v/>
      </c>
      <c r="F2316" t="str">
        <f>""</f>
        <v/>
      </c>
      <c r="H2316" t="str">
        <f t="shared" si="38"/>
        <v>MEDICARE TAXES</v>
      </c>
    </row>
    <row r="2317" spans="5:8" x14ac:dyDescent="0.25">
      <c r="E2317" t="str">
        <f>""</f>
        <v/>
      </c>
      <c r="F2317" t="str">
        <f>""</f>
        <v/>
      </c>
      <c r="H2317" t="str">
        <f t="shared" si="38"/>
        <v>MEDICARE TAXES</v>
      </c>
    </row>
    <row r="2318" spans="5:8" x14ac:dyDescent="0.25">
      <c r="E2318" t="str">
        <f>""</f>
        <v/>
      </c>
      <c r="F2318" t="str">
        <f>""</f>
        <v/>
      </c>
      <c r="H2318" t="str">
        <f t="shared" si="38"/>
        <v>MEDICARE TAXES</v>
      </c>
    </row>
    <row r="2319" spans="5:8" x14ac:dyDescent="0.25">
      <c r="E2319" t="str">
        <f>""</f>
        <v/>
      </c>
      <c r="F2319" t="str">
        <f>""</f>
        <v/>
      </c>
      <c r="H2319" t="str">
        <f t="shared" si="38"/>
        <v>MEDICARE TAXES</v>
      </c>
    </row>
    <row r="2320" spans="5:8" x14ac:dyDescent="0.25">
      <c r="E2320" t="str">
        <f>""</f>
        <v/>
      </c>
      <c r="F2320" t="str">
        <f>""</f>
        <v/>
      </c>
      <c r="H2320" t="str">
        <f t="shared" si="38"/>
        <v>MEDICARE TAXES</v>
      </c>
    </row>
    <row r="2321" spans="5:8" x14ac:dyDescent="0.25">
      <c r="E2321" t="str">
        <f>""</f>
        <v/>
      </c>
      <c r="F2321" t="str">
        <f>""</f>
        <v/>
      </c>
      <c r="H2321" t="str">
        <f t="shared" si="38"/>
        <v>MEDICARE TAXES</v>
      </c>
    </row>
    <row r="2322" spans="5:8" x14ac:dyDescent="0.25">
      <c r="E2322" t="str">
        <f>""</f>
        <v/>
      </c>
      <c r="F2322" t="str">
        <f>""</f>
        <v/>
      </c>
      <c r="H2322" t="str">
        <f t="shared" si="38"/>
        <v>MEDICARE TAXES</v>
      </c>
    </row>
    <row r="2323" spans="5:8" x14ac:dyDescent="0.25">
      <c r="E2323" t="str">
        <f>""</f>
        <v/>
      </c>
      <c r="F2323" t="str">
        <f>""</f>
        <v/>
      </c>
      <c r="H2323" t="str">
        <f t="shared" si="38"/>
        <v>MEDICARE TAXES</v>
      </c>
    </row>
    <row r="2324" spans="5:8" x14ac:dyDescent="0.25">
      <c r="E2324" t="str">
        <f>""</f>
        <v/>
      </c>
      <c r="F2324" t="str">
        <f>""</f>
        <v/>
      </c>
      <c r="H2324" t="str">
        <f t="shared" si="38"/>
        <v>MEDICARE TAXES</v>
      </c>
    </row>
    <row r="2325" spans="5:8" x14ac:dyDescent="0.25">
      <c r="E2325" t="str">
        <f>""</f>
        <v/>
      </c>
      <c r="F2325" t="str">
        <f>""</f>
        <v/>
      </c>
      <c r="H2325" t="str">
        <f t="shared" si="38"/>
        <v>MEDICARE TAXES</v>
      </c>
    </row>
    <row r="2326" spans="5:8" x14ac:dyDescent="0.25">
      <c r="E2326" t="str">
        <f>""</f>
        <v/>
      </c>
      <c r="F2326" t="str">
        <f>""</f>
        <v/>
      </c>
      <c r="H2326" t="str">
        <f t="shared" si="38"/>
        <v>MEDICARE TAXES</v>
      </c>
    </row>
    <row r="2327" spans="5:8" x14ac:dyDescent="0.25">
      <c r="E2327" t="str">
        <f>""</f>
        <v/>
      </c>
      <c r="F2327" t="str">
        <f>""</f>
        <v/>
      </c>
      <c r="H2327" t="str">
        <f t="shared" si="38"/>
        <v>MEDICARE TAXES</v>
      </c>
    </row>
    <row r="2328" spans="5:8" x14ac:dyDescent="0.25">
      <c r="E2328" t="str">
        <f>""</f>
        <v/>
      </c>
      <c r="F2328" t="str">
        <f>""</f>
        <v/>
      </c>
      <c r="H2328" t="str">
        <f t="shared" si="38"/>
        <v>MEDICARE TAXES</v>
      </c>
    </row>
    <row r="2329" spans="5:8" x14ac:dyDescent="0.25">
      <c r="E2329" t="str">
        <f>""</f>
        <v/>
      </c>
      <c r="F2329" t="str">
        <f>""</f>
        <v/>
      </c>
      <c r="H2329" t="str">
        <f t="shared" si="38"/>
        <v>MEDICARE TAXES</v>
      </c>
    </row>
    <row r="2330" spans="5:8" x14ac:dyDescent="0.25">
      <c r="E2330" t="str">
        <f>""</f>
        <v/>
      </c>
      <c r="F2330" t="str">
        <f>""</f>
        <v/>
      </c>
      <c r="H2330" t="str">
        <f t="shared" si="38"/>
        <v>MEDICARE TAXES</v>
      </c>
    </row>
    <row r="2331" spans="5:8" x14ac:dyDescent="0.25">
      <c r="E2331" t="str">
        <f>""</f>
        <v/>
      </c>
      <c r="F2331" t="str">
        <f>""</f>
        <v/>
      </c>
      <c r="H2331" t="str">
        <f t="shared" si="38"/>
        <v>MEDICARE TAXES</v>
      </c>
    </row>
    <row r="2332" spans="5:8" x14ac:dyDescent="0.25">
      <c r="E2332" t="str">
        <f>""</f>
        <v/>
      </c>
      <c r="F2332" t="str">
        <f>""</f>
        <v/>
      </c>
      <c r="H2332" t="str">
        <f t="shared" ref="H2332:H2355" si="39">"MEDICARE TAXES"</f>
        <v>MEDICARE TAXES</v>
      </c>
    </row>
    <row r="2333" spans="5:8" x14ac:dyDescent="0.25">
      <c r="E2333" t="str">
        <f>""</f>
        <v/>
      </c>
      <c r="F2333" t="str">
        <f>""</f>
        <v/>
      </c>
      <c r="H2333" t="str">
        <f t="shared" si="39"/>
        <v>MEDICARE TAXES</v>
      </c>
    </row>
    <row r="2334" spans="5:8" x14ac:dyDescent="0.25">
      <c r="E2334" t="str">
        <f>""</f>
        <v/>
      </c>
      <c r="F2334" t="str">
        <f>""</f>
        <v/>
      </c>
      <c r="H2334" t="str">
        <f t="shared" si="39"/>
        <v>MEDICARE TAXES</v>
      </c>
    </row>
    <row r="2335" spans="5:8" x14ac:dyDescent="0.25">
      <c r="E2335" t="str">
        <f>""</f>
        <v/>
      </c>
      <c r="F2335" t="str">
        <f>""</f>
        <v/>
      </c>
      <c r="H2335" t="str">
        <f t="shared" si="39"/>
        <v>MEDICARE TAXES</v>
      </c>
    </row>
    <row r="2336" spans="5:8" x14ac:dyDescent="0.25">
      <c r="E2336" t="str">
        <f>""</f>
        <v/>
      </c>
      <c r="F2336" t="str">
        <f>""</f>
        <v/>
      </c>
      <c r="H2336" t="str">
        <f t="shared" si="39"/>
        <v>MEDICARE TAXES</v>
      </c>
    </row>
    <row r="2337" spans="5:8" x14ac:dyDescent="0.25">
      <c r="E2337" t="str">
        <f>""</f>
        <v/>
      </c>
      <c r="F2337" t="str">
        <f>""</f>
        <v/>
      </c>
      <c r="H2337" t="str">
        <f t="shared" si="39"/>
        <v>MEDICARE TAXES</v>
      </c>
    </row>
    <row r="2338" spans="5:8" x14ac:dyDescent="0.25">
      <c r="E2338" t="str">
        <f>""</f>
        <v/>
      </c>
      <c r="F2338" t="str">
        <f>""</f>
        <v/>
      </c>
      <c r="H2338" t="str">
        <f t="shared" si="39"/>
        <v>MEDICARE TAXES</v>
      </c>
    </row>
    <row r="2339" spans="5:8" x14ac:dyDescent="0.25">
      <c r="E2339" t="str">
        <f>""</f>
        <v/>
      </c>
      <c r="F2339" t="str">
        <f>""</f>
        <v/>
      </c>
      <c r="H2339" t="str">
        <f t="shared" si="39"/>
        <v>MEDICARE TAXES</v>
      </c>
    </row>
    <row r="2340" spans="5:8" x14ac:dyDescent="0.25">
      <c r="E2340" t="str">
        <f>""</f>
        <v/>
      </c>
      <c r="F2340" t="str">
        <f>""</f>
        <v/>
      </c>
      <c r="H2340" t="str">
        <f t="shared" si="39"/>
        <v>MEDICARE TAXES</v>
      </c>
    </row>
    <row r="2341" spans="5:8" x14ac:dyDescent="0.25">
      <c r="E2341" t="str">
        <f>""</f>
        <v/>
      </c>
      <c r="F2341" t="str">
        <f>""</f>
        <v/>
      </c>
      <c r="H2341" t="str">
        <f t="shared" si="39"/>
        <v>MEDICARE TAXES</v>
      </c>
    </row>
    <row r="2342" spans="5:8" x14ac:dyDescent="0.25">
      <c r="E2342" t="str">
        <f>""</f>
        <v/>
      </c>
      <c r="F2342" t="str">
        <f>""</f>
        <v/>
      </c>
      <c r="H2342" t="str">
        <f t="shared" si="39"/>
        <v>MEDICARE TAXES</v>
      </c>
    </row>
    <row r="2343" spans="5:8" x14ac:dyDescent="0.25">
      <c r="E2343" t="str">
        <f>""</f>
        <v/>
      </c>
      <c r="F2343" t="str">
        <f>""</f>
        <v/>
      </c>
      <c r="H2343" t="str">
        <f t="shared" si="39"/>
        <v>MEDICARE TAXES</v>
      </c>
    </row>
    <row r="2344" spans="5:8" x14ac:dyDescent="0.25">
      <c r="E2344" t="str">
        <f>""</f>
        <v/>
      </c>
      <c r="F2344" t="str">
        <f>""</f>
        <v/>
      </c>
      <c r="H2344" t="str">
        <f t="shared" si="39"/>
        <v>MEDICARE TAXES</v>
      </c>
    </row>
    <row r="2345" spans="5:8" x14ac:dyDescent="0.25">
      <c r="E2345" t="str">
        <f>""</f>
        <v/>
      </c>
      <c r="F2345" t="str">
        <f>""</f>
        <v/>
      </c>
      <c r="H2345" t="str">
        <f t="shared" si="39"/>
        <v>MEDICARE TAXES</v>
      </c>
    </row>
    <row r="2346" spans="5:8" x14ac:dyDescent="0.25">
      <c r="E2346" t="str">
        <f>""</f>
        <v/>
      </c>
      <c r="F2346" t="str">
        <f>""</f>
        <v/>
      </c>
      <c r="H2346" t="str">
        <f t="shared" si="39"/>
        <v>MEDICARE TAXES</v>
      </c>
    </row>
    <row r="2347" spans="5:8" x14ac:dyDescent="0.25">
      <c r="E2347" t="str">
        <f>""</f>
        <v/>
      </c>
      <c r="F2347" t="str">
        <f>""</f>
        <v/>
      </c>
      <c r="H2347" t="str">
        <f t="shared" si="39"/>
        <v>MEDICARE TAXES</v>
      </c>
    </row>
    <row r="2348" spans="5:8" x14ac:dyDescent="0.25">
      <c r="E2348" t="str">
        <f>""</f>
        <v/>
      </c>
      <c r="F2348" t="str">
        <f>""</f>
        <v/>
      </c>
      <c r="H2348" t="str">
        <f t="shared" si="39"/>
        <v>MEDICARE TAXES</v>
      </c>
    </row>
    <row r="2349" spans="5:8" x14ac:dyDescent="0.25">
      <c r="E2349" t="str">
        <f>""</f>
        <v/>
      </c>
      <c r="F2349" t="str">
        <f>""</f>
        <v/>
      </c>
      <c r="H2349" t="str">
        <f t="shared" si="39"/>
        <v>MEDICARE TAXES</v>
      </c>
    </row>
    <row r="2350" spans="5:8" x14ac:dyDescent="0.25">
      <c r="E2350" t="str">
        <f>""</f>
        <v/>
      </c>
      <c r="F2350" t="str">
        <f>""</f>
        <v/>
      </c>
      <c r="H2350" t="str">
        <f t="shared" si="39"/>
        <v>MEDICARE TAXES</v>
      </c>
    </row>
    <row r="2351" spans="5:8" x14ac:dyDescent="0.25">
      <c r="E2351" t="str">
        <f>""</f>
        <v/>
      </c>
      <c r="F2351" t="str">
        <f>""</f>
        <v/>
      </c>
      <c r="H2351" t="str">
        <f t="shared" si="39"/>
        <v>MEDICARE TAXES</v>
      </c>
    </row>
    <row r="2352" spans="5:8" x14ac:dyDescent="0.25">
      <c r="E2352" t="str">
        <f>"T4 201908071043"</f>
        <v>T4 201908071043</v>
      </c>
      <c r="F2352" t="str">
        <f>"MEDICARE TAXES"</f>
        <v>MEDICARE TAXES</v>
      </c>
      <c r="G2352" s="2">
        <v>936.58</v>
      </c>
      <c r="H2352" t="str">
        <f t="shared" si="39"/>
        <v>MEDICARE TAXES</v>
      </c>
    </row>
    <row r="2353" spans="1:8" x14ac:dyDescent="0.25">
      <c r="E2353" t="str">
        <f>""</f>
        <v/>
      </c>
      <c r="F2353" t="str">
        <f>""</f>
        <v/>
      </c>
      <c r="H2353" t="str">
        <f t="shared" si="39"/>
        <v>MEDICARE TAXES</v>
      </c>
    </row>
    <row r="2354" spans="1:8" x14ac:dyDescent="0.25">
      <c r="E2354" t="str">
        <f>"T4 201908071044"</f>
        <v>T4 201908071044</v>
      </c>
      <c r="F2354" t="str">
        <f>"MEDICARE TAXES"</f>
        <v>MEDICARE TAXES</v>
      </c>
      <c r="G2354" s="2">
        <v>1164.7</v>
      </c>
      <c r="H2354" t="str">
        <f t="shared" si="39"/>
        <v>MEDICARE TAXES</v>
      </c>
    </row>
    <row r="2355" spans="1:8" x14ac:dyDescent="0.25">
      <c r="E2355" t="str">
        <f>""</f>
        <v/>
      </c>
      <c r="F2355" t="str">
        <f>""</f>
        <v/>
      </c>
      <c r="H2355" t="str">
        <f t="shared" si="39"/>
        <v>MEDICARE TAXES</v>
      </c>
    </row>
    <row r="2356" spans="1:8" x14ac:dyDescent="0.25">
      <c r="A2356" t="s">
        <v>511</v>
      </c>
      <c r="B2356">
        <v>198</v>
      </c>
      <c r="C2356" s="2">
        <v>225549.13</v>
      </c>
      <c r="D2356" s="1">
        <v>43700</v>
      </c>
      <c r="E2356" t="str">
        <f>"T1 201908201222"</f>
        <v>T1 201908201222</v>
      </c>
      <c r="F2356" t="str">
        <f>"FEDERAL WITHHOLDING"</f>
        <v>FEDERAL WITHHOLDING</v>
      </c>
      <c r="G2356" s="2">
        <v>73406.789999999994</v>
      </c>
      <c r="H2356" t="str">
        <f>"FEDERAL WITHHOLDING"</f>
        <v>FEDERAL WITHHOLDING</v>
      </c>
    </row>
    <row r="2357" spans="1:8" x14ac:dyDescent="0.25">
      <c r="E2357" t="str">
        <f>"T1 201908201223"</f>
        <v>T1 201908201223</v>
      </c>
      <c r="F2357" t="str">
        <f>"FEDERAL WITHHOLDING"</f>
        <v>FEDERAL WITHHOLDING</v>
      </c>
      <c r="G2357" s="2">
        <v>3075.36</v>
      </c>
      <c r="H2357" t="str">
        <f>"FEDERAL WITHHOLDING"</f>
        <v>FEDERAL WITHHOLDING</v>
      </c>
    </row>
    <row r="2358" spans="1:8" x14ac:dyDescent="0.25">
      <c r="E2358" t="str">
        <f>"T1 201908201224"</f>
        <v>T1 201908201224</v>
      </c>
      <c r="F2358" t="str">
        <f>"FEDERAL WITHHOLDING"</f>
        <v>FEDERAL WITHHOLDING</v>
      </c>
      <c r="G2358" s="2">
        <v>3949.62</v>
      </c>
      <c r="H2358" t="str">
        <f>"FEDERAL WITHHOLDING"</f>
        <v>FEDERAL WITHHOLDING</v>
      </c>
    </row>
    <row r="2359" spans="1:8" x14ac:dyDescent="0.25">
      <c r="E2359" t="str">
        <f>"T3 201908201222"</f>
        <v>T3 201908201222</v>
      </c>
      <c r="F2359" t="str">
        <f>"SOCIAL SECURITY TAXES"</f>
        <v>SOCIAL SECURITY TAXES</v>
      </c>
      <c r="G2359" s="2">
        <v>108068.5</v>
      </c>
      <c r="H2359" t="str">
        <f t="shared" ref="H2359:H2390" si="40">"SOCIAL SECURITY TAXES"</f>
        <v>SOCIAL SECURITY TAXES</v>
      </c>
    </row>
    <row r="2360" spans="1:8" x14ac:dyDescent="0.25">
      <c r="E2360" t="str">
        <f>""</f>
        <v/>
      </c>
      <c r="F2360" t="str">
        <f>""</f>
        <v/>
      </c>
      <c r="H2360" t="str">
        <f t="shared" si="40"/>
        <v>SOCIAL SECURITY TAXES</v>
      </c>
    </row>
    <row r="2361" spans="1:8" x14ac:dyDescent="0.25">
      <c r="E2361" t="str">
        <f>""</f>
        <v/>
      </c>
      <c r="F2361" t="str">
        <f>""</f>
        <v/>
      </c>
      <c r="H2361" t="str">
        <f t="shared" si="40"/>
        <v>SOCIAL SECURITY TAXES</v>
      </c>
    </row>
    <row r="2362" spans="1:8" x14ac:dyDescent="0.25">
      <c r="E2362" t="str">
        <f>""</f>
        <v/>
      </c>
      <c r="F2362" t="str">
        <f>""</f>
        <v/>
      </c>
      <c r="H2362" t="str">
        <f t="shared" si="40"/>
        <v>SOCIAL SECURITY TAXES</v>
      </c>
    </row>
    <row r="2363" spans="1:8" x14ac:dyDescent="0.25">
      <c r="E2363" t="str">
        <f>""</f>
        <v/>
      </c>
      <c r="F2363" t="str">
        <f>""</f>
        <v/>
      </c>
      <c r="H2363" t="str">
        <f t="shared" si="40"/>
        <v>SOCIAL SECURITY TAXES</v>
      </c>
    </row>
    <row r="2364" spans="1:8" x14ac:dyDescent="0.25">
      <c r="E2364" t="str">
        <f>""</f>
        <v/>
      </c>
      <c r="F2364" t="str">
        <f>""</f>
        <v/>
      </c>
      <c r="H2364" t="str">
        <f t="shared" si="40"/>
        <v>SOCIAL SECURITY TAXES</v>
      </c>
    </row>
    <row r="2365" spans="1:8" x14ac:dyDescent="0.25">
      <c r="E2365" t="str">
        <f>""</f>
        <v/>
      </c>
      <c r="F2365" t="str">
        <f>""</f>
        <v/>
      </c>
      <c r="H2365" t="str">
        <f t="shared" si="40"/>
        <v>SOCIAL SECURITY TAXES</v>
      </c>
    </row>
    <row r="2366" spans="1:8" x14ac:dyDescent="0.25">
      <c r="E2366" t="str">
        <f>""</f>
        <v/>
      </c>
      <c r="F2366" t="str">
        <f>""</f>
        <v/>
      </c>
      <c r="H2366" t="str">
        <f t="shared" si="40"/>
        <v>SOCIAL SECURITY TAXES</v>
      </c>
    </row>
    <row r="2367" spans="1:8" x14ac:dyDescent="0.25">
      <c r="E2367" t="str">
        <f>""</f>
        <v/>
      </c>
      <c r="F2367" t="str">
        <f>""</f>
        <v/>
      </c>
      <c r="H2367" t="str">
        <f t="shared" si="40"/>
        <v>SOCIAL SECURITY TAXES</v>
      </c>
    </row>
    <row r="2368" spans="1:8" x14ac:dyDescent="0.25">
      <c r="E2368" t="str">
        <f>""</f>
        <v/>
      </c>
      <c r="F2368" t="str">
        <f>""</f>
        <v/>
      </c>
      <c r="H2368" t="str">
        <f t="shared" si="40"/>
        <v>SOCIAL SECURITY TAXES</v>
      </c>
    </row>
    <row r="2369" spans="5:8" x14ac:dyDescent="0.25">
      <c r="E2369" t="str">
        <f>""</f>
        <v/>
      </c>
      <c r="F2369" t="str">
        <f>""</f>
        <v/>
      </c>
      <c r="H2369" t="str">
        <f t="shared" si="40"/>
        <v>SOCIAL SECURITY TAXES</v>
      </c>
    </row>
    <row r="2370" spans="5:8" x14ac:dyDescent="0.25">
      <c r="E2370" t="str">
        <f>""</f>
        <v/>
      </c>
      <c r="F2370" t="str">
        <f>""</f>
        <v/>
      </c>
      <c r="H2370" t="str">
        <f t="shared" si="40"/>
        <v>SOCIAL SECURITY TAXES</v>
      </c>
    </row>
    <row r="2371" spans="5:8" x14ac:dyDescent="0.25">
      <c r="E2371" t="str">
        <f>""</f>
        <v/>
      </c>
      <c r="F2371" t="str">
        <f>""</f>
        <v/>
      </c>
      <c r="H2371" t="str">
        <f t="shared" si="40"/>
        <v>SOCIAL SECURITY TAXES</v>
      </c>
    </row>
    <row r="2372" spans="5:8" x14ac:dyDescent="0.25">
      <c r="E2372" t="str">
        <f>""</f>
        <v/>
      </c>
      <c r="F2372" t="str">
        <f>""</f>
        <v/>
      </c>
      <c r="H2372" t="str">
        <f t="shared" si="40"/>
        <v>SOCIAL SECURITY TAXES</v>
      </c>
    </row>
    <row r="2373" spans="5:8" x14ac:dyDescent="0.25">
      <c r="E2373" t="str">
        <f>""</f>
        <v/>
      </c>
      <c r="F2373" t="str">
        <f>""</f>
        <v/>
      </c>
      <c r="H2373" t="str">
        <f t="shared" si="40"/>
        <v>SOCIAL SECURITY TAXES</v>
      </c>
    </row>
    <row r="2374" spans="5:8" x14ac:dyDescent="0.25">
      <c r="E2374" t="str">
        <f>""</f>
        <v/>
      </c>
      <c r="F2374" t="str">
        <f>""</f>
        <v/>
      </c>
      <c r="H2374" t="str">
        <f t="shared" si="40"/>
        <v>SOCIAL SECURITY TAXES</v>
      </c>
    </row>
    <row r="2375" spans="5:8" x14ac:dyDescent="0.25">
      <c r="E2375" t="str">
        <f>""</f>
        <v/>
      </c>
      <c r="F2375" t="str">
        <f>""</f>
        <v/>
      </c>
      <c r="H2375" t="str">
        <f t="shared" si="40"/>
        <v>SOCIAL SECURITY TAXES</v>
      </c>
    </row>
    <row r="2376" spans="5:8" x14ac:dyDescent="0.25">
      <c r="E2376" t="str">
        <f>""</f>
        <v/>
      </c>
      <c r="F2376" t="str">
        <f>""</f>
        <v/>
      </c>
      <c r="H2376" t="str">
        <f t="shared" si="40"/>
        <v>SOCIAL SECURITY TAXES</v>
      </c>
    </row>
    <row r="2377" spans="5:8" x14ac:dyDescent="0.25">
      <c r="E2377" t="str">
        <f>""</f>
        <v/>
      </c>
      <c r="F2377" t="str">
        <f>""</f>
        <v/>
      </c>
      <c r="H2377" t="str">
        <f t="shared" si="40"/>
        <v>SOCIAL SECURITY TAXES</v>
      </c>
    </row>
    <row r="2378" spans="5:8" x14ac:dyDescent="0.25">
      <c r="E2378" t="str">
        <f>""</f>
        <v/>
      </c>
      <c r="F2378" t="str">
        <f>""</f>
        <v/>
      </c>
      <c r="H2378" t="str">
        <f t="shared" si="40"/>
        <v>SOCIAL SECURITY TAXES</v>
      </c>
    </row>
    <row r="2379" spans="5:8" x14ac:dyDescent="0.25">
      <c r="E2379" t="str">
        <f>""</f>
        <v/>
      </c>
      <c r="F2379" t="str">
        <f>""</f>
        <v/>
      </c>
      <c r="H2379" t="str">
        <f t="shared" si="40"/>
        <v>SOCIAL SECURITY TAXES</v>
      </c>
    </row>
    <row r="2380" spans="5:8" x14ac:dyDescent="0.25">
      <c r="E2380" t="str">
        <f>""</f>
        <v/>
      </c>
      <c r="F2380" t="str">
        <f>""</f>
        <v/>
      </c>
      <c r="H2380" t="str">
        <f t="shared" si="40"/>
        <v>SOCIAL SECURITY TAXES</v>
      </c>
    </row>
    <row r="2381" spans="5:8" x14ac:dyDescent="0.25">
      <c r="E2381" t="str">
        <f>""</f>
        <v/>
      </c>
      <c r="F2381" t="str">
        <f>""</f>
        <v/>
      </c>
      <c r="H2381" t="str">
        <f t="shared" si="40"/>
        <v>SOCIAL SECURITY TAXES</v>
      </c>
    </row>
    <row r="2382" spans="5:8" x14ac:dyDescent="0.25">
      <c r="E2382" t="str">
        <f>""</f>
        <v/>
      </c>
      <c r="F2382" t="str">
        <f>""</f>
        <v/>
      </c>
      <c r="H2382" t="str">
        <f t="shared" si="40"/>
        <v>SOCIAL SECURITY TAXES</v>
      </c>
    </row>
    <row r="2383" spans="5:8" x14ac:dyDescent="0.25">
      <c r="E2383" t="str">
        <f>""</f>
        <v/>
      </c>
      <c r="F2383" t="str">
        <f>""</f>
        <v/>
      </c>
      <c r="H2383" t="str">
        <f t="shared" si="40"/>
        <v>SOCIAL SECURITY TAXES</v>
      </c>
    </row>
    <row r="2384" spans="5:8" x14ac:dyDescent="0.25">
      <c r="E2384" t="str">
        <f>""</f>
        <v/>
      </c>
      <c r="F2384" t="str">
        <f>""</f>
        <v/>
      </c>
      <c r="H2384" t="str">
        <f t="shared" si="40"/>
        <v>SOCIAL SECURITY TAXES</v>
      </c>
    </row>
    <row r="2385" spans="5:8" x14ac:dyDescent="0.25">
      <c r="E2385" t="str">
        <f>""</f>
        <v/>
      </c>
      <c r="F2385" t="str">
        <f>""</f>
        <v/>
      </c>
      <c r="H2385" t="str">
        <f t="shared" si="40"/>
        <v>SOCIAL SECURITY TAXES</v>
      </c>
    </row>
    <row r="2386" spans="5:8" x14ac:dyDescent="0.25">
      <c r="E2386" t="str">
        <f>""</f>
        <v/>
      </c>
      <c r="F2386" t="str">
        <f>""</f>
        <v/>
      </c>
      <c r="H2386" t="str">
        <f t="shared" si="40"/>
        <v>SOCIAL SECURITY TAXES</v>
      </c>
    </row>
    <row r="2387" spans="5:8" x14ac:dyDescent="0.25">
      <c r="E2387" t="str">
        <f>""</f>
        <v/>
      </c>
      <c r="F2387" t="str">
        <f>""</f>
        <v/>
      </c>
      <c r="H2387" t="str">
        <f t="shared" si="40"/>
        <v>SOCIAL SECURITY TAXES</v>
      </c>
    </row>
    <row r="2388" spans="5:8" x14ac:dyDescent="0.25">
      <c r="E2388" t="str">
        <f>""</f>
        <v/>
      </c>
      <c r="F2388" t="str">
        <f>""</f>
        <v/>
      </c>
      <c r="H2388" t="str">
        <f t="shared" si="40"/>
        <v>SOCIAL SECURITY TAXES</v>
      </c>
    </row>
    <row r="2389" spans="5:8" x14ac:dyDescent="0.25">
      <c r="E2389" t="str">
        <f>""</f>
        <v/>
      </c>
      <c r="F2389" t="str">
        <f>""</f>
        <v/>
      </c>
      <c r="H2389" t="str">
        <f t="shared" si="40"/>
        <v>SOCIAL SECURITY TAXES</v>
      </c>
    </row>
    <row r="2390" spans="5:8" x14ac:dyDescent="0.25">
      <c r="E2390" t="str">
        <f>""</f>
        <v/>
      </c>
      <c r="F2390" t="str">
        <f>""</f>
        <v/>
      </c>
      <c r="H2390" t="str">
        <f t="shared" si="40"/>
        <v>SOCIAL SECURITY TAXES</v>
      </c>
    </row>
    <row r="2391" spans="5:8" x14ac:dyDescent="0.25">
      <c r="E2391" t="str">
        <f>""</f>
        <v/>
      </c>
      <c r="F2391" t="str">
        <f>""</f>
        <v/>
      </c>
      <c r="H2391" t="str">
        <f t="shared" ref="H2391:H2413" si="41">"SOCIAL SECURITY TAXES"</f>
        <v>SOCIAL SECURITY TAXES</v>
      </c>
    </row>
    <row r="2392" spans="5:8" x14ac:dyDescent="0.25">
      <c r="E2392" t="str">
        <f>""</f>
        <v/>
      </c>
      <c r="F2392" t="str">
        <f>""</f>
        <v/>
      </c>
      <c r="H2392" t="str">
        <f t="shared" si="41"/>
        <v>SOCIAL SECURITY TAXES</v>
      </c>
    </row>
    <row r="2393" spans="5:8" x14ac:dyDescent="0.25">
      <c r="E2393" t="str">
        <f>""</f>
        <v/>
      </c>
      <c r="F2393" t="str">
        <f>""</f>
        <v/>
      </c>
      <c r="H2393" t="str">
        <f t="shared" si="41"/>
        <v>SOCIAL SECURITY TAXES</v>
      </c>
    </row>
    <row r="2394" spans="5:8" x14ac:dyDescent="0.25">
      <c r="E2394" t="str">
        <f>""</f>
        <v/>
      </c>
      <c r="F2394" t="str">
        <f>""</f>
        <v/>
      </c>
      <c r="H2394" t="str">
        <f t="shared" si="41"/>
        <v>SOCIAL SECURITY TAXES</v>
      </c>
    </row>
    <row r="2395" spans="5:8" x14ac:dyDescent="0.25">
      <c r="E2395" t="str">
        <f>""</f>
        <v/>
      </c>
      <c r="F2395" t="str">
        <f>""</f>
        <v/>
      </c>
      <c r="H2395" t="str">
        <f t="shared" si="41"/>
        <v>SOCIAL SECURITY TAXES</v>
      </c>
    </row>
    <row r="2396" spans="5:8" x14ac:dyDescent="0.25">
      <c r="E2396" t="str">
        <f>""</f>
        <v/>
      </c>
      <c r="F2396" t="str">
        <f>""</f>
        <v/>
      </c>
      <c r="H2396" t="str">
        <f t="shared" si="41"/>
        <v>SOCIAL SECURITY TAXES</v>
      </c>
    </row>
    <row r="2397" spans="5:8" x14ac:dyDescent="0.25">
      <c r="E2397" t="str">
        <f>""</f>
        <v/>
      </c>
      <c r="F2397" t="str">
        <f>""</f>
        <v/>
      </c>
      <c r="H2397" t="str">
        <f t="shared" si="41"/>
        <v>SOCIAL SECURITY TAXES</v>
      </c>
    </row>
    <row r="2398" spans="5:8" x14ac:dyDescent="0.25">
      <c r="E2398" t="str">
        <f>""</f>
        <v/>
      </c>
      <c r="F2398" t="str">
        <f>""</f>
        <v/>
      </c>
      <c r="H2398" t="str">
        <f t="shared" si="41"/>
        <v>SOCIAL SECURITY TAXES</v>
      </c>
    </row>
    <row r="2399" spans="5:8" x14ac:dyDescent="0.25">
      <c r="E2399" t="str">
        <f>""</f>
        <v/>
      </c>
      <c r="F2399" t="str">
        <f>""</f>
        <v/>
      </c>
      <c r="H2399" t="str">
        <f t="shared" si="41"/>
        <v>SOCIAL SECURITY TAXES</v>
      </c>
    </row>
    <row r="2400" spans="5:8" x14ac:dyDescent="0.25">
      <c r="E2400" t="str">
        <f>""</f>
        <v/>
      </c>
      <c r="F2400" t="str">
        <f>""</f>
        <v/>
      </c>
      <c r="H2400" t="str">
        <f t="shared" si="41"/>
        <v>SOCIAL SECURITY TAXES</v>
      </c>
    </row>
    <row r="2401" spans="5:8" x14ac:dyDescent="0.25">
      <c r="E2401" t="str">
        <f>""</f>
        <v/>
      </c>
      <c r="F2401" t="str">
        <f>""</f>
        <v/>
      </c>
      <c r="H2401" t="str">
        <f t="shared" si="41"/>
        <v>SOCIAL SECURITY TAXES</v>
      </c>
    </row>
    <row r="2402" spans="5:8" x14ac:dyDescent="0.25">
      <c r="E2402" t="str">
        <f>""</f>
        <v/>
      </c>
      <c r="F2402" t="str">
        <f>""</f>
        <v/>
      </c>
      <c r="H2402" t="str">
        <f t="shared" si="41"/>
        <v>SOCIAL SECURITY TAXES</v>
      </c>
    </row>
    <row r="2403" spans="5:8" x14ac:dyDescent="0.25">
      <c r="E2403" t="str">
        <f>""</f>
        <v/>
      </c>
      <c r="F2403" t="str">
        <f>""</f>
        <v/>
      </c>
      <c r="H2403" t="str">
        <f t="shared" si="41"/>
        <v>SOCIAL SECURITY TAXES</v>
      </c>
    </row>
    <row r="2404" spans="5:8" x14ac:dyDescent="0.25">
      <c r="E2404" t="str">
        <f>""</f>
        <v/>
      </c>
      <c r="F2404" t="str">
        <f>""</f>
        <v/>
      </c>
      <c r="H2404" t="str">
        <f t="shared" si="41"/>
        <v>SOCIAL SECURITY TAXES</v>
      </c>
    </row>
    <row r="2405" spans="5:8" x14ac:dyDescent="0.25">
      <c r="E2405" t="str">
        <f>""</f>
        <v/>
      </c>
      <c r="F2405" t="str">
        <f>""</f>
        <v/>
      </c>
      <c r="H2405" t="str">
        <f t="shared" si="41"/>
        <v>SOCIAL SECURITY TAXES</v>
      </c>
    </row>
    <row r="2406" spans="5:8" x14ac:dyDescent="0.25">
      <c r="E2406" t="str">
        <f>""</f>
        <v/>
      </c>
      <c r="F2406" t="str">
        <f>""</f>
        <v/>
      </c>
      <c r="H2406" t="str">
        <f t="shared" si="41"/>
        <v>SOCIAL SECURITY TAXES</v>
      </c>
    </row>
    <row r="2407" spans="5:8" x14ac:dyDescent="0.25">
      <c r="E2407" t="str">
        <f>""</f>
        <v/>
      </c>
      <c r="F2407" t="str">
        <f>""</f>
        <v/>
      </c>
      <c r="H2407" t="str">
        <f t="shared" si="41"/>
        <v>SOCIAL SECURITY TAXES</v>
      </c>
    </row>
    <row r="2408" spans="5:8" x14ac:dyDescent="0.25">
      <c r="E2408" t="str">
        <f>""</f>
        <v/>
      </c>
      <c r="F2408" t="str">
        <f>""</f>
        <v/>
      </c>
      <c r="H2408" t="str">
        <f t="shared" si="41"/>
        <v>SOCIAL SECURITY TAXES</v>
      </c>
    </row>
    <row r="2409" spans="5:8" x14ac:dyDescent="0.25">
      <c r="E2409" t="str">
        <f>""</f>
        <v/>
      </c>
      <c r="F2409" t="str">
        <f>""</f>
        <v/>
      </c>
      <c r="H2409" t="str">
        <f t="shared" si="41"/>
        <v>SOCIAL SECURITY TAXES</v>
      </c>
    </row>
    <row r="2410" spans="5:8" x14ac:dyDescent="0.25">
      <c r="E2410" t="str">
        <f>"T3 201908201223"</f>
        <v>T3 201908201223</v>
      </c>
      <c r="F2410" t="str">
        <f>"SOCIAL SECURITY TAXES"</f>
        <v>SOCIAL SECURITY TAXES</v>
      </c>
      <c r="G2410" s="2">
        <v>4244.66</v>
      </c>
      <c r="H2410" t="str">
        <f t="shared" si="41"/>
        <v>SOCIAL SECURITY TAXES</v>
      </c>
    </row>
    <row r="2411" spans="5:8" x14ac:dyDescent="0.25">
      <c r="E2411" t="str">
        <f>""</f>
        <v/>
      </c>
      <c r="F2411" t="str">
        <f>""</f>
        <v/>
      </c>
      <c r="H2411" t="str">
        <f t="shared" si="41"/>
        <v>SOCIAL SECURITY TAXES</v>
      </c>
    </row>
    <row r="2412" spans="5:8" x14ac:dyDescent="0.25">
      <c r="E2412" t="str">
        <f>"T3 201908201224"</f>
        <v>T3 201908201224</v>
      </c>
      <c r="F2412" t="str">
        <f>"SOCIAL SECURITY TAXES"</f>
        <v>SOCIAL SECURITY TAXES</v>
      </c>
      <c r="G2412" s="2">
        <v>5298.28</v>
      </c>
      <c r="H2412" t="str">
        <f t="shared" si="41"/>
        <v>SOCIAL SECURITY TAXES</v>
      </c>
    </row>
    <row r="2413" spans="5:8" x14ac:dyDescent="0.25">
      <c r="E2413" t="str">
        <f>""</f>
        <v/>
      </c>
      <c r="F2413" t="str">
        <f>""</f>
        <v/>
      </c>
      <c r="H2413" t="str">
        <f t="shared" si="41"/>
        <v>SOCIAL SECURITY TAXES</v>
      </c>
    </row>
    <row r="2414" spans="5:8" x14ac:dyDescent="0.25">
      <c r="E2414" t="str">
        <f>"T4 201908201222"</f>
        <v>T4 201908201222</v>
      </c>
      <c r="F2414" t="str">
        <f>"MEDICARE TAXES"</f>
        <v>MEDICARE TAXES</v>
      </c>
      <c r="G2414" s="2">
        <v>25274.080000000002</v>
      </c>
      <c r="H2414" t="str">
        <f t="shared" ref="H2414:H2445" si="42">"MEDICARE TAXES"</f>
        <v>MEDICARE TAXES</v>
      </c>
    </row>
    <row r="2415" spans="5:8" x14ac:dyDescent="0.25">
      <c r="E2415" t="str">
        <f>""</f>
        <v/>
      </c>
      <c r="F2415" t="str">
        <f>""</f>
        <v/>
      </c>
      <c r="H2415" t="str">
        <f t="shared" si="42"/>
        <v>MEDICARE TAXES</v>
      </c>
    </row>
    <row r="2416" spans="5:8" x14ac:dyDescent="0.25">
      <c r="E2416" t="str">
        <f>""</f>
        <v/>
      </c>
      <c r="F2416" t="str">
        <f>""</f>
        <v/>
      </c>
      <c r="H2416" t="str">
        <f t="shared" si="42"/>
        <v>MEDICARE TAXES</v>
      </c>
    </row>
    <row r="2417" spans="5:8" x14ac:dyDescent="0.25">
      <c r="E2417" t="str">
        <f>""</f>
        <v/>
      </c>
      <c r="F2417" t="str">
        <f>""</f>
        <v/>
      </c>
      <c r="H2417" t="str">
        <f t="shared" si="42"/>
        <v>MEDICARE TAXES</v>
      </c>
    </row>
    <row r="2418" spans="5:8" x14ac:dyDescent="0.25">
      <c r="E2418" t="str">
        <f>""</f>
        <v/>
      </c>
      <c r="F2418" t="str">
        <f>""</f>
        <v/>
      </c>
      <c r="H2418" t="str">
        <f t="shared" si="42"/>
        <v>MEDICARE TAXES</v>
      </c>
    </row>
    <row r="2419" spans="5:8" x14ac:dyDescent="0.25">
      <c r="E2419" t="str">
        <f>""</f>
        <v/>
      </c>
      <c r="F2419" t="str">
        <f>""</f>
        <v/>
      </c>
      <c r="H2419" t="str">
        <f t="shared" si="42"/>
        <v>MEDICARE TAXES</v>
      </c>
    </row>
    <row r="2420" spans="5:8" x14ac:dyDescent="0.25">
      <c r="E2420" t="str">
        <f>""</f>
        <v/>
      </c>
      <c r="F2420" t="str">
        <f>""</f>
        <v/>
      </c>
      <c r="H2420" t="str">
        <f t="shared" si="42"/>
        <v>MEDICARE TAXES</v>
      </c>
    </row>
    <row r="2421" spans="5:8" x14ac:dyDescent="0.25">
      <c r="E2421" t="str">
        <f>""</f>
        <v/>
      </c>
      <c r="F2421" t="str">
        <f>""</f>
        <v/>
      </c>
      <c r="H2421" t="str">
        <f t="shared" si="42"/>
        <v>MEDICARE TAXES</v>
      </c>
    </row>
    <row r="2422" spans="5:8" x14ac:dyDescent="0.25">
      <c r="E2422" t="str">
        <f>""</f>
        <v/>
      </c>
      <c r="F2422" t="str">
        <f>""</f>
        <v/>
      </c>
      <c r="H2422" t="str">
        <f t="shared" si="42"/>
        <v>MEDICARE TAXES</v>
      </c>
    </row>
    <row r="2423" spans="5:8" x14ac:dyDescent="0.25">
      <c r="E2423" t="str">
        <f>""</f>
        <v/>
      </c>
      <c r="F2423" t="str">
        <f>""</f>
        <v/>
      </c>
      <c r="H2423" t="str">
        <f t="shared" si="42"/>
        <v>MEDICARE TAXES</v>
      </c>
    </row>
    <row r="2424" spans="5:8" x14ac:dyDescent="0.25">
      <c r="E2424" t="str">
        <f>""</f>
        <v/>
      </c>
      <c r="F2424" t="str">
        <f>""</f>
        <v/>
      </c>
      <c r="H2424" t="str">
        <f t="shared" si="42"/>
        <v>MEDICARE TAXES</v>
      </c>
    </row>
    <row r="2425" spans="5:8" x14ac:dyDescent="0.25">
      <c r="E2425" t="str">
        <f>""</f>
        <v/>
      </c>
      <c r="F2425" t="str">
        <f>""</f>
        <v/>
      </c>
      <c r="H2425" t="str">
        <f t="shared" si="42"/>
        <v>MEDICARE TAXES</v>
      </c>
    </row>
    <row r="2426" spans="5:8" x14ac:dyDescent="0.25">
      <c r="E2426" t="str">
        <f>""</f>
        <v/>
      </c>
      <c r="F2426" t="str">
        <f>""</f>
        <v/>
      </c>
      <c r="H2426" t="str">
        <f t="shared" si="42"/>
        <v>MEDICARE TAXES</v>
      </c>
    </row>
    <row r="2427" spans="5:8" x14ac:dyDescent="0.25">
      <c r="E2427" t="str">
        <f>""</f>
        <v/>
      </c>
      <c r="F2427" t="str">
        <f>""</f>
        <v/>
      </c>
      <c r="H2427" t="str">
        <f t="shared" si="42"/>
        <v>MEDICARE TAXES</v>
      </c>
    </row>
    <row r="2428" spans="5:8" x14ac:dyDescent="0.25">
      <c r="E2428" t="str">
        <f>""</f>
        <v/>
      </c>
      <c r="F2428" t="str">
        <f>""</f>
        <v/>
      </c>
      <c r="H2428" t="str">
        <f t="shared" si="42"/>
        <v>MEDICARE TAXES</v>
      </c>
    </row>
    <row r="2429" spans="5:8" x14ac:dyDescent="0.25">
      <c r="E2429" t="str">
        <f>""</f>
        <v/>
      </c>
      <c r="F2429" t="str">
        <f>""</f>
        <v/>
      </c>
      <c r="H2429" t="str">
        <f t="shared" si="42"/>
        <v>MEDICARE TAXES</v>
      </c>
    </row>
    <row r="2430" spans="5:8" x14ac:dyDescent="0.25">
      <c r="E2430" t="str">
        <f>""</f>
        <v/>
      </c>
      <c r="F2430" t="str">
        <f>""</f>
        <v/>
      </c>
      <c r="H2430" t="str">
        <f t="shared" si="42"/>
        <v>MEDICARE TAXES</v>
      </c>
    </row>
    <row r="2431" spans="5:8" x14ac:dyDescent="0.25">
      <c r="E2431" t="str">
        <f>""</f>
        <v/>
      </c>
      <c r="F2431" t="str">
        <f>""</f>
        <v/>
      </c>
      <c r="H2431" t="str">
        <f t="shared" si="42"/>
        <v>MEDICARE TAXES</v>
      </c>
    </row>
    <row r="2432" spans="5:8" x14ac:dyDescent="0.25">
      <c r="E2432" t="str">
        <f>""</f>
        <v/>
      </c>
      <c r="F2432" t="str">
        <f>""</f>
        <v/>
      </c>
      <c r="H2432" t="str">
        <f t="shared" si="42"/>
        <v>MEDICARE TAXES</v>
      </c>
    </row>
    <row r="2433" spans="5:8" x14ac:dyDescent="0.25">
      <c r="E2433" t="str">
        <f>""</f>
        <v/>
      </c>
      <c r="F2433" t="str">
        <f>""</f>
        <v/>
      </c>
      <c r="H2433" t="str">
        <f t="shared" si="42"/>
        <v>MEDICARE TAXES</v>
      </c>
    </row>
    <row r="2434" spans="5:8" x14ac:dyDescent="0.25">
      <c r="E2434" t="str">
        <f>""</f>
        <v/>
      </c>
      <c r="F2434" t="str">
        <f>""</f>
        <v/>
      </c>
      <c r="H2434" t="str">
        <f t="shared" si="42"/>
        <v>MEDICARE TAXES</v>
      </c>
    </row>
    <row r="2435" spans="5:8" x14ac:dyDescent="0.25">
      <c r="E2435" t="str">
        <f>""</f>
        <v/>
      </c>
      <c r="F2435" t="str">
        <f>""</f>
        <v/>
      </c>
      <c r="H2435" t="str">
        <f t="shared" si="42"/>
        <v>MEDICARE TAXES</v>
      </c>
    </row>
    <row r="2436" spans="5:8" x14ac:dyDescent="0.25">
      <c r="E2436" t="str">
        <f>""</f>
        <v/>
      </c>
      <c r="F2436" t="str">
        <f>""</f>
        <v/>
      </c>
      <c r="H2436" t="str">
        <f t="shared" si="42"/>
        <v>MEDICARE TAXES</v>
      </c>
    </row>
    <row r="2437" spans="5:8" x14ac:dyDescent="0.25">
      <c r="E2437" t="str">
        <f>""</f>
        <v/>
      </c>
      <c r="F2437" t="str">
        <f>""</f>
        <v/>
      </c>
      <c r="H2437" t="str">
        <f t="shared" si="42"/>
        <v>MEDICARE TAXES</v>
      </c>
    </row>
    <row r="2438" spans="5:8" x14ac:dyDescent="0.25">
      <c r="E2438" t="str">
        <f>""</f>
        <v/>
      </c>
      <c r="F2438" t="str">
        <f>""</f>
        <v/>
      </c>
      <c r="H2438" t="str">
        <f t="shared" si="42"/>
        <v>MEDICARE TAXES</v>
      </c>
    </row>
    <row r="2439" spans="5:8" x14ac:dyDescent="0.25">
      <c r="E2439" t="str">
        <f>""</f>
        <v/>
      </c>
      <c r="F2439" t="str">
        <f>""</f>
        <v/>
      </c>
      <c r="H2439" t="str">
        <f t="shared" si="42"/>
        <v>MEDICARE TAXES</v>
      </c>
    </row>
    <row r="2440" spans="5:8" x14ac:dyDescent="0.25">
      <c r="E2440" t="str">
        <f>""</f>
        <v/>
      </c>
      <c r="F2440" t="str">
        <f>""</f>
        <v/>
      </c>
      <c r="H2440" t="str">
        <f t="shared" si="42"/>
        <v>MEDICARE TAXES</v>
      </c>
    </row>
    <row r="2441" spans="5:8" x14ac:dyDescent="0.25">
      <c r="E2441" t="str">
        <f>""</f>
        <v/>
      </c>
      <c r="F2441" t="str">
        <f>""</f>
        <v/>
      </c>
      <c r="H2441" t="str">
        <f t="shared" si="42"/>
        <v>MEDICARE TAXES</v>
      </c>
    </row>
    <row r="2442" spans="5:8" x14ac:dyDescent="0.25">
      <c r="E2442" t="str">
        <f>""</f>
        <v/>
      </c>
      <c r="F2442" t="str">
        <f>""</f>
        <v/>
      </c>
      <c r="H2442" t="str">
        <f t="shared" si="42"/>
        <v>MEDICARE TAXES</v>
      </c>
    </row>
    <row r="2443" spans="5:8" x14ac:dyDescent="0.25">
      <c r="E2443" t="str">
        <f>""</f>
        <v/>
      </c>
      <c r="F2443" t="str">
        <f>""</f>
        <v/>
      </c>
      <c r="H2443" t="str">
        <f t="shared" si="42"/>
        <v>MEDICARE TAXES</v>
      </c>
    </row>
    <row r="2444" spans="5:8" x14ac:dyDescent="0.25">
      <c r="E2444" t="str">
        <f>""</f>
        <v/>
      </c>
      <c r="F2444" t="str">
        <f>""</f>
        <v/>
      </c>
      <c r="H2444" t="str">
        <f t="shared" si="42"/>
        <v>MEDICARE TAXES</v>
      </c>
    </row>
    <row r="2445" spans="5:8" x14ac:dyDescent="0.25">
      <c r="E2445" t="str">
        <f>""</f>
        <v/>
      </c>
      <c r="F2445" t="str">
        <f>""</f>
        <v/>
      </c>
      <c r="H2445" t="str">
        <f t="shared" si="42"/>
        <v>MEDICARE TAXES</v>
      </c>
    </row>
    <row r="2446" spans="5:8" x14ac:dyDescent="0.25">
      <c r="E2446" t="str">
        <f>""</f>
        <v/>
      </c>
      <c r="F2446" t="str">
        <f>""</f>
        <v/>
      </c>
      <c r="H2446" t="str">
        <f t="shared" ref="H2446:H2468" si="43">"MEDICARE TAXES"</f>
        <v>MEDICARE TAXES</v>
      </c>
    </row>
    <row r="2447" spans="5:8" x14ac:dyDescent="0.25">
      <c r="E2447" t="str">
        <f>""</f>
        <v/>
      </c>
      <c r="F2447" t="str">
        <f>""</f>
        <v/>
      </c>
      <c r="H2447" t="str">
        <f t="shared" si="43"/>
        <v>MEDICARE TAXES</v>
      </c>
    </row>
    <row r="2448" spans="5:8" x14ac:dyDescent="0.25">
      <c r="E2448" t="str">
        <f>""</f>
        <v/>
      </c>
      <c r="F2448" t="str">
        <f>""</f>
        <v/>
      </c>
      <c r="H2448" t="str">
        <f t="shared" si="43"/>
        <v>MEDICARE TAXES</v>
      </c>
    </row>
    <row r="2449" spans="5:8" x14ac:dyDescent="0.25">
      <c r="E2449" t="str">
        <f>""</f>
        <v/>
      </c>
      <c r="F2449" t="str">
        <f>""</f>
        <v/>
      </c>
      <c r="H2449" t="str">
        <f t="shared" si="43"/>
        <v>MEDICARE TAXES</v>
      </c>
    </row>
    <row r="2450" spans="5:8" x14ac:dyDescent="0.25">
      <c r="E2450" t="str">
        <f>""</f>
        <v/>
      </c>
      <c r="F2450" t="str">
        <f>""</f>
        <v/>
      </c>
      <c r="H2450" t="str">
        <f t="shared" si="43"/>
        <v>MEDICARE TAXES</v>
      </c>
    </row>
    <row r="2451" spans="5:8" x14ac:dyDescent="0.25">
      <c r="E2451" t="str">
        <f>""</f>
        <v/>
      </c>
      <c r="F2451" t="str">
        <f>""</f>
        <v/>
      </c>
      <c r="H2451" t="str">
        <f t="shared" si="43"/>
        <v>MEDICARE TAXES</v>
      </c>
    </row>
    <row r="2452" spans="5:8" x14ac:dyDescent="0.25">
      <c r="E2452" t="str">
        <f>""</f>
        <v/>
      </c>
      <c r="F2452" t="str">
        <f>""</f>
        <v/>
      </c>
      <c r="H2452" t="str">
        <f t="shared" si="43"/>
        <v>MEDICARE TAXES</v>
      </c>
    </row>
    <row r="2453" spans="5:8" x14ac:dyDescent="0.25">
      <c r="E2453" t="str">
        <f>""</f>
        <v/>
      </c>
      <c r="F2453" t="str">
        <f>""</f>
        <v/>
      </c>
      <c r="H2453" t="str">
        <f t="shared" si="43"/>
        <v>MEDICARE TAXES</v>
      </c>
    </row>
    <row r="2454" spans="5:8" x14ac:dyDescent="0.25">
      <c r="E2454" t="str">
        <f>""</f>
        <v/>
      </c>
      <c r="F2454" t="str">
        <f>""</f>
        <v/>
      </c>
      <c r="H2454" t="str">
        <f t="shared" si="43"/>
        <v>MEDICARE TAXES</v>
      </c>
    </row>
    <row r="2455" spans="5:8" x14ac:dyDescent="0.25">
      <c r="E2455" t="str">
        <f>""</f>
        <v/>
      </c>
      <c r="F2455" t="str">
        <f>""</f>
        <v/>
      </c>
      <c r="H2455" t="str">
        <f t="shared" si="43"/>
        <v>MEDICARE TAXES</v>
      </c>
    </row>
    <row r="2456" spans="5:8" x14ac:dyDescent="0.25">
      <c r="E2456" t="str">
        <f>""</f>
        <v/>
      </c>
      <c r="F2456" t="str">
        <f>""</f>
        <v/>
      </c>
      <c r="H2456" t="str">
        <f t="shared" si="43"/>
        <v>MEDICARE TAXES</v>
      </c>
    </row>
    <row r="2457" spans="5:8" x14ac:dyDescent="0.25">
      <c r="E2457" t="str">
        <f>""</f>
        <v/>
      </c>
      <c r="F2457" t="str">
        <f>""</f>
        <v/>
      </c>
      <c r="H2457" t="str">
        <f t="shared" si="43"/>
        <v>MEDICARE TAXES</v>
      </c>
    </row>
    <row r="2458" spans="5:8" x14ac:dyDescent="0.25">
      <c r="E2458" t="str">
        <f>""</f>
        <v/>
      </c>
      <c r="F2458" t="str">
        <f>""</f>
        <v/>
      </c>
      <c r="H2458" t="str">
        <f t="shared" si="43"/>
        <v>MEDICARE TAXES</v>
      </c>
    </row>
    <row r="2459" spans="5:8" x14ac:dyDescent="0.25">
      <c r="E2459" t="str">
        <f>""</f>
        <v/>
      </c>
      <c r="F2459" t="str">
        <f>""</f>
        <v/>
      </c>
      <c r="H2459" t="str">
        <f t="shared" si="43"/>
        <v>MEDICARE TAXES</v>
      </c>
    </row>
    <row r="2460" spans="5:8" x14ac:dyDescent="0.25">
      <c r="E2460" t="str">
        <f>""</f>
        <v/>
      </c>
      <c r="F2460" t="str">
        <f>""</f>
        <v/>
      </c>
      <c r="H2460" t="str">
        <f t="shared" si="43"/>
        <v>MEDICARE TAXES</v>
      </c>
    </row>
    <row r="2461" spans="5:8" x14ac:dyDescent="0.25">
      <c r="E2461" t="str">
        <f>""</f>
        <v/>
      </c>
      <c r="F2461" t="str">
        <f>""</f>
        <v/>
      </c>
      <c r="H2461" t="str">
        <f t="shared" si="43"/>
        <v>MEDICARE TAXES</v>
      </c>
    </row>
    <row r="2462" spans="5:8" x14ac:dyDescent="0.25">
      <c r="E2462" t="str">
        <f>""</f>
        <v/>
      </c>
      <c r="F2462" t="str">
        <f>""</f>
        <v/>
      </c>
      <c r="H2462" t="str">
        <f t="shared" si="43"/>
        <v>MEDICARE TAXES</v>
      </c>
    </row>
    <row r="2463" spans="5:8" x14ac:dyDescent="0.25">
      <c r="E2463" t="str">
        <f>""</f>
        <v/>
      </c>
      <c r="F2463" t="str">
        <f>""</f>
        <v/>
      </c>
      <c r="H2463" t="str">
        <f t="shared" si="43"/>
        <v>MEDICARE TAXES</v>
      </c>
    </row>
    <row r="2464" spans="5:8" x14ac:dyDescent="0.25">
      <c r="E2464" t="str">
        <f>""</f>
        <v/>
      </c>
      <c r="F2464" t="str">
        <f>""</f>
        <v/>
      </c>
      <c r="H2464" t="str">
        <f t="shared" si="43"/>
        <v>MEDICARE TAXES</v>
      </c>
    </row>
    <row r="2465" spans="1:8" x14ac:dyDescent="0.25">
      <c r="E2465" t="str">
        <f>"T4 201908201223"</f>
        <v>T4 201908201223</v>
      </c>
      <c r="F2465" t="str">
        <f>"MEDICARE TAXES"</f>
        <v>MEDICARE TAXES</v>
      </c>
      <c r="G2465" s="2">
        <v>992.74</v>
      </c>
      <c r="H2465" t="str">
        <f t="shared" si="43"/>
        <v>MEDICARE TAXES</v>
      </c>
    </row>
    <row r="2466" spans="1:8" x14ac:dyDescent="0.25">
      <c r="E2466" t="str">
        <f>""</f>
        <v/>
      </c>
      <c r="F2466" t="str">
        <f>""</f>
        <v/>
      </c>
      <c r="H2466" t="str">
        <f t="shared" si="43"/>
        <v>MEDICARE TAXES</v>
      </c>
    </row>
    <row r="2467" spans="1:8" x14ac:dyDescent="0.25">
      <c r="E2467" t="str">
        <f>"T4 201908201224"</f>
        <v>T4 201908201224</v>
      </c>
      <c r="F2467" t="str">
        <f>"MEDICARE TAXES"</f>
        <v>MEDICARE TAXES</v>
      </c>
      <c r="G2467" s="2">
        <v>1239.0999999999999</v>
      </c>
      <c r="H2467" t="str">
        <f t="shared" si="43"/>
        <v>MEDICARE TAXES</v>
      </c>
    </row>
    <row r="2468" spans="1:8" x14ac:dyDescent="0.25">
      <c r="E2468" t="str">
        <f>""</f>
        <v/>
      </c>
      <c r="F2468" t="str">
        <f>""</f>
        <v/>
      </c>
      <c r="H2468" t="str">
        <f t="shared" si="43"/>
        <v>MEDICARE TAXES</v>
      </c>
    </row>
    <row r="2469" spans="1:8" x14ac:dyDescent="0.25">
      <c r="A2469" t="s">
        <v>512</v>
      </c>
      <c r="B2469">
        <v>47576</v>
      </c>
      <c r="C2469" s="2">
        <v>222.76</v>
      </c>
      <c r="D2469" s="1">
        <v>43686</v>
      </c>
      <c r="E2469" t="str">
        <f>"C64201908071042"</f>
        <v>C64201908071042</v>
      </c>
      <c r="F2469" t="str">
        <f>"CASE #912745322"</f>
        <v>CASE #912745322</v>
      </c>
      <c r="G2469" s="2">
        <v>222.76</v>
      </c>
      <c r="H2469" t="str">
        <f>"CASE #912745322"</f>
        <v>CASE #912745322</v>
      </c>
    </row>
    <row r="2470" spans="1:8" x14ac:dyDescent="0.25">
      <c r="A2470" t="s">
        <v>512</v>
      </c>
      <c r="B2470">
        <v>47593</v>
      </c>
      <c r="C2470" s="2">
        <v>222.76</v>
      </c>
      <c r="D2470" s="1">
        <v>43700</v>
      </c>
      <c r="E2470" t="str">
        <f>"C64201908201222"</f>
        <v>C64201908201222</v>
      </c>
      <c r="F2470" t="str">
        <f>"CASE #912745322"</f>
        <v>CASE #912745322</v>
      </c>
      <c r="G2470" s="2">
        <v>222.76</v>
      </c>
      <c r="H2470" t="str">
        <f>"CASE #912745322"</f>
        <v>CASE #912745322</v>
      </c>
    </row>
    <row r="2471" spans="1:8" x14ac:dyDescent="0.25">
      <c r="A2471" t="s">
        <v>513</v>
      </c>
      <c r="B2471">
        <v>208</v>
      </c>
      <c r="C2471" s="2">
        <v>674.82</v>
      </c>
      <c r="D2471" s="1">
        <v>43705</v>
      </c>
      <c r="E2471" t="str">
        <f>"LIX201908071042"</f>
        <v>LIX201908071042</v>
      </c>
      <c r="F2471" t="str">
        <f>"TEXAS LIFE/OLIVO GROUP"</f>
        <v>TEXAS LIFE/OLIVO GROUP</v>
      </c>
      <c r="G2471" s="2">
        <v>337.41</v>
      </c>
      <c r="H2471" t="str">
        <f>"TEXAS LIFE/OLIVO GROUP"</f>
        <v>TEXAS LIFE/OLIVO GROUP</v>
      </c>
    </row>
    <row r="2472" spans="1:8" x14ac:dyDescent="0.25">
      <c r="E2472" t="str">
        <f>"LIX201908201222"</f>
        <v>LIX201908201222</v>
      </c>
      <c r="F2472" t="str">
        <f>"TEXAS LIFE/OLIVO GROUP"</f>
        <v>TEXAS LIFE/OLIVO GROUP</v>
      </c>
      <c r="G2472" s="2">
        <v>337.41</v>
      </c>
      <c r="H2472" t="str">
        <f>"TEXAS LIFE/OLIVO GROUP"</f>
        <v>TEXAS LIFE/OLIVO GROUP</v>
      </c>
    </row>
    <row r="2473" spans="1:8" x14ac:dyDescent="0.25">
      <c r="A2473" t="s">
        <v>514</v>
      </c>
      <c r="B2473">
        <v>47597</v>
      </c>
      <c r="C2473" s="2">
        <v>336268.1</v>
      </c>
      <c r="D2473" s="1">
        <v>43705</v>
      </c>
      <c r="E2473" t="str">
        <f>"201908281333"</f>
        <v>201908281333</v>
      </c>
      <c r="F2473" t="str">
        <f>"RETIREE AUG 2019"</f>
        <v>RETIREE AUG 2019</v>
      </c>
      <c r="G2473" s="2">
        <v>16018.76</v>
      </c>
      <c r="H2473" t="str">
        <f>"RETIREE AUG 2019"</f>
        <v>RETIREE AUG 2019</v>
      </c>
    </row>
    <row r="2474" spans="1:8" x14ac:dyDescent="0.25">
      <c r="E2474" t="str">
        <f>"201908281334"</f>
        <v>201908281334</v>
      </c>
      <c r="F2474" t="str">
        <f>"CAMERON SCHNEIDER PD FROM CK"</f>
        <v>CAMERON SCHNEIDER PD FROM CK</v>
      </c>
      <c r="G2474" s="2">
        <v>547.25</v>
      </c>
      <c r="H2474" t="str">
        <f>"TAC HEALTH BENEFITS POOL"</f>
        <v>TAC HEALTH BENEFITS POOL</v>
      </c>
    </row>
    <row r="2475" spans="1:8" x14ac:dyDescent="0.25">
      <c r="E2475" t="str">
        <f>"2EC201908071042"</f>
        <v>2EC201908071042</v>
      </c>
      <c r="F2475" t="str">
        <f>"BCBS PAYABLE"</f>
        <v>BCBS PAYABLE</v>
      </c>
      <c r="G2475" s="2">
        <v>45617.25</v>
      </c>
      <c r="H2475" t="str">
        <f t="shared" ref="H2475:H2506" si="44">"BCBS PAYABLE"</f>
        <v>BCBS PAYABLE</v>
      </c>
    </row>
    <row r="2476" spans="1:8" x14ac:dyDescent="0.25">
      <c r="E2476" t="str">
        <f>""</f>
        <v/>
      </c>
      <c r="F2476" t="str">
        <f>""</f>
        <v/>
      </c>
      <c r="H2476" t="str">
        <f t="shared" si="44"/>
        <v>BCBS PAYABLE</v>
      </c>
    </row>
    <row r="2477" spans="1:8" x14ac:dyDescent="0.25">
      <c r="E2477" t="str">
        <f>""</f>
        <v/>
      </c>
      <c r="F2477" t="str">
        <f>""</f>
        <v/>
      </c>
      <c r="H2477" t="str">
        <f t="shared" si="44"/>
        <v>BCBS PAYABLE</v>
      </c>
    </row>
    <row r="2478" spans="1:8" x14ac:dyDescent="0.25">
      <c r="E2478" t="str">
        <f>""</f>
        <v/>
      </c>
      <c r="F2478" t="str">
        <f>""</f>
        <v/>
      </c>
      <c r="H2478" t="str">
        <f t="shared" si="44"/>
        <v>BCBS PAYABLE</v>
      </c>
    </row>
    <row r="2479" spans="1:8" x14ac:dyDescent="0.25">
      <c r="E2479" t="str">
        <f>""</f>
        <v/>
      </c>
      <c r="F2479" t="str">
        <f>""</f>
        <v/>
      </c>
      <c r="H2479" t="str">
        <f t="shared" si="44"/>
        <v>BCBS PAYABLE</v>
      </c>
    </row>
    <row r="2480" spans="1:8" x14ac:dyDescent="0.25">
      <c r="E2480" t="str">
        <f>""</f>
        <v/>
      </c>
      <c r="F2480" t="str">
        <f>""</f>
        <v/>
      </c>
      <c r="H2480" t="str">
        <f t="shared" si="44"/>
        <v>BCBS PAYABLE</v>
      </c>
    </row>
    <row r="2481" spans="5:8" x14ac:dyDescent="0.25">
      <c r="E2481" t="str">
        <f>""</f>
        <v/>
      </c>
      <c r="F2481" t="str">
        <f>""</f>
        <v/>
      </c>
      <c r="H2481" t="str">
        <f t="shared" si="44"/>
        <v>BCBS PAYABLE</v>
      </c>
    </row>
    <row r="2482" spans="5:8" x14ac:dyDescent="0.25">
      <c r="E2482" t="str">
        <f>""</f>
        <v/>
      </c>
      <c r="F2482" t="str">
        <f>""</f>
        <v/>
      </c>
      <c r="H2482" t="str">
        <f t="shared" si="44"/>
        <v>BCBS PAYABLE</v>
      </c>
    </row>
    <row r="2483" spans="5:8" x14ac:dyDescent="0.25">
      <c r="E2483" t="str">
        <f>""</f>
        <v/>
      </c>
      <c r="F2483" t="str">
        <f>""</f>
        <v/>
      </c>
      <c r="H2483" t="str">
        <f t="shared" si="44"/>
        <v>BCBS PAYABLE</v>
      </c>
    </row>
    <row r="2484" spans="5:8" x14ac:dyDescent="0.25">
      <c r="E2484" t="str">
        <f>""</f>
        <v/>
      </c>
      <c r="F2484" t="str">
        <f>""</f>
        <v/>
      </c>
      <c r="H2484" t="str">
        <f t="shared" si="44"/>
        <v>BCBS PAYABLE</v>
      </c>
    </row>
    <row r="2485" spans="5:8" x14ac:dyDescent="0.25">
      <c r="E2485" t="str">
        <f>""</f>
        <v/>
      </c>
      <c r="F2485" t="str">
        <f>""</f>
        <v/>
      </c>
      <c r="H2485" t="str">
        <f t="shared" si="44"/>
        <v>BCBS PAYABLE</v>
      </c>
    </row>
    <row r="2486" spans="5:8" x14ac:dyDescent="0.25">
      <c r="E2486" t="str">
        <f>""</f>
        <v/>
      </c>
      <c r="F2486" t="str">
        <f>""</f>
        <v/>
      </c>
      <c r="H2486" t="str">
        <f t="shared" si="44"/>
        <v>BCBS PAYABLE</v>
      </c>
    </row>
    <row r="2487" spans="5:8" x14ac:dyDescent="0.25">
      <c r="E2487" t="str">
        <f>""</f>
        <v/>
      </c>
      <c r="F2487" t="str">
        <f>""</f>
        <v/>
      </c>
      <c r="H2487" t="str">
        <f t="shared" si="44"/>
        <v>BCBS PAYABLE</v>
      </c>
    </row>
    <row r="2488" spans="5:8" x14ac:dyDescent="0.25">
      <c r="E2488" t="str">
        <f>""</f>
        <v/>
      </c>
      <c r="F2488" t="str">
        <f>""</f>
        <v/>
      </c>
      <c r="H2488" t="str">
        <f t="shared" si="44"/>
        <v>BCBS PAYABLE</v>
      </c>
    </row>
    <row r="2489" spans="5:8" x14ac:dyDescent="0.25">
      <c r="E2489" t="str">
        <f>""</f>
        <v/>
      </c>
      <c r="F2489" t="str">
        <f>""</f>
        <v/>
      </c>
      <c r="H2489" t="str">
        <f t="shared" si="44"/>
        <v>BCBS PAYABLE</v>
      </c>
    </row>
    <row r="2490" spans="5:8" x14ac:dyDescent="0.25">
      <c r="E2490" t="str">
        <f>""</f>
        <v/>
      </c>
      <c r="F2490" t="str">
        <f>""</f>
        <v/>
      </c>
      <c r="H2490" t="str">
        <f t="shared" si="44"/>
        <v>BCBS PAYABLE</v>
      </c>
    </row>
    <row r="2491" spans="5:8" x14ac:dyDescent="0.25">
      <c r="E2491" t="str">
        <f>""</f>
        <v/>
      </c>
      <c r="F2491" t="str">
        <f>""</f>
        <v/>
      </c>
      <c r="H2491" t="str">
        <f t="shared" si="44"/>
        <v>BCBS PAYABLE</v>
      </c>
    </row>
    <row r="2492" spans="5:8" x14ac:dyDescent="0.25">
      <c r="E2492" t="str">
        <f>""</f>
        <v/>
      </c>
      <c r="F2492" t="str">
        <f>""</f>
        <v/>
      </c>
      <c r="H2492" t="str">
        <f t="shared" si="44"/>
        <v>BCBS PAYABLE</v>
      </c>
    </row>
    <row r="2493" spans="5:8" x14ac:dyDescent="0.25">
      <c r="E2493" t="str">
        <f>""</f>
        <v/>
      </c>
      <c r="F2493" t="str">
        <f>""</f>
        <v/>
      </c>
      <c r="H2493" t="str">
        <f t="shared" si="44"/>
        <v>BCBS PAYABLE</v>
      </c>
    </row>
    <row r="2494" spans="5:8" x14ac:dyDescent="0.25">
      <c r="E2494" t="str">
        <f>""</f>
        <v/>
      </c>
      <c r="F2494" t="str">
        <f>""</f>
        <v/>
      </c>
      <c r="H2494" t="str">
        <f t="shared" si="44"/>
        <v>BCBS PAYABLE</v>
      </c>
    </row>
    <row r="2495" spans="5:8" x14ac:dyDescent="0.25">
      <c r="E2495" t="str">
        <f>""</f>
        <v/>
      </c>
      <c r="F2495" t="str">
        <f>""</f>
        <v/>
      </c>
      <c r="H2495" t="str">
        <f t="shared" si="44"/>
        <v>BCBS PAYABLE</v>
      </c>
    </row>
    <row r="2496" spans="5:8" x14ac:dyDescent="0.25">
      <c r="E2496" t="str">
        <f>""</f>
        <v/>
      </c>
      <c r="F2496" t="str">
        <f>""</f>
        <v/>
      </c>
      <c r="H2496" t="str">
        <f t="shared" si="44"/>
        <v>BCBS PAYABLE</v>
      </c>
    </row>
    <row r="2497" spans="5:8" x14ac:dyDescent="0.25">
      <c r="E2497" t="str">
        <f>""</f>
        <v/>
      </c>
      <c r="F2497" t="str">
        <f>""</f>
        <v/>
      </c>
      <c r="H2497" t="str">
        <f t="shared" si="44"/>
        <v>BCBS PAYABLE</v>
      </c>
    </row>
    <row r="2498" spans="5:8" x14ac:dyDescent="0.25">
      <c r="E2498" t="str">
        <f>""</f>
        <v/>
      </c>
      <c r="F2498" t="str">
        <f>""</f>
        <v/>
      </c>
      <c r="H2498" t="str">
        <f t="shared" si="44"/>
        <v>BCBS PAYABLE</v>
      </c>
    </row>
    <row r="2499" spans="5:8" x14ac:dyDescent="0.25">
      <c r="E2499" t="str">
        <f>""</f>
        <v/>
      </c>
      <c r="F2499" t="str">
        <f>""</f>
        <v/>
      </c>
      <c r="H2499" t="str">
        <f t="shared" si="44"/>
        <v>BCBS PAYABLE</v>
      </c>
    </row>
    <row r="2500" spans="5:8" x14ac:dyDescent="0.25">
      <c r="E2500" t="str">
        <f>""</f>
        <v/>
      </c>
      <c r="F2500" t="str">
        <f>""</f>
        <v/>
      </c>
      <c r="H2500" t="str">
        <f t="shared" si="44"/>
        <v>BCBS PAYABLE</v>
      </c>
    </row>
    <row r="2501" spans="5:8" x14ac:dyDescent="0.25">
      <c r="E2501" t="str">
        <f>""</f>
        <v/>
      </c>
      <c r="F2501" t="str">
        <f>""</f>
        <v/>
      </c>
      <c r="H2501" t="str">
        <f t="shared" si="44"/>
        <v>BCBS PAYABLE</v>
      </c>
    </row>
    <row r="2502" spans="5:8" x14ac:dyDescent="0.25">
      <c r="E2502" t="str">
        <f>""</f>
        <v/>
      </c>
      <c r="F2502" t="str">
        <f>""</f>
        <v/>
      </c>
      <c r="H2502" t="str">
        <f t="shared" si="44"/>
        <v>BCBS PAYABLE</v>
      </c>
    </row>
    <row r="2503" spans="5:8" x14ac:dyDescent="0.25">
      <c r="E2503" t="str">
        <f>""</f>
        <v/>
      </c>
      <c r="F2503" t="str">
        <f>""</f>
        <v/>
      </c>
      <c r="H2503" t="str">
        <f t="shared" si="44"/>
        <v>BCBS PAYABLE</v>
      </c>
    </row>
    <row r="2504" spans="5:8" x14ac:dyDescent="0.25">
      <c r="E2504" t="str">
        <f>""</f>
        <v/>
      </c>
      <c r="F2504" t="str">
        <f>""</f>
        <v/>
      </c>
      <c r="H2504" t="str">
        <f t="shared" si="44"/>
        <v>BCBS PAYABLE</v>
      </c>
    </row>
    <row r="2505" spans="5:8" x14ac:dyDescent="0.25">
      <c r="E2505" t="str">
        <f>""</f>
        <v/>
      </c>
      <c r="F2505" t="str">
        <f>""</f>
        <v/>
      </c>
      <c r="H2505" t="str">
        <f t="shared" si="44"/>
        <v>BCBS PAYABLE</v>
      </c>
    </row>
    <row r="2506" spans="5:8" x14ac:dyDescent="0.25">
      <c r="E2506" t="str">
        <f>"2EC201908071043"</f>
        <v>2EC201908071043</v>
      </c>
      <c r="F2506" t="str">
        <f>"BCBS PAYABLE"</f>
        <v>BCBS PAYABLE</v>
      </c>
      <c r="G2506" s="2">
        <v>1737.8</v>
      </c>
      <c r="H2506" t="str">
        <f t="shared" si="44"/>
        <v>BCBS PAYABLE</v>
      </c>
    </row>
    <row r="2507" spans="5:8" x14ac:dyDescent="0.25">
      <c r="E2507" t="str">
        <f>""</f>
        <v/>
      </c>
      <c r="F2507" t="str">
        <f>""</f>
        <v/>
      </c>
      <c r="H2507" t="str">
        <f t="shared" ref="H2507:H2538" si="45">"BCBS PAYABLE"</f>
        <v>BCBS PAYABLE</v>
      </c>
    </row>
    <row r="2508" spans="5:8" x14ac:dyDescent="0.25">
      <c r="E2508" t="str">
        <f>"2EC201908201222"</f>
        <v>2EC201908201222</v>
      </c>
      <c r="F2508" t="str">
        <f>"BCBS PAYABLE"</f>
        <v>BCBS PAYABLE</v>
      </c>
      <c r="G2508" s="2">
        <v>45617.25</v>
      </c>
      <c r="H2508" t="str">
        <f t="shared" si="45"/>
        <v>BCBS PAYABLE</v>
      </c>
    </row>
    <row r="2509" spans="5:8" x14ac:dyDescent="0.25">
      <c r="E2509" t="str">
        <f>""</f>
        <v/>
      </c>
      <c r="F2509" t="str">
        <f>""</f>
        <v/>
      </c>
      <c r="H2509" t="str">
        <f t="shared" si="45"/>
        <v>BCBS PAYABLE</v>
      </c>
    </row>
    <row r="2510" spans="5:8" x14ac:dyDescent="0.25">
      <c r="E2510" t="str">
        <f>""</f>
        <v/>
      </c>
      <c r="F2510" t="str">
        <f>""</f>
        <v/>
      </c>
      <c r="H2510" t="str">
        <f t="shared" si="45"/>
        <v>BCBS PAYABLE</v>
      </c>
    </row>
    <row r="2511" spans="5:8" x14ac:dyDescent="0.25">
      <c r="E2511" t="str">
        <f>""</f>
        <v/>
      </c>
      <c r="F2511" t="str">
        <f>""</f>
        <v/>
      </c>
      <c r="H2511" t="str">
        <f t="shared" si="45"/>
        <v>BCBS PAYABLE</v>
      </c>
    </row>
    <row r="2512" spans="5:8" x14ac:dyDescent="0.25">
      <c r="E2512" t="str">
        <f>""</f>
        <v/>
      </c>
      <c r="F2512" t="str">
        <f>""</f>
        <v/>
      </c>
      <c r="H2512" t="str">
        <f t="shared" si="45"/>
        <v>BCBS PAYABLE</v>
      </c>
    </row>
    <row r="2513" spans="5:8" x14ac:dyDescent="0.25">
      <c r="E2513" t="str">
        <f>""</f>
        <v/>
      </c>
      <c r="F2513" t="str">
        <f>""</f>
        <v/>
      </c>
      <c r="H2513" t="str">
        <f t="shared" si="45"/>
        <v>BCBS PAYABLE</v>
      </c>
    </row>
    <row r="2514" spans="5:8" x14ac:dyDescent="0.25">
      <c r="E2514" t="str">
        <f>""</f>
        <v/>
      </c>
      <c r="F2514" t="str">
        <f>""</f>
        <v/>
      </c>
      <c r="H2514" t="str">
        <f t="shared" si="45"/>
        <v>BCBS PAYABLE</v>
      </c>
    </row>
    <row r="2515" spans="5:8" x14ac:dyDescent="0.25">
      <c r="E2515" t="str">
        <f>""</f>
        <v/>
      </c>
      <c r="F2515" t="str">
        <f>""</f>
        <v/>
      </c>
      <c r="H2515" t="str">
        <f t="shared" si="45"/>
        <v>BCBS PAYABLE</v>
      </c>
    </row>
    <row r="2516" spans="5:8" x14ac:dyDescent="0.25">
      <c r="E2516" t="str">
        <f>""</f>
        <v/>
      </c>
      <c r="F2516" t="str">
        <f>""</f>
        <v/>
      </c>
      <c r="H2516" t="str">
        <f t="shared" si="45"/>
        <v>BCBS PAYABLE</v>
      </c>
    </row>
    <row r="2517" spans="5:8" x14ac:dyDescent="0.25">
      <c r="E2517" t="str">
        <f>""</f>
        <v/>
      </c>
      <c r="F2517" t="str">
        <f>""</f>
        <v/>
      </c>
      <c r="H2517" t="str">
        <f t="shared" si="45"/>
        <v>BCBS PAYABLE</v>
      </c>
    </row>
    <row r="2518" spans="5:8" x14ac:dyDescent="0.25">
      <c r="E2518" t="str">
        <f>""</f>
        <v/>
      </c>
      <c r="F2518" t="str">
        <f>""</f>
        <v/>
      </c>
      <c r="H2518" t="str">
        <f t="shared" si="45"/>
        <v>BCBS PAYABLE</v>
      </c>
    </row>
    <row r="2519" spans="5:8" x14ac:dyDescent="0.25">
      <c r="E2519" t="str">
        <f>""</f>
        <v/>
      </c>
      <c r="F2519" t="str">
        <f>""</f>
        <v/>
      </c>
      <c r="H2519" t="str">
        <f t="shared" si="45"/>
        <v>BCBS PAYABLE</v>
      </c>
    </row>
    <row r="2520" spans="5:8" x14ac:dyDescent="0.25">
      <c r="E2520" t="str">
        <f>""</f>
        <v/>
      </c>
      <c r="F2520" t="str">
        <f>""</f>
        <v/>
      </c>
      <c r="H2520" t="str">
        <f t="shared" si="45"/>
        <v>BCBS PAYABLE</v>
      </c>
    </row>
    <row r="2521" spans="5:8" x14ac:dyDescent="0.25">
      <c r="E2521" t="str">
        <f>""</f>
        <v/>
      </c>
      <c r="F2521" t="str">
        <f>""</f>
        <v/>
      </c>
      <c r="H2521" t="str">
        <f t="shared" si="45"/>
        <v>BCBS PAYABLE</v>
      </c>
    </row>
    <row r="2522" spans="5:8" x14ac:dyDescent="0.25">
      <c r="E2522" t="str">
        <f>""</f>
        <v/>
      </c>
      <c r="F2522" t="str">
        <f>""</f>
        <v/>
      </c>
      <c r="H2522" t="str">
        <f t="shared" si="45"/>
        <v>BCBS PAYABLE</v>
      </c>
    </row>
    <row r="2523" spans="5:8" x14ac:dyDescent="0.25">
      <c r="E2523" t="str">
        <f>""</f>
        <v/>
      </c>
      <c r="F2523" t="str">
        <f>""</f>
        <v/>
      </c>
      <c r="H2523" t="str">
        <f t="shared" si="45"/>
        <v>BCBS PAYABLE</v>
      </c>
    </row>
    <row r="2524" spans="5:8" x14ac:dyDescent="0.25">
      <c r="E2524" t="str">
        <f>""</f>
        <v/>
      </c>
      <c r="F2524" t="str">
        <f>""</f>
        <v/>
      </c>
      <c r="H2524" t="str">
        <f t="shared" si="45"/>
        <v>BCBS PAYABLE</v>
      </c>
    </row>
    <row r="2525" spans="5:8" x14ac:dyDescent="0.25">
      <c r="E2525" t="str">
        <f>""</f>
        <v/>
      </c>
      <c r="F2525" t="str">
        <f>""</f>
        <v/>
      </c>
      <c r="H2525" t="str">
        <f t="shared" si="45"/>
        <v>BCBS PAYABLE</v>
      </c>
    </row>
    <row r="2526" spans="5:8" x14ac:dyDescent="0.25">
      <c r="E2526" t="str">
        <f>""</f>
        <v/>
      </c>
      <c r="F2526" t="str">
        <f>""</f>
        <v/>
      </c>
      <c r="H2526" t="str">
        <f t="shared" si="45"/>
        <v>BCBS PAYABLE</v>
      </c>
    </row>
    <row r="2527" spans="5:8" x14ac:dyDescent="0.25">
      <c r="E2527" t="str">
        <f>""</f>
        <v/>
      </c>
      <c r="F2527" t="str">
        <f>""</f>
        <v/>
      </c>
      <c r="H2527" t="str">
        <f t="shared" si="45"/>
        <v>BCBS PAYABLE</v>
      </c>
    </row>
    <row r="2528" spans="5:8" x14ac:dyDescent="0.25">
      <c r="E2528" t="str">
        <f>""</f>
        <v/>
      </c>
      <c r="F2528" t="str">
        <f>""</f>
        <v/>
      </c>
      <c r="H2528" t="str">
        <f t="shared" si="45"/>
        <v>BCBS PAYABLE</v>
      </c>
    </row>
    <row r="2529" spans="5:8" x14ac:dyDescent="0.25">
      <c r="E2529" t="str">
        <f>""</f>
        <v/>
      </c>
      <c r="F2529" t="str">
        <f>""</f>
        <v/>
      </c>
      <c r="H2529" t="str">
        <f t="shared" si="45"/>
        <v>BCBS PAYABLE</v>
      </c>
    </row>
    <row r="2530" spans="5:8" x14ac:dyDescent="0.25">
      <c r="E2530" t="str">
        <f>""</f>
        <v/>
      </c>
      <c r="F2530" t="str">
        <f>""</f>
        <v/>
      </c>
      <c r="H2530" t="str">
        <f t="shared" si="45"/>
        <v>BCBS PAYABLE</v>
      </c>
    </row>
    <row r="2531" spans="5:8" x14ac:dyDescent="0.25">
      <c r="E2531" t="str">
        <f>""</f>
        <v/>
      </c>
      <c r="F2531" t="str">
        <f>""</f>
        <v/>
      </c>
      <c r="H2531" t="str">
        <f t="shared" si="45"/>
        <v>BCBS PAYABLE</v>
      </c>
    </row>
    <row r="2532" spans="5:8" x14ac:dyDescent="0.25">
      <c r="E2532" t="str">
        <f>""</f>
        <v/>
      </c>
      <c r="F2532" t="str">
        <f>""</f>
        <v/>
      </c>
      <c r="H2532" t="str">
        <f t="shared" si="45"/>
        <v>BCBS PAYABLE</v>
      </c>
    </row>
    <row r="2533" spans="5:8" x14ac:dyDescent="0.25">
      <c r="E2533" t="str">
        <f>""</f>
        <v/>
      </c>
      <c r="F2533" t="str">
        <f>""</f>
        <v/>
      </c>
      <c r="H2533" t="str">
        <f t="shared" si="45"/>
        <v>BCBS PAYABLE</v>
      </c>
    </row>
    <row r="2534" spans="5:8" x14ac:dyDescent="0.25">
      <c r="E2534" t="str">
        <f>""</f>
        <v/>
      </c>
      <c r="F2534" t="str">
        <f>""</f>
        <v/>
      </c>
      <c r="H2534" t="str">
        <f t="shared" si="45"/>
        <v>BCBS PAYABLE</v>
      </c>
    </row>
    <row r="2535" spans="5:8" x14ac:dyDescent="0.25">
      <c r="E2535" t="str">
        <f>""</f>
        <v/>
      </c>
      <c r="F2535" t="str">
        <f>""</f>
        <v/>
      </c>
      <c r="H2535" t="str">
        <f t="shared" si="45"/>
        <v>BCBS PAYABLE</v>
      </c>
    </row>
    <row r="2536" spans="5:8" x14ac:dyDescent="0.25">
      <c r="E2536" t="str">
        <f>""</f>
        <v/>
      </c>
      <c r="F2536" t="str">
        <f>""</f>
        <v/>
      </c>
      <c r="H2536" t="str">
        <f t="shared" si="45"/>
        <v>BCBS PAYABLE</v>
      </c>
    </row>
    <row r="2537" spans="5:8" x14ac:dyDescent="0.25">
      <c r="E2537" t="str">
        <f>""</f>
        <v/>
      </c>
      <c r="F2537" t="str">
        <f>""</f>
        <v/>
      </c>
      <c r="H2537" t="str">
        <f t="shared" si="45"/>
        <v>BCBS PAYABLE</v>
      </c>
    </row>
    <row r="2538" spans="5:8" x14ac:dyDescent="0.25">
      <c r="E2538" t="str">
        <f>""</f>
        <v/>
      </c>
      <c r="F2538" t="str">
        <f>""</f>
        <v/>
      </c>
      <c r="H2538" t="str">
        <f t="shared" si="45"/>
        <v>BCBS PAYABLE</v>
      </c>
    </row>
    <row r="2539" spans="5:8" x14ac:dyDescent="0.25">
      <c r="E2539" t="str">
        <f>"2EC201908201223"</f>
        <v>2EC201908201223</v>
      </c>
      <c r="F2539" t="str">
        <f>"BCBS PAYABLE"</f>
        <v>BCBS PAYABLE</v>
      </c>
      <c r="G2539" s="2">
        <v>1737.8</v>
      </c>
      <c r="H2539" t="str">
        <f t="shared" ref="H2539:H2570" si="46">"BCBS PAYABLE"</f>
        <v>BCBS PAYABLE</v>
      </c>
    </row>
    <row r="2540" spans="5:8" x14ac:dyDescent="0.25">
      <c r="E2540" t="str">
        <f>""</f>
        <v/>
      </c>
      <c r="F2540" t="str">
        <f>""</f>
        <v/>
      </c>
      <c r="H2540" t="str">
        <f t="shared" si="46"/>
        <v>BCBS PAYABLE</v>
      </c>
    </row>
    <row r="2541" spans="5:8" x14ac:dyDescent="0.25">
      <c r="E2541" t="str">
        <f>"2EF201908071042"</f>
        <v>2EF201908071042</v>
      </c>
      <c r="F2541" t="str">
        <f>"BCBS PAYABLE"</f>
        <v>BCBS PAYABLE</v>
      </c>
      <c r="G2541" s="2">
        <v>1179.4100000000001</v>
      </c>
      <c r="H2541" t="str">
        <f t="shared" si="46"/>
        <v>BCBS PAYABLE</v>
      </c>
    </row>
    <row r="2542" spans="5:8" x14ac:dyDescent="0.25">
      <c r="E2542" t="str">
        <f>""</f>
        <v/>
      </c>
      <c r="F2542" t="str">
        <f>""</f>
        <v/>
      </c>
      <c r="H2542" t="str">
        <f t="shared" si="46"/>
        <v>BCBS PAYABLE</v>
      </c>
    </row>
    <row r="2543" spans="5:8" x14ac:dyDescent="0.25">
      <c r="E2543" t="str">
        <f>""</f>
        <v/>
      </c>
      <c r="F2543" t="str">
        <f>""</f>
        <v/>
      </c>
      <c r="H2543" t="str">
        <f t="shared" si="46"/>
        <v>BCBS PAYABLE</v>
      </c>
    </row>
    <row r="2544" spans="5:8" x14ac:dyDescent="0.25">
      <c r="E2544" t="str">
        <f>"2EF201908201222"</f>
        <v>2EF201908201222</v>
      </c>
      <c r="F2544" t="str">
        <f>"BCBS PAYABLE"</f>
        <v>BCBS PAYABLE</v>
      </c>
      <c r="G2544" s="2">
        <v>1726.66</v>
      </c>
      <c r="H2544" t="str">
        <f t="shared" si="46"/>
        <v>BCBS PAYABLE</v>
      </c>
    </row>
    <row r="2545" spans="5:8" x14ac:dyDescent="0.25">
      <c r="E2545" t="str">
        <f>""</f>
        <v/>
      </c>
      <c r="F2545" t="str">
        <f>""</f>
        <v/>
      </c>
      <c r="H2545" t="str">
        <f t="shared" si="46"/>
        <v>BCBS PAYABLE</v>
      </c>
    </row>
    <row r="2546" spans="5:8" x14ac:dyDescent="0.25">
      <c r="E2546" t="str">
        <f>""</f>
        <v/>
      </c>
      <c r="F2546" t="str">
        <f>""</f>
        <v/>
      </c>
      <c r="H2546" t="str">
        <f t="shared" si="46"/>
        <v>BCBS PAYABLE</v>
      </c>
    </row>
    <row r="2547" spans="5:8" x14ac:dyDescent="0.25">
      <c r="E2547" t="str">
        <f>"2EO201908071042"</f>
        <v>2EO201908071042</v>
      </c>
      <c r="F2547" t="str">
        <f>"BCBS PAYABLE"</f>
        <v>BCBS PAYABLE</v>
      </c>
      <c r="G2547" s="2">
        <v>92295.360000000001</v>
      </c>
      <c r="H2547" t="str">
        <f t="shared" si="46"/>
        <v>BCBS PAYABLE</v>
      </c>
    </row>
    <row r="2548" spans="5:8" x14ac:dyDescent="0.25">
      <c r="E2548" t="str">
        <f>""</f>
        <v/>
      </c>
      <c r="F2548" t="str">
        <f>""</f>
        <v/>
      </c>
      <c r="H2548" t="str">
        <f t="shared" si="46"/>
        <v>BCBS PAYABLE</v>
      </c>
    </row>
    <row r="2549" spans="5:8" x14ac:dyDescent="0.25">
      <c r="E2549" t="str">
        <f>""</f>
        <v/>
      </c>
      <c r="F2549" t="str">
        <f>""</f>
        <v/>
      </c>
      <c r="H2549" t="str">
        <f t="shared" si="46"/>
        <v>BCBS PAYABLE</v>
      </c>
    </row>
    <row r="2550" spans="5:8" x14ac:dyDescent="0.25">
      <c r="E2550" t="str">
        <f>""</f>
        <v/>
      </c>
      <c r="F2550" t="str">
        <f>""</f>
        <v/>
      </c>
      <c r="H2550" t="str">
        <f t="shared" si="46"/>
        <v>BCBS PAYABLE</v>
      </c>
    </row>
    <row r="2551" spans="5:8" x14ac:dyDescent="0.25">
      <c r="E2551" t="str">
        <f>""</f>
        <v/>
      </c>
      <c r="F2551" t="str">
        <f>""</f>
        <v/>
      </c>
      <c r="H2551" t="str">
        <f t="shared" si="46"/>
        <v>BCBS PAYABLE</v>
      </c>
    </row>
    <row r="2552" spans="5:8" x14ac:dyDescent="0.25">
      <c r="E2552" t="str">
        <f>""</f>
        <v/>
      </c>
      <c r="F2552" t="str">
        <f>""</f>
        <v/>
      </c>
      <c r="H2552" t="str">
        <f t="shared" si="46"/>
        <v>BCBS PAYABLE</v>
      </c>
    </row>
    <row r="2553" spans="5:8" x14ac:dyDescent="0.25">
      <c r="E2553" t="str">
        <f>""</f>
        <v/>
      </c>
      <c r="F2553" t="str">
        <f>""</f>
        <v/>
      </c>
      <c r="H2553" t="str">
        <f t="shared" si="46"/>
        <v>BCBS PAYABLE</v>
      </c>
    </row>
    <row r="2554" spans="5:8" x14ac:dyDescent="0.25">
      <c r="E2554" t="str">
        <f>""</f>
        <v/>
      </c>
      <c r="F2554" t="str">
        <f>""</f>
        <v/>
      </c>
      <c r="H2554" t="str">
        <f t="shared" si="46"/>
        <v>BCBS PAYABLE</v>
      </c>
    </row>
    <row r="2555" spans="5:8" x14ac:dyDescent="0.25">
      <c r="E2555" t="str">
        <f>""</f>
        <v/>
      </c>
      <c r="F2555" t="str">
        <f>""</f>
        <v/>
      </c>
      <c r="H2555" t="str">
        <f t="shared" si="46"/>
        <v>BCBS PAYABLE</v>
      </c>
    </row>
    <row r="2556" spans="5:8" x14ac:dyDescent="0.25">
      <c r="E2556" t="str">
        <f>""</f>
        <v/>
      </c>
      <c r="F2556" t="str">
        <f>""</f>
        <v/>
      </c>
      <c r="H2556" t="str">
        <f t="shared" si="46"/>
        <v>BCBS PAYABLE</v>
      </c>
    </row>
    <row r="2557" spans="5:8" x14ac:dyDescent="0.25">
      <c r="E2557" t="str">
        <f>""</f>
        <v/>
      </c>
      <c r="F2557" t="str">
        <f>""</f>
        <v/>
      </c>
      <c r="H2557" t="str">
        <f t="shared" si="46"/>
        <v>BCBS PAYABLE</v>
      </c>
    </row>
    <row r="2558" spans="5:8" x14ac:dyDescent="0.25">
      <c r="E2558" t="str">
        <f>""</f>
        <v/>
      </c>
      <c r="F2558" t="str">
        <f>""</f>
        <v/>
      </c>
      <c r="H2558" t="str">
        <f t="shared" si="46"/>
        <v>BCBS PAYABLE</v>
      </c>
    </row>
    <row r="2559" spans="5:8" x14ac:dyDescent="0.25">
      <c r="E2559" t="str">
        <f>""</f>
        <v/>
      </c>
      <c r="F2559" t="str">
        <f>""</f>
        <v/>
      </c>
      <c r="H2559" t="str">
        <f t="shared" si="46"/>
        <v>BCBS PAYABLE</v>
      </c>
    </row>
    <row r="2560" spans="5:8" x14ac:dyDescent="0.25">
      <c r="E2560" t="str">
        <f>""</f>
        <v/>
      </c>
      <c r="F2560" t="str">
        <f>""</f>
        <v/>
      </c>
      <c r="H2560" t="str">
        <f t="shared" si="46"/>
        <v>BCBS PAYABLE</v>
      </c>
    </row>
    <row r="2561" spans="5:8" x14ac:dyDescent="0.25">
      <c r="E2561" t="str">
        <f>""</f>
        <v/>
      </c>
      <c r="F2561" t="str">
        <f>""</f>
        <v/>
      </c>
      <c r="H2561" t="str">
        <f t="shared" si="46"/>
        <v>BCBS PAYABLE</v>
      </c>
    </row>
    <row r="2562" spans="5:8" x14ac:dyDescent="0.25">
      <c r="E2562" t="str">
        <f>""</f>
        <v/>
      </c>
      <c r="F2562" t="str">
        <f>""</f>
        <v/>
      </c>
      <c r="H2562" t="str">
        <f t="shared" si="46"/>
        <v>BCBS PAYABLE</v>
      </c>
    </row>
    <row r="2563" spans="5:8" x14ac:dyDescent="0.25">
      <c r="E2563" t="str">
        <f>""</f>
        <v/>
      </c>
      <c r="F2563" t="str">
        <f>""</f>
        <v/>
      </c>
      <c r="H2563" t="str">
        <f t="shared" si="46"/>
        <v>BCBS PAYABLE</v>
      </c>
    </row>
    <row r="2564" spans="5:8" x14ac:dyDescent="0.25">
      <c r="E2564" t="str">
        <f>""</f>
        <v/>
      </c>
      <c r="F2564" t="str">
        <f>""</f>
        <v/>
      </c>
      <c r="H2564" t="str">
        <f t="shared" si="46"/>
        <v>BCBS PAYABLE</v>
      </c>
    </row>
    <row r="2565" spans="5:8" x14ac:dyDescent="0.25">
      <c r="E2565" t="str">
        <f>""</f>
        <v/>
      </c>
      <c r="F2565" t="str">
        <f>""</f>
        <v/>
      </c>
      <c r="H2565" t="str">
        <f t="shared" si="46"/>
        <v>BCBS PAYABLE</v>
      </c>
    </row>
    <row r="2566" spans="5:8" x14ac:dyDescent="0.25">
      <c r="E2566" t="str">
        <f>""</f>
        <v/>
      </c>
      <c r="F2566" t="str">
        <f>""</f>
        <v/>
      </c>
      <c r="H2566" t="str">
        <f t="shared" si="46"/>
        <v>BCBS PAYABLE</v>
      </c>
    </row>
    <row r="2567" spans="5:8" x14ac:dyDescent="0.25">
      <c r="E2567" t="str">
        <f>""</f>
        <v/>
      </c>
      <c r="F2567" t="str">
        <f>""</f>
        <v/>
      </c>
      <c r="H2567" t="str">
        <f t="shared" si="46"/>
        <v>BCBS PAYABLE</v>
      </c>
    </row>
    <row r="2568" spans="5:8" x14ac:dyDescent="0.25">
      <c r="E2568" t="str">
        <f>""</f>
        <v/>
      </c>
      <c r="F2568" t="str">
        <f>""</f>
        <v/>
      </c>
      <c r="H2568" t="str">
        <f t="shared" si="46"/>
        <v>BCBS PAYABLE</v>
      </c>
    </row>
    <row r="2569" spans="5:8" x14ac:dyDescent="0.25">
      <c r="E2569" t="str">
        <f>""</f>
        <v/>
      </c>
      <c r="F2569" t="str">
        <f>""</f>
        <v/>
      </c>
      <c r="H2569" t="str">
        <f t="shared" si="46"/>
        <v>BCBS PAYABLE</v>
      </c>
    </row>
    <row r="2570" spans="5:8" x14ac:dyDescent="0.25">
      <c r="E2570" t="str">
        <f>""</f>
        <v/>
      </c>
      <c r="F2570" t="str">
        <f>""</f>
        <v/>
      </c>
      <c r="H2570" t="str">
        <f t="shared" si="46"/>
        <v>BCBS PAYABLE</v>
      </c>
    </row>
    <row r="2571" spans="5:8" x14ac:dyDescent="0.25">
      <c r="E2571" t="str">
        <f>""</f>
        <v/>
      </c>
      <c r="F2571" t="str">
        <f>""</f>
        <v/>
      </c>
      <c r="H2571" t="str">
        <f t="shared" ref="H2571:H2602" si="47">"BCBS PAYABLE"</f>
        <v>BCBS PAYABLE</v>
      </c>
    </row>
    <row r="2572" spans="5:8" x14ac:dyDescent="0.25">
      <c r="E2572" t="str">
        <f>""</f>
        <v/>
      </c>
      <c r="F2572" t="str">
        <f>""</f>
        <v/>
      </c>
      <c r="H2572" t="str">
        <f t="shared" si="47"/>
        <v>BCBS PAYABLE</v>
      </c>
    </row>
    <row r="2573" spans="5:8" x14ac:dyDescent="0.25">
      <c r="E2573" t="str">
        <f>""</f>
        <v/>
      </c>
      <c r="F2573" t="str">
        <f>""</f>
        <v/>
      </c>
      <c r="H2573" t="str">
        <f t="shared" si="47"/>
        <v>BCBS PAYABLE</v>
      </c>
    </row>
    <row r="2574" spans="5:8" x14ac:dyDescent="0.25">
      <c r="E2574" t="str">
        <f>""</f>
        <v/>
      </c>
      <c r="F2574" t="str">
        <f>""</f>
        <v/>
      </c>
      <c r="H2574" t="str">
        <f t="shared" si="47"/>
        <v>BCBS PAYABLE</v>
      </c>
    </row>
    <row r="2575" spans="5:8" x14ac:dyDescent="0.25">
      <c r="E2575" t="str">
        <f>""</f>
        <v/>
      </c>
      <c r="F2575" t="str">
        <f>""</f>
        <v/>
      </c>
      <c r="H2575" t="str">
        <f t="shared" si="47"/>
        <v>BCBS PAYABLE</v>
      </c>
    </row>
    <row r="2576" spans="5:8" x14ac:dyDescent="0.25">
      <c r="E2576" t="str">
        <f>""</f>
        <v/>
      </c>
      <c r="F2576" t="str">
        <f>""</f>
        <v/>
      </c>
      <c r="H2576" t="str">
        <f t="shared" si="47"/>
        <v>BCBS PAYABLE</v>
      </c>
    </row>
    <row r="2577" spans="5:8" x14ac:dyDescent="0.25">
      <c r="E2577" t="str">
        <f>""</f>
        <v/>
      </c>
      <c r="F2577" t="str">
        <f>""</f>
        <v/>
      </c>
      <c r="H2577" t="str">
        <f t="shared" si="47"/>
        <v>BCBS PAYABLE</v>
      </c>
    </row>
    <row r="2578" spans="5:8" x14ac:dyDescent="0.25">
      <c r="E2578" t="str">
        <f>""</f>
        <v/>
      </c>
      <c r="F2578" t="str">
        <f>""</f>
        <v/>
      </c>
      <c r="H2578" t="str">
        <f t="shared" si="47"/>
        <v>BCBS PAYABLE</v>
      </c>
    </row>
    <row r="2579" spans="5:8" x14ac:dyDescent="0.25">
      <c r="E2579" t="str">
        <f>""</f>
        <v/>
      </c>
      <c r="F2579" t="str">
        <f>""</f>
        <v/>
      </c>
      <c r="H2579" t="str">
        <f t="shared" si="47"/>
        <v>BCBS PAYABLE</v>
      </c>
    </row>
    <row r="2580" spans="5:8" x14ac:dyDescent="0.25">
      <c r="E2580" t="str">
        <f>""</f>
        <v/>
      </c>
      <c r="F2580" t="str">
        <f>""</f>
        <v/>
      </c>
      <c r="H2580" t="str">
        <f t="shared" si="47"/>
        <v>BCBS PAYABLE</v>
      </c>
    </row>
    <row r="2581" spans="5:8" x14ac:dyDescent="0.25">
      <c r="E2581" t="str">
        <f>""</f>
        <v/>
      </c>
      <c r="F2581" t="str">
        <f>""</f>
        <v/>
      </c>
      <c r="H2581" t="str">
        <f t="shared" si="47"/>
        <v>BCBS PAYABLE</v>
      </c>
    </row>
    <row r="2582" spans="5:8" x14ac:dyDescent="0.25">
      <c r="E2582" t="str">
        <f>""</f>
        <v/>
      </c>
      <c r="F2582" t="str">
        <f>""</f>
        <v/>
      </c>
      <c r="H2582" t="str">
        <f t="shared" si="47"/>
        <v>BCBS PAYABLE</v>
      </c>
    </row>
    <row r="2583" spans="5:8" x14ac:dyDescent="0.25">
      <c r="E2583" t="str">
        <f>""</f>
        <v/>
      </c>
      <c r="F2583" t="str">
        <f>""</f>
        <v/>
      </c>
      <c r="H2583" t="str">
        <f t="shared" si="47"/>
        <v>BCBS PAYABLE</v>
      </c>
    </row>
    <row r="2584" spans="5:8" x14ac:dyDescent="0.25">
      <c r="E2584" t="str">
        <f>""</f>
        <v/>
      </c>
      <c r="F2584" t="str">
        <f>""</f>
        <v/>
      </c>
      <c r="H2584" t="str">
        <f t="shared" si="47"/>
        <v>BCBS PAYABLE</v>
      </c>
    </row>
    <row r="2585" spans="5:8" x14ac:dyDescent="0.25">
      <c r="E2585" t="str">
        <f>""</f>
        <v/>
      </c>
      <c r="F2585" t="str">
        <f>""</f>
        <v/>
      </c>
      <c r="H2585" t="str">
        <f t="shared" si="47"/>
        <v>BCBS PAYABLE</v>
      </c>
    </row>
    <row r="2586" spans="5:8" x14ac:dyDescent="0.25">
      <c r="E2586" t="str">
        <f>""</f>
        <v/>
      </c>
      <c r="F2586" t="str">
        <f>""</f>
        <v/>
      </c>
      <c r="H2586" t="str">
        <f t="shared" si="47"/>
        <v>BCBS PAYABLE</v>
      </c>
    </row>
    <row r="2587" spans="5:8" x14ac:dyDescent="0.25">
      <c r="E2587" t="str">
        <f>""</f>
        <v/>
      </c>
      <c r="F2587" t="str">
        <f>""</f>
        <v/>
      </c>
      <c r="H2587" t="str">
        <f t="shared" si="47"/>
        <v>BCBS PAYABLE</v>
      </c>
    </row>
    <row r="2588" spans="5:8" x14ac:dyDescent="0.25">
      <c r="E2588" t="str">
        <f>""</f>
        <v/>
      </c>
      <c r="F2588" t="str">
        <f>""</f>
        <v/>
      </c>
      <c r="H2588" t="str">
        <f t="shared" si="47"/>
        <v>BCBS PAYABLE</v>
      </c>
    </row>
    <row r="2589" spans="5:8" x14ac:dyDescent="0.25">
      <c r="E2589" t="str">
        <f>""</f>
        <v/>
      </c>
      <c r="F2589" t="str">
        <f>""</f>
        <v/>
      </c>
      <c r="H2589" t="str">
        <f t="shared" si="47"/>
        <v>BCBS PAYABLE</v>
      </c>
    </row>
    <row r="2590" spans="5:8" x14ac:dyDescent="0.25">
      <c r="E2590" t="str">
        <f>""</f>
        <v/>
      </c>
      <c r="F2590" t="str">
        <f>""</f>
        <v/>
      </c>
      <c r="H2590" t="str">
        <f t="shared" si="47"/>
        <v>BCBS PAYABLE</v>
      </c>
    </row>
    <row r="2591" spans="5:8" x14ac:dyDescent="0.25">
      <c r="E2591" t="str">
        <f>"2EO201908071043"</f>
        <v>2EO201908071043</v>
      </c>
      <c r="F2591" t="str">
        <f>"BCBS PAYABLE"</f>
        <v>BCBS PAYABLE</v>
      </c>
      <c r="G2591" s="2">
        <v>3792.96</v>
      </c>
      <c r="H2591" t="str">
        <f t="shared" si="47"/>
        <v>BCBS PAYABLE</v>
      </c>
    </row>
    <row r="2592" spans="5:8" x14ac:dyDescent="0.25">
      <c r="E2592" t="str">
        <f>"2EO201908201222"</f>
        <v>2EO201908201222</v>
      </c>
      <c r="F2592" t="str">
        <f>"BCBS PAYABLE"</f>
        <v>BCBS PAYABLE</v>
      </c>
      <c r="G2592" s="2">
        <v>91031.039999999994</v>
      </c>
      <c r="H2592" t="str">
        <f t="shared" si="47"/>
        <v>BCBS PAYABLE</v>
      </c>
    </row>
    <row r="2593" spans="5:8" x14ac:dyDescent="0.25">
      <c r="E2593" t="str">
        <f>""</f>
        <v/>
      </c>
      <c r="F2593" t="str">
        <f>""</f>
        <v/>
      </c>
      <c r="H2593" t="str">
        <f t="shared" si="47"/>
        <v>BCBS PAYABLE</v>
      </c>
    </row>
    <row r="2594" spans="5:8" x14ac:dyDescent="0.25">
      <c r="E2594" t="str">
        <f>""</f>
        <v/>
      </c>
      <c r="F2594" t="str">
        <f>""</f>
        <v/>
      </c>
      <c r="H2594" t="str">
        <f t="shared" si="47"/>
        <v>BCBS PAYABLE</v>
      </c>
    </row>
    <row r="2595" spans="5:8" x14ac:dyDescent="0.25">
      <c r="E2595" t="str">
        <f>""</f>
        <v/>
      </c>
      <c r="F2595" t="str">
        <f>""</f>
        <v/>
      </c>
      <c r="H2595" t="str">
        <f t="shared" si="47"/>
        <v>BCBS PAYABLE</v>
      </c>
    </row>
    <row r="2596" spans="5:8" x14ac:dyDescent="0.25">
      <c r="E2596" t="str">
        <f>""</f>
        <v/>
      </c>
      <c r="F2596" t="str">
        <f>""</f>
        <v/>
      </c>
      <c r="H2596" t="str">
        <f t="shared" si="47"/>
        <v>BCBS PAYABLE</v>
      </c>
    </row>
    <row r="2597" spans="5:8" x14ac:dyDescent="0.25">
      <c r="E2597" t="str">
        <f>""</f>
        <v/>
      </c>
      <c r="F2597" t="str">
        <f>""</f>
        <v/>
      </c>
      <c r="H2597" t="str">
        <f t="shared" si="47"/>
        <v>BCBS PAYABLE</v>
      </c>
    </row>
    <row r="2598" spans="5:8" x14ac:dyDescent="0.25">
      <c r="E2598" t="str">
        <f>""</f>
        <v/>
      </c>
      <c r="F2598" t="str">
        <f>""</f>
        <v/>
      </c>
      <c r="H2598" t="str">
        <f t="shared" si="47"/>
        <v>BCBS PAYABLE</v>
      </c>
    </row>
    <row r="2599" spans="5:8" x14ac:dyDescent="0.25">
      <c r="E2599" t="str">
        <f>""</f>
        <v/>
      </c>
      <c r="F2599" t="str">
        <f>""</f>
        <v/>
      </c>
      <c r="H2599" t="str">
        <f t="shared" si="47"/>
        <v>BCBS PAYABLE</v>
      </c>
    </row>
    <row r="2600" spans="5:8" x14ac:dyDescent="0.25">
      <c r="E2600" t="str">
        <f>""</f>
        <v/>
      </c>
      <c r="F2600" t="str">
        <f>""</f>
        <v/>
      </c>
      <c r="H2600" t="str">
        <f t="shared" si="47"/>
        <v>BCBS PAYABLE</v>
      </c>
    </row>
    <row r="2601" spans="5:8" x14ac:dyDescent="0.25">
      <c r="E2601" t="str">
        <f>""</f>
        <v/>
      </c>
      <c r="F2601" t="str">
        <f>""</f>
        <v/>
      </c>
      <c r="H2601" t="str">
        <f t="shared" si="47"/>
        <v>BCBS PAYABLE</v>
      </c>
    </row>
    <row r="2602" spans="5:8" x14ac:dyDescent="0.25">
      <c r="E2602" t="str">
        <f>""</f>
        <v/>
      </c>
      <c r="F2602" t="str">
        <f>""</f>
        <v/>
      </c>
      <c r="H2602" t="str">
        <f t="shared" si="47"/>
        <v>BCBS PAYABLE</v>
      </c>
    </row>
    <row r="2603" spans="5:8" x14ac:dyDescent="0.25">
      <c r="E2603" t="str">
        <f>""</f>
        <v/>
      </c>
      <c r="F2603" t="str">
        <f>""</f>
        <v/>
      </c>
      <c r="H2603" t="str">
        <f t="shared" ref="H2603:H2634" si="48">"BCBS PAYABLE"</f>
        <v>BCBS PAYABLE</v>
      </c>
    </row>
    <row r="2604" spans="5:8" x14ac:dyDescent="0.25">
      <c r="E2604" t="str">
        <f>""</f>
        <v/>
      </c>
      <c r="F2604" t="str">
        <f>""</f>
        <v/>
      </c>
      <c r="H2604" t="str">
        <f t="shared" si="48"/>
        <v>BCBS PAYABLE</v>
      </c>
    </row>
    <row r="2605" spans="5:8" x14ac:dyDescent="0.25">
      <c r="E2605" t="str">
        <f>""</f>
        <v/>
      </c>
      <c r="F2605" t="str">
        <f>""</f>
        <v/>
      </c>
      <c r="H2605" t="str">
        <f t="shared" si="48"/>
        <v>BCBS PAYABLE</v>
      </c>
    </row>
    <row r="2606" spans="5:8" x14ac:dyDescent="0.25">
      <c r="E2606" t="str">
        <f>""</f>
        <v/>
      </c>
      <c r="F2606" t="str">
        <f>""</f>
        <v/>
      </c>
      <c r="H2606" t="str">
        <f t="shared" si="48"/>
        <v>BCBS PAYABLE</v>
      </c>
    </row>
    <row r="2607" spans="5:8" x14ac:dyDescent="0.25">
      <c r="E2607" t="str">
        <f>""</f>
        <v/>
      </c>
      <c r="F2607" t="str">
        <f>""</f>
        <v/>
      </c>
      <c r="H2607" t="str">
        <f t="shared" si="48"/>
        <v>BCBS PAYABLE</v>
      </c>
    </row>
    <row r="2608" spans="5:8" x14ac:dyDescent="0.25">
      <c r="E2608" t="str">
        <f>""</f>
        <v/>
      </c>
      <c r="F2608" t="str">
        <f>""</f>
        <v/>
      </c>
      <c r="H2608" t="str">
        <f t="shared" si="48"/>
        <v>BCBS PAYABLE</v>
      </c>
    </row>
    <row r="2609" spans="5:8" x14ac:dyDescent="0.25">
      <c r="E2609" t="str">
        <f>""</f>
        <v/>
      </c>
      <c r="F2609" t="str">
        <f>""</f>
        <v/>
      </c>
      <c r="H2609" t="str">
        <f t="shared" si="48"/>
        <v>BCBS PAYABLE</v>
      </c>
    </row>
    <row r="2610" spans="5:8" x14ac:dyDescent="0.25">
      <c r="E2610" t="str">
        <f>""</f>
        <v/>
      </c>
      <c r="F2610" t="str">
        <f>""</f>
        <v/>
      </c>
      <c r="H2610" t="str">
        <f t="shared" si="48"/>
        <v>BCBS PAYABLE</v>
      </c>
    </row>
    <row r="2611" spans="5:8" x14ac:dyDescent="0.25">
      <c r="E2611" t="str">
        <f>""</f>
        <v/>
      </c>
      <c r="F2611" t="str">
        <f>""</f>
        <v/>
      </c>
      <c r="H2611" t="str">
        <f t="shared" si="48"/>
        <v>BCBS PAYABLE</v>
      </c>
    </row>
    <row r="2612" spans="5:8" x14ac:dyDescent="0.25">
      <c r="E2612" t="str">
        <f>""</f>
        <v/>
      </c>
      <c r="F2612" t="str">
        <f>""</f>
        <v/>
      </c>
      <c r="H2612" t="str">
        <f t="shared" si="48"/>
        <v>BCBS PAYABLE</v>
      </c>
    </row>
    <row r="2613" spans="5:8" x14ac:dyDescent="0.25">
      <c r="E2613" t="str">
        <f>""</f>
        <v/>
      </c>
      <c r="F2613" t="str">
        <f>""</f>
        <v/>
      </c>
      <c r="H2613" t="str">
        <f t="shared" si="48"/>
        <v>BCBS PAYABLE</v>
      </c>
    </row>
    <row r="2614" spans="5:8" x14ac:dyDescent="0.25">
      <c r="E2614" t="str">
        <f>""</f>
        <v/>
      </c>
      <c r="F2614" t="str">
        <f>""</f>
        <v/>
      </c>
      <c r="H2614" t="str">
        <f t="shared" si="48"/>
        <v>BCBS PAYABLE</v>
      </c>
    </row>
    <row r="2615" spans="5:8" x14ac:dyDescent="0.25">
      <c r="E2615" t="str">
        <f>""</f>
        <v/>
      </c>
      <c r="F2615" t="str">
        <f>""</f>
        <v/>
      </c>
      <c r="H2615" t="str">
        <f t="shared" si="48"/>
        <v>BCBS PAYABLE</v>
      </c>
    </row>
    <row r="2616" spans="5:8" x14ac:dyDescent="0.25">
      <c r="E2616" t="str">
        <f>""</f>
        <v/>
      </c>
      <c r="F2616" t="str">
        <f>""</f>
        <v/>
      </c>
      <c r="H2616" t="str">
        <f t="shared" si="48"/>
        <v>BCBS PAYABLE</v>
      </c>
    </row>
    <row r="2617" spans="5:8" x14ac:dyDescent="0.25">
      <c r="E2617" t="str">
        <f>""</f>
        <v/>
      </c>
      <c r="F2617" t="str">
        <f>""</f>
        <v/>
      </c>
      <c r="H2617" t="str">
        <f t="shared" si="48"/>
        <v>BCBS PAYABLE</v>
      </c>
    </row>
    <row r="2618" spans="5:8" x14ac:dyDescent="0.25">
      <c r="E2618" t="str">
        <f>""</f>
        <v/>
      </c>
      <c r="F2618" t="str">
        <f>""</f>
        <v/>
      </c>
      <c r="H2618" t="str">
        <f t="shared" si="48"/>
        <v>BCBS PAYABLE</v>
      </c>
    </row>
    <row r="2619" spans="5:8" x14ac:dyDescent="0.25">
      <c r="E2619" t="str">
        <f>""</f>
        <v/>
      </c>
      <c r="F2619" t="str">
        <f>""</f>
        <v/>
      </c>
      <c r="H2619" t="str">
        <f t="shared" si="48"/>
        <v>BCBS PAYABLE</v>
      </c>
    </row>
    <row r="2620" spans="5:8" x14ac:dyDescent="0.25">
      <c r="E2620" t="str">
        <f>""</f>
        <v/>
      </c>
      <c r="F2620" t="str">
        <f>""</f>
        <v/>
      </c>
      <c r="H2620" t="str">
        <f t="shared" si="48"/>
        <v>BCBS PAYABLE</v>
      </c>
    </row>
    <row r="2621" spans="5:8" x14ac:dyDescent="0.25">
      <c r="E2621" t="str">
        <f>""</f>
        <v/>
      </c>
      <c r="F2621" t="str">
        <f>""</f>
        <v/>
      </c>
      <c r="H2621" t="str">
        <f t="shared" si="48"/>
        <v>BCBS PAYABLE</v>
      </c>
    </row>
    <row r="2622" spans="5:8" x14ac:dyDescent="0.25">
      <c r="E2622" t="str">
        <f>""</f>
        <v/>
      </c>
      <c r="F2622" t="str">
        <f>""</f>
        <v/>
      </c>
      <c r="H2622" t="str">
        <f t="shared" si="48"/>
        <v>BCBS PAYABLE</v>
      </c>
    </row>
    <row r="2623" spans="5:8" x14ac:dyDescent="0.25">
      <c r="E2623" t="str">
        <f>""</f>
        <v/>
      </c>
      <c r="F2623" t="str">
        <f>""</f>
        <v/>
      </c>
      <c r="H2623" t="str">
        <f t="shared" si="48"/>
        <v>BCBS PAYABLE</v>
      </c>
    </row>
    <row r="2624" spans="5:8" x14ac:dyDescent="0.25">
      <c r="E2624" t="str">
        <f>""</f>
        <v/>
      </c>
      <c r="F2624" t="str">
        <f>""</f>
        <v/>
      </c>
      <c r="H2624" t="str">
        <f t="shared" si="48"/>
        <v>BCBS PAYABLE</v>
      </c>
    </row>
    <row r="2625" spans="5:8" x14ac:dyDescent="0.25">
      <c r="E2625" t="str">
        <f>""</f>
        <v/>
      </c>
      <c r="F2625" t="str">
        <f>""</f>
        <v/>
      </c>
      <c r="H2625" t="str">
        <f t="shared" si="48"/>
        <v>BCBS PAYABLE</v>
      </c>
    </row>
    <row r="2626" spans="5:8" x14ac:dyDescent="0.25">
      <c r="E2626" t="str">
        <f>""</f>
        <v/>
      </c>
      <c r="F2626" t="str">
        <f>""</f>
        <v/>
      </c>
      <c r="H2626" t="str">
        <f t="shared" si="48"/>
        <v>BCBS PAYABLE</v>
      </c>
    </row>
    <row r="2627" spans="5:8" x14ac:dyDescent="0.25">
      <c r="E2627" t="str">
        <f>""</f>
        <v/>
      </c>
      <c r="F2627" t="str">
        <f>""</f>
        <v/>
      </c>
      <c r="H2627" t="str">
        <f t="shared" si="48"/>
        <v>BCBS PAYABLE</v>
      </c>
    </row>
    <row r="2628" spans="5:8" x14ac:dyDescent="0.25">
      <c r="E2628" t="str">
        <f>""</f>
        <v/>
      </c>
      <c r="F2628" t="str">
        <f>""</f>
        <v/>
      </c>
      <c r="H2628" t="str">
        <f t="shared" si="48"/>
        <v>BCBS PAYABLE</v>
      </c>
    </row>
    <row r="2629" spans="5:8" x14ac:dyDescent="0.25">
      <c r="E2629" t="str">
        <f>""</f>
        <v/>
      </c>
      <c r="F2629" t="str">
        <f>""</f>
        <v/>
      </c>
      <c r="H2629" t="str">
        <f t="shared" si="48"/>
        <v>BCBS PAYABLE</v>
      </c>
    </row>
    <row r="2630" spans="5:8" x14ac:dyDescent="0.25">
      <c r="E2630" t="str">
        <f>""</f>
        <v/>
      </c>
      <c r="F2630" t="str">
        <f>""</f>
        <v/>
      </c>
      <c r="H2630" t="str">
        <f t="shared" si="48"/>
        <v>BCBS PAYABLE</v>
      </c>
    </row>
    <row r="2631" spans="5:8" x14ac:dyDescent="0.25">
      <c r="E2631" t="str">
        <f>""</f>
        <v/>
      </c>
      <c r="F2631" t="str">
        <f>""</f>
        <v/>
      </c>
      <c r="H2631" t="str">
        <f t="shared" si="48"/>
        <v>BCBS PAYABLE</v>
      </c>
    </row>
    <row r="2632" spans="5:8" x14ac:dyDescent="0.25">
      <c r="E2632" t="str">
        <f>""</f>
        <v/>
      </c>
      <c r="F2632" t="str">
        <f>""</f>
        <v/>
      </c>
      <c r="H2632" t="str">
        <f t="shared" si="48"/>
        <v>BCBS PAYABLE</v>
      </c>
    </row>
    <row r="2633" spans="5:8" x14ac:dyDescent="0.25">
      <c r="E2633" t="str">
        <f>""</f>
        <v/>
      </c>
      <c r="F2633" t="str">
        <f>""</f>
        <v/>
      </c>
      <c r="H2633" t="str">
        <f t="shared" si="48"/>
        <v>BCBS PAYABLE</v>
      </c>
    </row>
    <row r="2634" spans="5:8" x14ac:dyDescent="0.25">
      <c r="E2634" t="str">
        <f>""</f>
        <v/>
      </c>
      <c r="F2634" t="str">
        <f>""</f>
        <v/>
      </c>
      <c r="H2634" t="str">
        <f t="shared" si="48"/>
        <v>BCBS PAYABLE</v>
      </c>
    </row>
    <row r="2635" spans="5:8" x14ac:dyDescent="0.25">
      <c r="E2635" t="str">
        <f>"2EO201908201223"</f>
        <v>2EO201908201223</v>
      </c>
      <c r="F2635" t="str">
        <f>"BCBS PAYABLE"</f>
        <v>BCBS PAYABLE</v>
      </c>
      <c r="G2635" s="2">
        <v>3792.96</v>
      </c>
      <c r="H2635" t="str">
        <f t="shared" ref="H2635:H2667" si="49">"BCBS PAYABLE"</f>
        <v>BCBS PAYABLE</v>
      </c>
    </row>
    <row r="2636" spans="5:8" x14ac:dyDescent="0.25">
      <c r="E2636" t="str">
        <f>"2ES201908071042"</f>
        <v>2ES201908071042</v>
      </c>
      <c r="F2636" t="str">
        <f>"BCBS PAYABLE"</f>
        <v>BCBS PAYABLE</v>
      </c>
      <c r="G2636" s="2">
        <v>15586.8</v>
      </c>
      <c r="H2636" t="str">
        <f t="shared" si="49"/>
        <v>BCBS PAYABLE</v>
      </c>
    </row>
    <row r="2637" spans="5:8" x14ac:dyDescent="0.25">
      <c r="E2637" t="str">
        <f>""</f>
        <v/>
      </c>
      <c r="F2637" t="str">
        <f>""</f>
        <v/>
      </c>
      <c r="H2637" t="str">
        <f t="shared" si="49"/>
        <v>BCBS PAYABLE</v>
      </c>
    </row>
    <row r="2638" spans="5:8" x14ac:dyDescent="0.25">
      <c r="E2638" t="str">
        <f>""</f>
        <v/>
      </c>
      <c r="F2638" t="str">
        <f>""</f>
        <v/>
      </c>
      <c r="H2638" t="str">
        <f t="shared" si="49"/>
        <v>BCBS PAYABLE</v>
      </c>
    </row>
    <row r="2639" spans="5:8" x14ac:dyDescent="0.25">
      <c r="E2639" t="str">
        <f>""</f>
        <v/>
      </c>
      <c r="F2639" t="str">
        <f>""</f>
        <v/>
      </c>
      <c r="H2639" t="str">
        <f t="shared" si="49"/>
        <v>BCBS PAYABLE</v>
      </c>
    </row>
    <row r="2640" spans="5:8" x14ac:dyDescent="0.25">
      <c r="E2640" t="str">
        <f>""</f>
        <v/>
      </c>
      <c r="F2640" t="str">
        <f>""</f>
        <v/>
      </c>
      <c r="H2640" t="str">
        <f t="shared" si="49"/>
        <v>BCBS PAYABLE</v>
      </c>
    </row>
    <row r="2641" spans="5:8" x14ac:dyDescent="0.25">
      <c r="E2641" t="str">
        <f>""</f>
        <v/>
      </c>
      <c r="F2641" t="str">
        <f>""</f>
        <v/>
      </c>
      <c r="H2641" t="str">
        <f t="shared" si="49"/>
        <v>BCBS PAYABLE</v>
      </c>
    </row>
    <row r="2642" spans="5:8" x14ac:dyDescent="0.25">
      <c r="E2642" t="str">
        <f>""</f>
        <v/>
      </c>
      <c r="F2642" t="str">
        <f>""</f>
        <v/>
      </c>
      <c r="H2642" t="str">
        <f t="shared" si="49"/>
        <v>BCBS PAYABLE</v>
      </c>
    </row>
    <row r="2643" spans="5:8" x14ac:dyDescent="0.25">
      <c r="E2643" t="str">
        <f>""</f>
        <v/>
      </c>
      <c r="F2643" t="str">
        <f>""</f>
        <v/>
      </c>
      <c r="H2643" t="str">
        <f t="shared" si="49"/>
        <v>BCBS PAYABLE</v>
      </c>
    </row>
    <row r="2644" spans="5:8" x14ac:dyDescent="0.25">
      <c r="E2644" t="str">
        <f>""</f>
        <v/>
      </c>
      <c r="F2644" t="str">
        <f>""</f>
        <v/>
      </c>
      <c r="H2644" t="str">
        <f t="shared" si="49"/>
        <v>BCBS PAYABLE</v>
      </c>
    </row>
    <row r="2645" spans="5:8" x14ac:dyDescent="0.25">
      <c r="E2645" t="str">
        <f>""</f>
        <v/>
      </c>
      <c r="F2645" t="str">
        <f>""</f>
        <v/>
      </c>
      <c r="H2645" t="str">
        <f t="shared" si="49"/>
        <v>BCBS PAYABLE</v>
      </c>
    </row>
    <row r="2646" spans="5:8" x14ac:dyDescent="0.25">
      <c r="E2646" t="str">
        <f>""</f>
        <v/>
      </c>
      <c r="F2646" t="str">
        <f>""</f>
        <v/>
      </c>
      <c r="H2646" t="str">
        <f t="shared" si="49"/>
        <v>BCBS PAYABLE</v>
      </c>
    </row>
    <row r="2647" spans="5:8" x14ac:dyDescent="0.25">
      <c r="E2647" t="str">
        <f>""</f>
        <v/>
      </c>
      <c r="F2647" t="str">
        <f>""</f>
        <v/>
      </c>
      <c r="H2647" t="str">
        <f t="shared" si="49"/>
        <v>BCBS PAYABLE</v>
      </c>
    </row>
    <row r="2648" spans="5:8" x14ac:dyDescent="0.25">
      <c r="E2648" t="str">
        <f>""</f>
        <v/>
      </c>
      <c r="F2648" t="str">
        <f>""</f>
        <v/>
      </c>
      <c r="H2648" t="str">
        <f t="shared" si="49"/>
        <v>BCBS PAYABLE</v>
      </c>
    </row>
    <row r="2649" spans="5:8" x14ac:dyDescent="0.25">
      <c r="E2649" t="str">
        <f>""</f>
        <v/>
      </c>
      <c r="F2649" t="str">
        <f>""</f>
        <v/>
      </c>
      <c r="H2649" t="str">
        <f t="shared" si="49"/>
        <v>BCBS PAYABLE</v>
      </c>
    </row>
    <row r="2650" spans="5:8" x14ac:dyDescent="0.25">
      <c r="E2650" t="str">
        <f>""</f>
        <v/>
      </c>
      <c r="F2650" t="str">
        <f>""</f>
        <v/>
      </c>
      <c r="H2650" t="str">
        <f t="shared" si="49"/>
        <v>BCBS PAYABLE</v>
      </c>
    </row>
    <row r="2651" spans="5:8" x14ac:dyDescent="0.25">
      <c r="E2651" t="str">
        <f>""</f>
        <v/>
      </c>
      <c r="F2651" t="str">
        <f>""</f>
        <v/>
      </c>
      <c r="H2651" t="str">
        <f t="shared" si="49"/>
        <v>BCBS PAYABLE</v>
      </c>
    </row>
    <row r="2652" spans="5:8" x14ac:dyDescent="0.25">
      <c r="E2652" t="str">
        <f>"2ES201908201222"</f>
        <v>2ES201908201222</v>
      </c>
      <c r="F2652" t="str">
        <f>"BCBS PAYABLE"</f>
        <v>BCBS PAYABLE</v>
      </c>
      <c r="G2652" s="2">
        <v>15586.8</v>
      </c>
      <c r="H2652" t="str">
        <f t="shared" si="49"/>
        <v>BCBS PAYABLE</v>
      </c>
    </row>
    <row r="2653" spans="5:8" x14ac:dyDescent="0.25">
      <c r="E2653" t="str">
        <f>""</f>
        <v/>
      </c>
      <c r="F2653" t="str">
        <f>""</f>
        <v/>
      </c>
      <c r="H2653" t="str">
        <f t="shared" si="49"/>
        <v>BCBS PAYABLE</v>
      </c>
    </row>
    <row r="2654" spans="5:8" x14ac:dyDescent="0.25">
      <c r="E2654" t="str">
        <f>""</f>
        <v/>
      </c>
      <c r="F2654" t="str">
        <f>""</f>
        <v/>
      </c>
      <c r="H2654" t="str">
        <f t="shared" si="49"/>
        <v>BCBS PAYABLE</v>
      </c>
    </row>
    <row r="2655" spans="5:8" x14ac:dyDescent="0.25">
      <c r="E2655" t="str">
        <f>""</f>
        <v/>
      </c>
      <c r="F2655" t="str">
        <f>""</f>
        <v/>
      </c>
      <c r="H2655" t="str">
        <f t="shared" si="49"/>
        <v>BCBS PAYABLE</v>
      </c>
    </row>
    <row r="2656" spans="5:8" x14ac:dyDescent="0.25">
      <c r="E2656" t="str">
        <f>""</f>
        <v/>
      </c>
      <c r="F2656" t="str">
        <f>""</f>
        <v/>
      </c>
      <c r="H2656" t="str">
        <f t="shared" si="49"/>
        <v>BCBS PAYABLE</v>
      </c>
    </row>
    <row r="2657" spans="1:8" x14ac:dyDescent="0.25">
      <c r="E2657" t="str">
        <f>""</f>
        <v/>
      </c>
      <c r="F2657" t="str">
        <f>""</f>
        <v/>
      </c>
      <c r="H2657" t="str">
        <f t="shared" si="49"/>
        <v>BCBS PAYABLE</v>
      </c>
    </row>
    <row r="2658" spans="1:8" x14ac:dyDescent="0.25">
      <c r="E2658" t="str">
        <f>""</f>
        <v/>
      </c>
      <c r="F2658" t="str">
        <f>""</f>
        <v/>
      </c>
      <c r="H2658" t="str">
        <f t="shared" si="49"/>
        <v>BCBS PAYABLE</v>
      </c>
    </row>
    <row r="2659" spans="1:8" x14ac:dyDescent="0.25">
      <c r="E2659" t="str">
        <f>""</f>
        <v/>
      </c>
      <c r="F2659" t="str">
        <f>""</f>
        <v/>
      </c>
      <c r="H2659" t="str">
        <f t="shared" si="49"/>
        <v>BCBS PAYABLE</v>
      </c>
    </row>
    <row r="2660" spans="1:8" x14ac:dyDescent="0.25">
      <c r="E2660" t="str">
        <f>""</f>
        <v/>
      </c>
      <c r="F2660" t="str">
        <f>""</f>
        <v/>
      </c>
      <c r="H2660" t="str">
        <f t="shared" si="49"/>
        <v>BCBS PAYABLE</v>
      </c>
    </row>
    <row r="2661" spans="1:8" x14ac:dyDescent="0.25">
      <c r="E2661" t="str">
        <f>""</f>
        <v/>
      </c>
      <c r="F2661" t="str">
        <f>""</f>
        <v/>
      </c>
      <c r="H2661" t="str">
        <f t="shared" si="49"/>
        <v>BCBS PAYABLE</v>
      </c>
    </row>
    <row r="2662" spans="1:8" x14ac:dyDescent="0.25">
      <c r="E2662" t="str">
        <f>""</f>
        <v/>
      </c>
      <c r="F2662" t="str">
        <f>""</f>
        <v/>
      </c>
      <c r="H2662" t="str">
        <f t="shared" si="49"/>
        <v>BCBS PAYABLE</v>
      </c>
    </row>
    <row r="2663" spans="1:8" x14ac:dyDescent="0.25">
      <c r="E2663" t="str">
        <f>""</f>
        <v/>
      </c>
      <c r="F2663" t="str">
        <f>""</f>
        <v/>
      </c>
      <c r="H2663" t="str">
        <f t="shared" si="49"/>
        <v>BCBS PAYABLE</v>
      </c>
    </row>
    <row r="2664" spans="1:8" x14ac:dyDescent="0.25">
      <c r="E2664" t="str">
        <f>""</f>
        <v/>
      </c>
      <c r="F2664" t="str">
        <f>""</f>
        <v/>
      </c>
      <c r="H2664" t="str">
        <f t="shared" si="49"/>
        <v>BCBS PAYABLE</v>
      </c>
    </row>
    <row r="2665" spans="1:8" x14ac:dyDescent="0.25">
      <c r="E2665" t="str">
        <f>""</f>
        <v/>
      </c>
      <c r="F2665" t="str">
        <f>""</f>
        <v/>
      </c>
      <c r="H2665" t="str">
        <f t="shared" si="49"/>
        <v>BCBS PAYABLE</v>
      </c>
    </row>
    <row r="2666" spans="1:8" x14ac:dyDescent="0.25">
      <c r="E2666" t="str">
        <f>""</f>
        <v/>
      </c>
      <c r="F2666" t="str">
        <f>""</f>
        <v/>
      </c>
      <c r="H2666" t="str">
        <f t="shared" si="49"/>
        <v>BCBS PAYABLE</v>
      </c>
    </row>
    <row r="2667" spans="1:8" x14ac:dyDescent="0.25">
      <c r="E2667" t="str">
        <f>""</f>
        <v/>
      </c>
      <c r="F2667" t="str">
        <f>""</f>
        <v/>
      </c>
      <c r="H2667" t="str">
        <f t="shared" si="49"/>
        <v>BCBS PAYABLE</v>
      </c>
    </row>
    <row r="2668" spans="1:8" x14ac:dyDescent="0.25">
      <c r="A2668" t="s">
        <v>431</v>
      </c>
      <c r="B2668">
        <v>194</v>
      </c>
      <c r="C2668" s="2">
        <v>9893.2900000000009</v>
      </c>
      <c r="D2668" s="1">
        <v>43686</v>
      </c>
      <c r="E2668" t="str">
        <f>"FSA201908071042"</f>
        <v>FSA201908071042</v>
      </c>
      <c r="F2668" t="str">
        <f>"TASC FSA"</f>
        <v>TASC FSA</v>
      </c>
      <c r="G2668" s="2">
        <v>7289.85</v>
      </c>
      <c r="H2668" t="str">
        <f>"TASC FSA"</f>
        <v>TASC FSA</v>
      </c>
    </row>
    <row r="2669" spans="1:8" x14ac:dyDescent="0.25">
      <c r="E2669" t="str">
        <f>"FSA201908071043"</f>
        <v>FSA201908071043</v>
      </c>
      <c r="F2669" t="str">
        <f>"TASC FSA"</f>
        <v>TASC FSA</v>
      </c>
      <c r="G2669" s="2">
        <v>550.05999999999995</v>
      </c>
      <c r="H2669" t="str">
        <f>"TASC FSA"</f>
        <v>TASC FSA</v>
      </c>
    </row>
    <row r="2670" spans="1:8" x14ac:dyDescent="0.25">
      <c r="E2670" t="str">
        <f>"FSC201908071042"</f>
        <v>FSC201908071042</v>
      </c>
      <c r="F2670" t="str">
        <f>"TASC DEPENDENT CARE"</f>
        <v>TASC DEPENDENT CARE</v>
      </c>
      <c r="G2670" s="2">
        <v>513.96</v>
      </c>
      <c r="H2670" t="str">
        <f>"TASC DEPENDENT CARE"</f>
        <v>TASC DEPENDENT CARE</v>
      </c>
    </row>
    <row r="2671" spans="1:8" x14ac:dyDescent="0.25">
      <c r="E2671" t="str">
        <f>"FSF201908071042"</f>
        <v>FSF201908071042</v>
      </c>
      <c r="F2671" t="str">
        <f>"TASC - FSA  FEES"</f>
        <v>TASC - FSA  FEES</v>
      </c>
      <c r="G2671" s="2">
        <v>257.39999999999998</v>
      </c>
      <c r="H2671" t="str">
        <f t="shared" ref="H2671:H2708" si="50">"TASC - FSA  FEES"</f>
        <v>TASC - FSA  FEES</v>
      </c>
    </row>
    <row r="2672" spans="1:8" x14ac:dyDescent="0.25">
      <c r="E2672" t="str">
        <f>""</f>
        <v/>
      </c>
      <c r="F2672" t="str">
        <f>""</f>
        <v/>
      </c>
      <c r="H2672" t="str">
        <f t="shared" si="50"/>
        <v>TASC - FSA  FEES</v>
      </c>
    </row>
    <row r="2673" spans="5:8" x14ac:dyDescent="0.25">
      <c r="E2673" t="str">
        <f>""</f>
        <v/>
      </c>
      <c r="F2673" t="str">
        <f>""</f>
        <v/>
      </c>
      <c r="H2673" t="str">
        <f t="shared" si="50"/>
        <v>TASC - FSA  FEES</v>
      </c>
    </row>
    <row r="2674" spans="5:8" x14ac:dyDescent="0.25">
      <c r="E2674" t="str">
        <f>""</f>
        <v/>
      </c>
      <c r="F2674" t="str">
        <f>""</f>
        <v/>
      </c>
      <c r="H2674" t="str">
        <f t="shared" si="50"/>
        <v>TASC - FSA  FEES</v>
      </c>
    </row>
    <row r="2675" spans="5:8" x14ac:dyDescent="0.25">
      <c r="E2675" t="str">
        <f>""</f>
        <v/>
      </c>
      <c r="F2675" t="str">
        <f>""</f>
        <v/>
      </c>
      <c r="H2675" t="str">
        <f t="shared" si="50"/>
        <v>TASC - FSA  FEES</v>
      </c>
    </row>
    <row r="2676" spans="5:8" x14ac:dyDescent="0.25">
      <c r="E2676" t="str">
        <f>""</f>
        <v/>
      </c>
      <c r="F2676" t="str">
        <f>""</f>
        <v/>
      </c>
      <c r="H2676" t="str">
        <f t="shared" si="50"/>
        <v>TASC - FSA  FEES</v>
      </c>
    </row>
    <row r="2677" spans="5:8" x14ac:dyDescent="0.25">
      <c r="E2677" t="str">
        <f>""</f>
        <v/>
      </c>
      <c r="F2677" t="str">
        <f>""</f>
        <v/>
      </c>
      <c r="H2677" t="str">
        <f t="shared" si="50"/>
        <v>TASC - FSA  FEES</v>
      </c>
    </row>
    <row r="2678" spans="5:8" x14ac:dyDescent="0.25">
      <c r="E2678" t="str">
        <f>""</f>
        <v/>
      </c>
      <c r="F2678" t="str">
        <f>""</f>
        <v/>
      </c>
      <c r="H2678" t="str">
        <f t="shared" si="50"/>
        <v>TASC - FSA  FEES</v>
      </c>
    </row>
    <row r="2679" spans="5:8" x14ac:dyDescent="0.25">
      <c r="E2679" t="str">
        <f>""</f>
        <v/>
      </c>
      <c r="F2679" t="str">
        <f>""</f>
        <v/>
      </c>
      <c r="H2679" t="str">
        <f t="shared" si="50"/>
        <v>TASC - FSA  FEES</v>
      </c>
    </row>
    <row r="2680" spans="5:8" x14ac:dyDescent="0.25">
      <c r="E2680" t="str">
        <f>""</f>
        <v/>
      </c>
      <c r="F2680" t="str">
        <f>""</f>
        <v/>
      </c>
      <c r="H2680" t="str">
        <f t="shared" si="50"/>
        <v>TASC - FSA  FEES</v>
      </c>
    </row>
    <row r="2681" spans="5:8" x14ac:dyDescent="0.25">
      <c r="E2681" t="str">
        <f>""</f>
        <v/>
      </c>
      <c r="F2681" t="str">
        <f>""</f>
        <v/>
      </c>
      <c r="H2681" t="str">
        <f t="shared" si="50"/>
        <v>TASC - FSA  FEES</v>
      </c>
    </row>
    <row r="2682" spans="5:8" x14ac:dyDescent="0.25">
      <c r="E2682" t="str">
        <f>""</f>
        <v/>
      </c>
      <c r="F2682" t="str">
        <f>""</f>
        <v/>
      </c>
      <c r="H2682" t="str">
        <f t="shared" si="50"/>
        <v>TASC - FSA  FEES</v>
      </c>
    </row>
    <row r="2683" spans="5:8" x14ac:dyDescent="0.25">
      <c r="E2683" t="str">
        <f>""</f>
        <v/>
      </c>
      <c r="F2683" t="str">
        <f>""</f>
        <v/>
      </c>
      <c r="H2683" t="str">
        <f t="shared" si="50"/>
        <v>TASC - FSA  FEES</v>
      </c>
    </row>
    <row r="2684" spans="5:8" x14ac:dyDescent="0.25">
      <c r="E2684" t="str">
        <f>""</f>
        <v/>
      </c>
      <c r="F2684" t="str">
        <f>""</f>
        <v/>
      </c>
      <c r="H2684" t="str">
        <f t="shared" si="50"/>
        <v>TASC - FSA  FEES</v>
      </c>
    </row>
    <row r="2685" spans="5:8" x14ac:dyDescent="0.25">
      <c r="E2685" t="str">
        <f>""</f>
        <v/>
      </c>
      <c r="F2685" t="str">
        <f>""</f>
        <v/>
      </c>
      <c r="H2685" t="str">
        <f t="shared" si="50"/>
        <v>TASC - FSA  FEES</v>
      </c>
    </row>
    <row r="2686" spans="5:8" x14ac:dyDescent="0.25">
      <c r="E2686" t="str">
        <f>""</f>
        <v/>
      </c>
      <c r="F2686" t="str">
        <f>""</f>
        <v/>
      </c>
      <c r="H2686" t="str">
        <f t="shared" si="50"/>
        <v>TASC - FSA  FEES</v>
      </c>
    </row>
    <row r="2687" spans="5:8" x14ac:dyDescent="0.25">
      <c r="E2687" t="str">
        <f>""</f>
        <v/>
      </c>
      <c r="F2687" t="str">
        <f>""</f>
        <v/>
      </c>
      <c r="H2687" t="str">
        <f t="shared" si="50"/>
        <v>TASC - FSA  FEES</v>
      </c>
    </row>
    <row r="2688" spans="5:8" x14ac:dyDescent="0.25">
      <c r="E2688" t="str">
        <f>""</f>
        <v/>
      </c>
      <c r="F2688" t="str">
        <f>""</f>
        <v/>
      </c>
      <c r="H2688" t="str">
        <f t="shared" si="50"/>
        <v>TASC - FSA  FEES</v>
      </c>
    </row>
    <row r="2689" spans="5:8" x14ac:dyDescent="0.25">
      <c r="E2689" t="str">
        <f>""</f>
        <v/>
      </c>
      <c r="F2689" t="str">
        <f>""</f>
        <v/>
      </c>
      <c r="H2689" t="str">
        <f t="shared" si="50"/>
        <v>TASC - FSA  FEES</v>
      </c>
    </row>
    <row r="2690" spans="5:8" x14ac:dyDescent="0.25">
      <c r="E2690" t="str">
        <f>""</f>
        <v/>
      </c>
      <c r="F2690" t="str">
        <f>""</f>
        <v/>
      </c>
      <c r="H2690" t="str">
        <f t="shared" si="50"/>
        <v>TASC - FSA  FEES</v>
      </c>
    </row>
    <row r="2691" spans="5:8" x14ac:dyDescent="0.25">
      <c r="E2691" t="str">
        <f>""</f>
        <v/>
      </c>
      <c r="F2691" t="str">
        <f>""</f>
        <v/>
      </c>
      <c r="H2691" t="str">
        <f t="shared" si="50"/>
        <v>TASC - FSA  FEES</v>
      </c>
    </row>
    <row r="2692" spans="5:8" x14ac:dyDescent="0.25">
      <c r="E2692" t="str">
        <f>""</f>
        <v/>
      </c>
      <c r="F2692" t="str">
        <f>""</f>
        <v/>
      </c>
      <c r="H2692" t="str">
        <f t="shared" si="50"/>
        <v>TASC - FSA  FEES</v>
      </c>
    </row>
    <row r="2693" spans="5:8" x14ac:dyDescent="0.25">
      <c r="E2693" t="str">
        <f>""</f>
        <v/>
      </c>
      <c r="F2693" t="str">
        <f>""</f>
        <v/>
      </c>
      <c r="H2693" t="str">
        <f t="shared" si="50"/>
        <v>TASC - FSA  FEES</v>
      </c>
    </row>
    <row r="2694" spans="5:8" x14ac:dyDescent="0.25">
      <c r="E2694" t="str">
        <f>""</f>
        <v/>
      </c>
      <c r="F2694" t="str">
        <f>""</f>
        <v/>
      </c>
      <c r="H2694" t="str">
        <f t="shared" si="50"/>
        <v>TASC - FSA  FEES</v>
      </c>
    </row>
    <row r="2695" spans="5:8" x14ac:dyDescent="0.25">
      <c r="E2695" t="str">
        <f>""</f>
        <v/>
      </c>
      <c r="F2695" t="str">
        <f>""</f>
        <v/>
      </c>
      <c r="H2695" t="str">
        <f t="shared" si="50"/>
        <v>TASC - FSA  FEES</v>
      </c>
    </row>
    <row r="2696" spans="5:8" x14ac:dyDescent="0.25">
      <c r="E2696" t="str">
        <f>""</f>
        <v/>
      </c>
      <c r="F2696" t="str">
        <f>""</f>
        <v/>
      </c>
      <c r="H2696" t="str">
        <f t="shared" si="50"/>
        <v>TASC - FSA  FEES</v>
      </c>
    </row>
    <row r="2697" spans="5:8" x14ac:dyDescent="0.25">
      <c r="E2697" t="str">
        <f>""</f>
        <v/>
      </c>
      <c r="F2697" t="str">
        <f>""</f>
        <v/>
      </c>
      <c r="H2697" t="str">
        <f t="shared" si="50"/>
        <v>TASC - FSA  FEES</v>
      </c>
    </row>
    <row r="2698" spans="5:8" x14ac:dyDescent="0.25">
      <c r="E2698" t="str">
        <f>""</f>
        <v/>
      </c>
      <c r="F2698" t="str">
        <f>""</f>
        <v/>
      </c>
      <c r="H2698" t="str">
        <f t="shared" si="50"/>
        <v>TASC - FSA  FEES</v>
      </c>
    </row>
    <row r="2699" spans="5:8" x14ac:dyDescent="0.25">
      <c r="E2699" t="str">
        <f>""</f>
        <v/>
      </c>
      <c r="F2699" t="str">
        <f>""</f>
        <v/>
      </c>
      <c r="H2699" t="str">
        <f t="shared" si="50"/>
        <v>TASC - FSA  FEES</v>
      </c>
    </row>
    <row r="2700" spans="5:8" x14ac:dyDescent="0.25">
      <c r="E2700" t="str">
        <f>""</f>
        <v/>
      </c>
      <c r="F2700" t="str">
        <f>""</f>
        <v/>
      </c>
      <c r="H2700" t="str">
        <f t="shared" si="50"/>
        <v>TASC - FSA  FEES</v>
      </c>
    </row>
    <row r="2701" spans="5:8" x14ac:dyDescent="0.25">
      <c r="E2701" t="str">
        <f>""</f>
        <v/>
      </c>
      <c r="F2701" t="str">
        <f>""</f>
        <v/>
      </c>
      <c r="H2701" t="str">
        <f t="shared" si="50"/>
        <v>TASC - FSA  FEES</v>
      </c>
    </row>
    <row r="2702" spans="5:8" x14ac:dyDescent="0.25">
      <c r="E2702" t="str">
        <f>""</f>
        <v/>
      </c>
      <c r="F2702" t="str">
        <f>""</f>
        <v/>
      </c>
      <c r="H2702" t="str">
        <f t="shared" si="50"/>
        <v>TASC - FSA  FEES</v>
      </c>
    </row>
    <row r="2703" spans="5:8" x14ac:dyDescent="0.25">
      <c r="E2703" t="str">
        <f>""</f>
        <v/>
      </c>
      <c r="F2703" t="str">
        <f>""</f>
        <v/>
      </c>
      <c r="H2703" t="str">
        <f t="shared" si="50"/>
        <v>TASC - FSA  FEES</v>
      </c>
    </row>
    <row r="2704" spans="5:8" x14ac:dyDescent="0.25">
      <c r="E2704" t="str">
        <f>""</f>
        <v/>
      </c>
      <c r="F2704" t="str">
        <f>""</f>
        <v/>
      </c>
      <c r="H2704" t="str">
        <f t="shared" si="50"/>
        <v>TASC - FSA  FEES</v>
      </c>
    </row>
    <row r="2705" spans="5:8" x14ac:dyDescent="0.25">
      <c r="E2705" t="str">
        <f>""</f>
        <v/>
      </c>
      <c r="F2705" t="str">
        <f>""</f>
        <v/>
      </c>
      <c r="H2705" t="str">
        <f t="shared" si="50"/>
        <v>TASC - FSA  FEES</v>
      </c>
    </row>
    <row r="2706" spans="5:8" x14ac:dyDescent="0.25">
      <c r="E2706" t="str">
        <f>""</f>
        <v/>
      </c>
      <c r="F2706" t="str">
        <f>""</f>
        <v/>
      </c>
      <c r="H2706" t="str">
        <f t="shared" si="50"/>
        <v>TASC - FSA  FEES</v>
      </c>
    </row>
    <row r="2707" spans="5:8" x14ac:dyDescent="0.25">
      <c r="E2707" t="str">
        <f>""</f>
        <v/>
      </c>
      <c r="F2707" t="str">
        <f>""</f>
        <v/>
      </c>
      <c r="H2707" t="str">
        <f t="shared" si="50"/>
        <v>TASC - FSA  FEES</v>
      </c>
    </row>
    <row r="2708" spans="5:8" x14ac:dyDescent="0.25">
      <c r="E2708" t="str">
        <f>"FSF201908071043"</f>
        <v>FSF201908071043</v>
      </c>
      <c r="F2708" t="str">
        <f>"TASC - FSA  FEES"</f>
        <v>TASC - FSA  FEES</v>
      </c>
      <c r="G2708" s="2">
        <v>12.6</v>
      </c>
      <c r="H2708" t="str">
        <f t="shared" si="50"/>
        <v>TASC - FSA  FEES</v>
      </c>
    </row>
    <row r="2709" spans="5:8" x14ac:dyDescent="0.25">
      <c r="E2709" t="str">
        <f>"HRA201908071042"</f>
        <v>HRA201908071042</v>
      </c>
      <c r="F2709" t="str">
        <f>"TASC HRA"</f>
        <v>TASC HRA</v>
      </c>
      <c r="G2709" s="2">
        <v>466.62</v>
      </c>
      <c r="H2709" t="str">
        <f t="shared" ref="H2709:H2714" si="51">"TASC HRA"</f>
        <v>TASC HRA</v>
      </c>
    </row>
    <row r="2710" spans="5:8" x14ac:dyDescent="0.25">
      <c r="E2710" t="str">
        <f>""</f>
        <v/>
      </c>
      <c r="F2710" t="str">
        <f>""</f>
        <v/>
      </c>
      <c r="H2710" t="str">
        <f t="shared" si="51"/>
        <v>TASC HRA</v>
      </c>
    </row>
    <row r="2711" spans="5:8" x14ac:dyDescent="0.25">
      <c r="E2711" t="str">
        <f>""</f>
        <v/>
      </c>
      <c r="F2711" t="str">
        <f>""</f>
        <v/>
      </c>
      <c r="H2711" t="str">
        <f t="shared" si="51"/>
        <v>TASC HRA</v>
      </c>
    </row>
    <row r="2712" spans="5:8" x14ac:dyDescent="0.25">
      <c r="E2712" t="str">
        <f>""</f>
        <v/>
      </c>
      <c r="F2712" t="str">
        <f>""</f>
        <v/>
      </c>
      <c r="H2712" t="str">
        <f t="shared" si="51"/>
        <v>TASC HRA</v>
      </c>
    </row>
    <row r="2713" spans="5:8" x14ac:dyDescent="0.25">
      <c r="E2713" t="str">
        <f>""</f>
        <v/>
      </c>
      <c r="F2713" t="str">
        <f>""</f>
        <v/>
      </c>
      <c r="H2713" t="str">
        <f t="shared" si="51"/>
        <v>TASC HRA</v>
      </c>
    </row>
    <row r="2714" spans="5:8" x14ac:dyDescent="0.25">
      <c r="E2714" t="str">
        <f>""</f>
        <v/>
      </c>
      <c r="F2714" t="str">
        <f>""</f>
        <v/>
      </c>
      <c r="H2714" t="str">
        <f t="shared" si="51"/>
        <v>TASC HRA</v>
      </c>
    </row>
    <row r="2715" spans="5:8" x14ac:dyDescent="0.25">
      <c r="E2715" t="str">
        <f>"HRF201908071042"</f>
        <v>HRF201908071042</v>
      </c>
      <c r="F2715" t="str">
        <f>"TASC - HRA FEES"</f>
        <v>TASC - HRA FEES</v>
      </c>
      <c r="G2715" s="2">
        <v>774</v>
      </c>
      <c r="H2715" t="str">
        <f t="shared" ref="H2715:H2746" si="52">"TASC - HRA FEES"</f>
        <v>TASC - HRA FEES</v>
      </c>
    </row>
    <row r="2716" spans="5:8" x14ac:dyDescent="0.25">
      <c r="E2716" t="str">
        <f>""</f>
        <v/>
      </c>
      <c r="F2716" t="str">
        <f>""</f>
        <v/>
      </c>
      <c r="H2716" t="str">
        <f t="shared" si="52"/>
        <v>TASC - HRA FEES</v>
      </c>
    </row>
    <row r="2717" spans="5:8" x14ac:dyDescent="0.25">
      <c r="E2717" t="str">
        <f>""</f>
        <v/>
      </c>
      <c r="F2717" t="str">
        <f>""</f>
        <v/>
      </c>
      <c r="H2717" t="str">
        <f t="shared" si="52"/>
        <v>TASC - HRA FEES</v>
      </c>
    </row>
    <row r="2718" spans="5:8" x14ac:dyDescent="0.25">
      <c r="E2718" t="str">
        <f>""</f>
        <v/>
      </c>
      <c r="F2718" t="str">
        <f>""</f>
        <v/>
      </c>
      <c r="H2718" t="str">
        <f t="shared" si="52"/>
        <v>TASC - HRA FEES</v>
      </c>
    </row>
    <row r="2719" spans="5:8" x14ac:dyDescent="0.25">
      <c r="E2719" t="str">
        <f>""</f>
        <v/>
      </c>
      <c r="F2719" t="str">
        <f>""</f>
        <v/>
      </c>
      <c r="H2719" t="str">
        <f t="shared" si="52"/>
        <v>TASC - HRA FEES</v>
      </c>
    </row>
    <row r="2720" spans="5:8" x14ac:dyDescent="0.25">
      <c r="E2720" t="str">
        <f>""</f>
        <v/>
      </c>
      <c r="F2720" t="str">
        <f>""</f>
        <v/>
      </c>
      <c r="H2720" t="str">
        <f t="shared" si="52"/>
        <v>TASC - HRA FEES</v>
      </c>
    </row>
    <row r="2721" spans="5:8" x14ac:dyDescent="0.25">
      <c r="E2721" t="str">
        <f>""</f>
        <v/>
      </c>
      <c r="F2721" t="str">
        <f>""</f>
        <v/>
      </c>
      <c r="H2721" t="str">
        <f t="shared" si="52"/>
        <v>TASC - HRA FEES</v>
      </c>
    </row>
    <row r="2722" spans="5:8" x14ac:dyDescent="0.25">
      <c r="E2722" t="str">
        <f>""</f>
        <v/>
      </c>
      <c r="F2722" t="str">
        <f>""</f>
        <v/>
      </c>
      <c r="H2722" t="str">
        <f t="shared" si="52"/>
        <v>TASC - HRA FEES</v>
      </c>
    </row>
    <row r="2723" spans="5:8" x14ac:dyDescent="0.25">
      <c r="E2723" t="str">
        <f>""</f>
        <v/>
      </c>
      <c r="F2723" t="str">
        <f>""</f>
        <v/>
      </c>
      <c r="H2723" t="str">
        <f t="shared" si="52"/>
        <v>TASC - HRA FEES</v>
      </c>
    </row>
    <row r="2724" spans="5:8" x14ac:dyDescent="0.25">
      <c r="E2724" t="str">
        <f>""</f>
        <v/>
      </c>
      <c r="F2724" t="str">
        <f>""</f>
        <v/>
      </c>
      <c r="H2724" t="str">
        <f t="shared" si="52"/>
        <v>TASC - HRA FEES</v>
      </c>
    </row>
    <row r="2725" spans="5:8" x14ac:dyDescent="0.25">
      <c r="E2725" t="str">
        <f>""</f>
        <v/>
      </c>
      <c r="F2725" t="str">
        <f>""</f>
        <v/>
      </c>
      <c r="H2725" t="str">
        <f t="shared" si="52"/>
        <v>TASC - HRA FEES</v>
      </c>
    </row>
    <row r="2726" spans="5:8" x14ac:dyDescent="0.25">
      <c r="E2726" t="str">
        <f>""</f>
        <v/>
      </c>
      <c r="F2726" t="str">
        <f>""</f>
        <v/>
      </c>
      <c r="H2726" t="str">
        <f t="shared" si="52"/>
        <v>TASC - HRA FEES</v>
      </c>
    </row>
    <row r="2727" spans="5:8" x14ac:dyDescent="0.25">
      <c r="E2727" t="str">
        <f>""</f>
        <v/>
      </c>
      <c r="F2727" t="str">
        <f>""</f>
        <v/>
      </c>
      <c r="H2727" t="str">
        <f t="shared" si="52"/>
        <v>TASC - HRA FEES</v>
      </c>
    </row>
    <row r="2728" spans="5:8" x14ac:dyDescent="0.25">
      <c r="E2728" t="str">
        <f>""</f>
        <v/>
      </c>
      <c r="F2728" t="str">
        <f>""</f>
        <v/>
      </c>
      <c r="H2728" t="str">
        <f t="shared" si="52"/>
        <v>TASC - HRA FEES</v>
      </c>
    </row>
    <row r="2729" spans="5:8" x14ac:dyDescent="0.25">
      <c r="E2729" t="str">
        <f>""</f>
        <v/>
      </c>
      <c r="F2729" t="str">
        <f>""</f>
        <v/>
      </c>
      <c r="H2729" t="str">
        <f t="shared" si="52"/>
        <v>TASC - HRA FEES</v>
      </c>
    </row>
    <row r="2730" spans="5:8" x14ac:dyDescent="0.25">
      <c r="E2730" t="str">
        <f>""</f>
        <v/>
      </c>
      <c r="F2730" t="str">
        <f>""</f>
        <v/>
      </c>
      <c r="H2730" t="str">
        <f t="shared" si="52"/>
        <v>TASC - HRA FEES</v>
      </c>
    </row>
    <row r="2731" spans="5:8" x14ac:dyDescent="0.25">
      <c r="E2731" t="str">
        <f>""</f>
        <v/>
      </c>
      <c r="F2731" t="str">
        <f>""</f>
        <v/>
      </c>
      <c r="H2731" t="str">
        <f t="shared" si="52"/>
        <v>TASC - HRA FEES</v>
      </c>
    </row>
    <row r="2732" spans="5:8" x14ac:dyDescent="0.25">
      <c r="E2732" t="str">
        <f>""</f>
        <v/>
      </c>
      <c r="F2732" t="str">
        <f>""</f>
        <v/>
      </c>
      <c r="H2732" t="str">
        <f t="shared" si="52"/>
        <v>TASC - HRA FEES</v>
      </c>
    </row>
    <row r="2733" spans="5:8" x14ac:dyDescent="0.25">
      <c r="E2733" t="str">
        <f>""</f>
        <v/>
      </c>
      <c r="F2733" t="str">
        <f>""</f>
        <v/>
      </c>
      <c r="H2733" t="str">
        <f t="shared" si="52"/>
        <v>TASC - HRA FEES</v>
      </c>
    </row>
    <row r="2734" spans="5:8" x14ac:dyDescent="0.25">
      <c r="E2734" t="str">
        <f>""</f>
        <v/>
      </c>
      <c r="F2734" t="str">
        <f>""</f>
        <v/>
      </c>
      <c r="H2734" t="str">
        <f t="shared" si="52"/>
        <v>TASC - HRA FEES</v>
      </c>
    </row>
    <row r="2735" spans="5:8" x14ac:dyDescent="0.25">
      <c r="E2735" t="str">
        <f>""</f>
        <v/>
      </c>
      <c r="F2735" t="str">
        <f>""</f>
        <v/>
      </c>
      <c r="H2735" t="str">
        <f t="shared" si="52"/>
        <v>TASC - HRA FEES</v>
      </c>
    </row>
    <row r="2736" spans="5:8" x14ac:dyDescent="0.25">
      <c r="E2736" t="str">
        <f>""</f>
        <v/>
      </c>
      <c r="F2736" t="str">
        <f>""</f>
        <v/>
      </c>
      <c r="H2736" t="str">
        <f t="shared" si="52"/>
        <v>TASC - HRA FEES</v>
      </c>
    </row>
    <row r="2737" spans="5:8" x14ac:dyDescent="0.25">
      <c r="E2737" t="str">
        <f>""</f>
        <v/>
      </c>
      <c r="F2737" t="str">
        <f>""</f>
        <v/>
      </c>
      <c r="H2737" t="str">
        <f t="shared" si="52"/>
        <v>TASC - HRA FEES</v>
      </c>
    </row>
    <row r="2738" spans="5:8" x14ac:dyDescent="0.25">
      <c r="E2738" t="str">
        <f>""</f>
        <v/>
      </c>
      <c r="F2738" t="str">
        <f>""</f>
        <v/>
      </c>
      <c r="H2738" t="str">
        <f t="shared" si="52"/>
        <v>TASC - HRA FEES</v>
      </c>
    </row>
    <row r="2739" spans="5:8" x14ac:dyDescent="0.25">
      <c r="E2739" t="str">
        <f>""</f>
        <v/>
      </c>
      <c r="F2739" t="str">
        <f>""</f>
        <v/>
      </c>
      <c r="H2739" t="str">
        <f t="shared" si="52"/>
        <v>TASC - HRA FEES</v>
      </c>
    </row>
    <row r="2740" spans="5:8" x14ac:dyDescent="0.25">
      <c r="E2740" t="str">
        <f>""</f>
        <v/>
      </c>
      <c r="F2740" t="str">
        <f>""</f>
        <v/>
      </c>
      <c r="H2740" t="str">
        <f t="shared" si="52"/>
        <v>TASC - HRA FEES</v>
      </c>
    </row>
    <row r="2741" spans="5:8" x14ac:dyDescent="0.25">
      <c r="E2741" t="str">
        <f>""</f>
        <v/>
      </c>
      <c r="F2741" t="str">
        <f>""</f>
        <v/>
      </c>
      <c r="H2741" t="str">
        <f t="shared" si="52"/>
        <v>TASC - HRA FEES</v>
      </c>
    </row>
    <row r="2742" spans="5:8" x14ac:dyDescent="0.25">
      <c r="E2742" t="str">
        <f>""</f>
        <v/>
      </c>
      <c r="F2742" t="str">
        <f>""</f>
        <v/>
      </c>
      <c r="H2742" t="str">
        <f t="shared" si="52"/>
        <v>TASC - HRA FEES</v>
      </c>
    </row>
    <row r="2743" spans="5:8" x14ac:dyDescent="0.25">
      <c r="E2743" t="str">
        <f>""</f>
        <v/>
      </c>
      <c r="F2743" t="str">
        <f>""</f>
        <v/>
      </c>
      <c r="H2743" t="str">
        <f t="shared" si="52"/>
        <v>TASC - HRA FEES</v>
      </c>
    </row>
    <row r="2744" spans="5:8" x14ac:dyDescent="0.25">
      <c r="E2744" t="str">
        <f>""</f>
        <v/>
      </c>
      <c r="F2744" t="str">
        <f>""</f>
        <v/>
      </c>
      <c r="H2744" t="str">
        <f t="shared" si="52"/>
        <v>TASC - HRA FEES</v>
      </c>
    </row>
    <row r="2745" spans="5:8" x14ac:dyDescent="0.25">
      <c r="E2745" t="str">
        <f>""</f>
        <v/>
      </c>
      <c r="F2745" t="str">
        <f>""</f>
        <v/>
      </c>
      <c r="H2745" t="str">
        <f t="shared" si="52"/>
        <v>TASC - HRA FEES</v>
      </c>
    </row>
    <row r="2746" spans="5:8" x14ac:dyDescent="0.25">
      <c r="E2746" t="str">
        <f>""</f>
        <v/>
      </c>
      <c r="F2746" t="str">
        <f>""</f>
        <v/>
      </c>
      <c r="H2746" t="str">
        <f t="shared" si="52"/>
        <v>TASC - HRA FEES</v>
      </c>
    </row>
    <row r="2747" spans="5:8" x14ac:dyDescent="0.25">
      <c r="E2747" t="str">
        <f>""</f>
        <v/>
      </c>
      <c r="F2747" t="str">
        <f>""</f>
        <v/>
      </c>
      <c r="H2747" t="str">
        <f t="shared" ref="H2747:H2764" si="53">"TASC - HRA FEES"</f>
        <v>TASC - HRA FEES</v>
      </c>
    </row>
    <row r="2748" spans="5:8" x14ac:dyDescent="0.25">
      <c r="E2748" t="str">
        <f>""</f>
        <v/>
      </c>
      <c r="F2748" t="str">
        <f>""</f>
        <v/>
      </c>
      <c r="H2748" t="str">
        <f t="shared" si="53"/>
        <v>TASC - HRA FEES</v>
      </c>
    </row>
    <row r="2749" spans="5:8" x14ac:dyDescent="0.25">
      <c r="E2749" t="str">
        <f>""</f>
        <v/>
      </c>
      <c r="F2749" t="str">
        <f>""</f>
        <v/>
      </c>
      <c r="H2749" t="str">
        <f t="shared" si="53"/>
        <v>TASC - HRA FEES</v>
      </c>
    </row>
    <row r="2750" spans="5:8" x14ac:dyDescent="0.25">
      <c r="E2750" t="str">
        <f>""</f>
        <v/>
      </c>
      <c r="F2750" t="str">
        <f>""</f>
        <v/>
      </c>
      <c r="H2750" t="str">
        <f t="shared" si="53"/>
        <v>TASC - HRA FEES</v>
      </c>
    </row>
    <row r="2751" spans="5:8" x14ac:dyDescent="0.25">
      <c r="E2751" t="str">
        <f>""</f>
        <v/>
      </c>
      <c r="F2751" t="str">
        <f>""</f>
        <v/>
      </c>
      <c r="H2751" t="str">
        <f t="shared" si="53"/>
        <v>TASC - HRA FEES</v>
      </c>
    </row>
    <row r="2752" spans="5:8" x14ac:dyDescent="0.25">
      <c r="E2752" t="str">
        <f>""</f>
        <v/>
      </c>
      <c r="F2752" t="str">
        <f>""</f>
        <v/>
      </c>
      <c r="H2752" t="str">
        <f t="shared" si="53"/>
        <v>TASC - HRA FEES</v>
      </c>
    </row>
    <row r="2753" spans="1:8" x14ac:dyDescent="0.25">
      <c r="E2753" t="str">
        <f>""</f>
        <v/>
      </c>
      <c r="F2753" t="str">
        <f>""</f>
        <v/>
      </c>
      <c r="H2753" t="str">
        <f t="shared" si="53"/>
        <v>TASC - HRA FEES</v>
      </c>
    </row>
    <row r="2754" spans="1:8" x14ac:dyDescent="0.25">
      <c r="E2754" t="str">
        <f>""</f>
        <v/>
      </c>
      <c r="F2754" t="str">
        <f>""</f>
        <v/>
      </c>
      <c r="H2754" t="str">
        <f t="shared" si="53"/>
        <v>TASC - HRA FEES</v>
      </c>
    </row>
    <row r="2755" spans="1:8" x14ac:dyDescent="0.25">
      <c r="E2755" t="str">
        <f>""</f>
        <v/>
      </c>
      <c r="F2755" t="str">
        <f>""</f>
        <v/>
      </c>
      <c r="H2755" t="str">
        <f t="shared" si="53"/>
        <v>TASC - HRA FEES</v>
      </c>
    </row>
    <row r="2756" spans="1:8" x14ac:dyDescent="0.25">
      <c r="E2756" t="str">
        <f>""</f>
        <v/>
      </c>
      <c r="F2756" t="str">
        <f>""</f>
        <v/>
      </c>
      <c r="H2756" t="str">
        <f t="shared" si="53"/>
        <v>TASC - HRA FEES</v>
      </c>
    </row>
    <row r="2757" spans="1:8" x14ac:dyDescent="0.25">
      <c r="E2757" t="str">
        <f>""</f>
        <v/>
      </c>
      <c r="F2757" t="str">
        <f>""</f>
        <v/>
      </c>
      <c r="H2757" t="str">
        <f t="shared" si="53"/>
        <v>TASC - HRA FEES</v>
      </c>
    </row>
    <row r="2758" spans="1:8" x14ac:dyDescent="0.25">
      <c r="E2758" t="str">
        <f>""</f>
        <v/>
      </c>
      <c r="F2758" t="str">
        <f>""</f>
        <v/>
      </c>
      <c r="H2758" t="str">
        <f t="shared" si="53"/>
        <v>TASC - HRA FEES</v>
      </c>
    </row>
    <row r="2759" spans="1:8" x14ac:dyDescent="0.25">
      <c r="E2759" t="str">
        <f>""</f>
        <v/>
      </c>
      <c r="F2759" t="str">
        <f>""</f>
        <v/>
      </c>
      <c r="H2759" t="str">
        <f t="shared" si="53"/>
        <v>TASC - HRA FEES</v>
      </c>
    </row>
    <row r="2760" spans="1:8" x14ac:dyDescent="0.25">
      <c r="E2760" t="str">
        <f>""</f>
        <v/>
      </c>
      <c r="F2760" t="str">
        <f>""</f>
        <v/>
      </c>
      <c r="H2760" t="str">
        <f t="shared" si="53"/>
        <v>TASC - HRA FEES</v>
      </c>
    </row>
    <row r="2761" spans="1:8" x14ac:dyDescent="0.25">
      <c r="E2761" t="str">
        <f>""</f>
        <v/>
      </c>
      <c r="F2761" t="str">
        <f>""</f>
        <v/>
      </c>
      <c r="H2761" t="str">
        <f t="shared" si="53"/>
        <v>TASC - HRA FEES</v>
      </c>
    </row>
    <row r="2762" spans="1:8" x14ac:dyDescent="0.25">
      <c r="E2762" t="str">
        <f>""</f>
        <v/>
      </c>
      <c r="F2762" t="str">
        <f>""</f>
        <v/>
      </c>
      <c r="H2762" t="str">
        <f t="shared" si="53"/>
        <v>TASC - HRA FEES</v>
      </c>
    </row>
    <row r="2763" spans="1:8" x14ac:dyDescent="0.25">
      <c r="E2763" t="str">
        <f>""</f>
        <v/>
      </c>
      <c r="F2763" t="str">
        <f>""</f>
        <v/>
      </c>
      <c r="H2763" t="str">
        <f t="shared" si="53"/>
        <v>TASC - HRA FEES</v>
      </c>
    </row>
    <row r="2764" spans="1:8" x14ac:dyDescent="0.25">
      <c r="E2764" t="str">
        <f>"HRF201908071043"</f>
        <v>HRF201908071043</v>
      </c>
      <c r="F2764" t="str">
        <f>"TASC - HRA FEES"</f>
        <v>TASC - HRA FEES</v>
      </c>
      <c r="G2764" s="2">
        <v>28.8</v>
      </c>
      <c r="H2764" t="str">
        <f t="shared" si="53"/>
        <v>TASC - HRA FEES</v>
      </c>
    </row>
    <row r="2765" spans="1:8" x14ac:dyDescent="0.25">
      <c r="A2765" t="s">
        <v>431</v>
      </c>
      <c r="B2765">
        <v>202</v>
      </c>
      <c r="C2765" s="2">
        <v>9405.4500000000007</v>
      </c>
      <c r="D2765" s="1">
        <v>43700</v>
      </c>
      <c r="E2765" t="str">
        <f>"FSA201908201222"</f>
        <v>FSA201908201222</v>
      </c>
      <c r="F2765" t="str">
        <f>"TASC FSA"</f>
        <v>TASC FSA</v>
      </c>
      <c r="G2765" s="2">
        <v>7279.43</v>
      </c>
      <c r="H2765" t="str">
        <f>"TASC FSA"</f>
        <v>TASC FSA</v>
      </c>
    </row>
    <row r="2766" spans="1:8" x14ac:dyDescent="0.25">
      <c r="E2766" t="str">
        <f>"FSA201908201223"</f>
        <v>FSA201908201223</v>
      </c>
      <c r="F2766" t="str">
        <f>"TASC FSA"</f>
        <v>TASC FSA</v>
      </c>
      <c r="G2766" s="2">
        <v>550.05999999999995</v>
      </c>
      <c r="H2766" t="str">
        <f>"TASC FSA"</f>
        <v>TASC FSA</v>
      </c>
    </row>
    <row r="2767" spans="1:8" x14ac:dyDescent="0.25">
      <c r="E2767" t="str">
        <f>"FSC201908201222"</f>
        <v>FSC201908201222</v>
      </c>
      <c r="F2767" t="str">
        <f>"TASC DEPENDENT CARE"</f>
        <v>TASC DEPENDENT CARE</v>
      </c>
      <c r="G2767" s="2">
        <v>513.96</v>
      </c>
      <c r="H2767" t="str">
        <f>"TASC DEPENDENT CARE"</f>
        <v>TASC DEPENDENT CARE</v>
      </c>
    </row>
    <row r="2768" spans="1:8" x14ac:dyDescent="0.25">
      <c r="E2768" t="str">
        <f>"FSF201908201222"</f>
        <v>FSF201908201222</v>
      </c>
      <c r="F2768" t="str">
        <f>"TASC - FSA  FEES"</f>
        <v>TASC - FSA  FEES</v>
      </c>
      <c r="G2768" s="2">
        <v>253.8</v>
      </c>
      <c r="H2768" t="str">
        <f t="shared" ref="H2768:H2805" si="54">"TASC - FSA  FEES"</f>
        <v>TASC - FSA  FEES</v>
      </c>
    </row>
    <row r="2769" spans="5:8" x14ac:dyDescent="0.25">
      <c r="E2769" t="str">
        <f>""</f>
        <v/>
      </c>
      <c r="F2769" t="str">
        <f>""</f>
        <v/>
      </c>
      <c r="H2769" t="str">
        <f t="shared" si="54"/>
        <v>TASC - FSA  FEES</v>
      </c>
    </row>
    <row r="2770" spans="5:8" x14ac:dyDescent="0.25">
      <c r="E2770" t="str">
        <f>""</f>
        <v/>
      </c>
      <c r="F2770" t="str">
        <f>""</f>
        <v/>
      </c>
      <c r="H2770" t="str">
        <f t="shared" si="54"/>
        <v>TASC - FSA  FEES</v>
      </c>
    </row>
    <row r="2771" spans="5:8" x14ac:dyDescent="0.25">
      <c r="E2771" t="str">
        <f>""</f>
        <v/>
      </c>
      <c r="F2771" t="str">
        <f>""</f>
        <v/>
      </c>
      <c r="H2771" t="str">
        <f t="shared" si="54"/>
        <v>TASC - FSA  FEES</v>
      </c>
    </row>
    <row r="2772" spans="5:8" x14ac:dyDescent="0.25">
      <c r="E2772" t="str">
        <f>""</f>
        <v/>
      </c>
      <c r="F2772" t="str">
        <f>""</f>
        <v/>
      </c>
      <c r="H2772" t="str">
        <f t="shared" si="54"/>
        <v>TASC - FSA  FEES</v>
      </c>
    </row>
    <row r="2773" spans="5:8" x14ac:dyDescent="0.25">
      <c r="E2773" t="str">
        <f>""</f>
        <v/>
      </c>
      <c r="F2773" t="str">
        <f>""</f>
        <v/>
      </c>
      <c r="H2773" t="str">
        <f t="shared" si="54"/>
        <v>TASC - FSA  FEES</v>
      </c>
    </row>
    <row r="2774" spans="5:8" x14ac:dyDescent="0.25">
      <c r="E2774" t="str">
        <f>""</f>
        <v/>
      </c>
      <c r="F2774" t="str">
        <f>""</f>
        <v/>
      </c>
      <c r="H2774" t="str">
        <f t="shared" si="54"/>
        <v>TASC - FSA  FEES</v>
      </c>
    </row>
    <row r="2775" spans="5:8" x14ac:dyDescent="0.25">
      <c r="E2775" t="str">
        <f>""</f>
        <v/>
      </c>
      <c r="F2775" t="str">
        <f>""</f>
        <v/>
      </c>
      <c r="H2775" t="str">
        <f t="shared" si="54"/>
        <v>TASC - FSA  FEES</v>
      </c>
    </row>
    <row r="2776" spans="5:8" x14ac:dyDescent="0.25">
      <c r="E2776" t="str">
        <f>""</f>
        <v/>
      </c>
      <c r="F2776" t="str">
        <f>""</f>
        <v/>
      </c>
      <c r="H2776" t="str">
        <f t="shared" si="54"/>
        <v>TASC - FSA  FEES</v>
      </c>
    </row>
    <row r="2777" spans="5:8" x14ac:dyDescent="0.25">
      <c r="E2777" t="str">
        <f>""</f>
        <v/>
      </c>
      <c r="F2777" t="str">
        <f>""</f>
        <v/>
      </c>
      <c r="H2777" t="str">
        <f t="shared" si="54"/>
        <v>TASC - FSA  FEES</v>
      </c>
    </row>
    <row r="2778" spans="5:8" x14ac:dyDescent="0.25">
      <c r="E2778" t="str">
        <f>""</f>
        <v/>
      </c>
      <c r="F2778" t="str">
        <f>""</f>
        <v/>
      </c>
      <c r="H2778" t="str">
        <f t="shared" si="54"/>
        <v>TASC - FSA  FEES</v>
      </c>
    </row>
    <row r="2779" spans="5:8" x14ac:dyDescent="0.25">
      <c r="E2779" t="str">
        <f>""</f>
        <v/>
      </c>
      <c r="F2779" t="str">
        <f>""</f>
        <v/>
      </c>
      <c r="H2779" t="str">
        <f t="shared" si="54"/>
        <v>TASC - FSA  FEES</v>
      </c>
    </row>
    <row r="2780" spans="5:8" x14ac:dyDescent="0.25">
      <c r="E2780" t="str">
        <f>""</f>
        <v/>
      </c>
      <c r="F2780" t="str">
        <f>""</f>
        <v/>
      </c>
      <c r="H2780" t="str">
        <f t="shared" si="54"/>
        <v>TASC - FSA  FEES</v>
      </c>
    </row>
    <row r="2781" spans="5:8" x14ac:dyDescent="0.25">
      <c r="E2781" t="str">
        <f>""</f>
        <v/>
      </c>
      <c r="F2781" t="str">
        <f>""</f>
        <v/>
      </c>
      <c r="H2781" t="str">
        <f t="shared" si="54"/>
        <v>TASC - FSA  FEES</v>
      </c>
    </row>
    <row r="2782" spans="5:8" x14ac:dyDescent="0.25">
      <c r="E2782" t="str">
        <f>""</f>
        <v/>
      </c>
      <c r="F2782" t="str">
        <f>""</f>
        <v/>
      </c>
      <c r="H2782" t="str">
        <f t="shared" si="54"/>
        <v>TASC - FSA  FEES</v>
      </c>
    </row>
    <row r="2783" spans="5:8" x14ac:dyDescent="0.25">
      <c r="E2783" t="str">
        <f>""</f>
        <v/>
      </c>
      <c r="F2783" t="str">
        <f>""</f>
        <v/>
      </c>
      <c r="H2783" t="str">
        <f t="shared" si="54"/>
        <v>TASC - FSA  FEES</v>
      </c>
    </row>
    <row r="2784" spans="5:8" x14ac:dyDescent="0.25">
      <c r="E2784" t="str">
        <f>""</f>
        <v/>
      </c>
      <c r="F2784" t="str">
        <f>""</f>
        <v/>
      </c>
      <c r="H2784" t="str">
        <f t="shared" si="54"/>
        <v>TASC - FSA  FEES</v>
      </c>
    </row>
    <row r="2785" spans="5:8" x14ac:dyDescent="0.25">
      <c r="E2785" t="str">
        <f>""</f>
        <v/>
      </c>
      <c r="F2785" t="str">
        <f>""</f>
        <v/>
      </c>
      <c r="H2785" t="str">
        <f t="shared" si="54"/>
        <v>TASC - FSA  FEES</v>
      </c>
    </row>
    <row r="2786" spans="5:8" x14ac:dyDescent="0.25">
      <c r="E2786" t="str">
        <f>""</f>
        <v/>
      </c>
      <c r="F2786" t="str">
        <f>""</f>
        <v/>
      </c>
      <c r="H2786" t="str">
        <f t="shared" si="54"/>
        <v>TASC - FSA  FEES</v>
      </c>
    </row>
    <row r="2787" spans="5:8" x14ac:dyDescent="0.25">
      <c r="E2787" t="str">
        <f>""</f>
        <v/>
      </c>
      <c r="F2787" t="str">
        <f>""</f>
        <v/>
      </c>
      <c r="H2787" t="str">
        <f t="shared" si="54"/>
        <v>TASC - FSA  FEES</v>
      </c>
    </row>
    <row r="2788" spans="5:8" x14ac:dyDescent="0.25">
      <c r="E2788" t="str">
        <f>""</f>
        <v/>
      </c>
      <c r="F2788" t="str">
        <f>""</f>
        <v/>
      </c>
      <c r="H2788" t="str">
        <f t="shared" si="54"/>
        <v>TASC - FSA  FEES</v>
      </c>
    </row>
    <row r="2789" spans="5:8" x14ac:dyDescent="0.25">
      <c r="E2789" t="str">
        <f>""</f>
        <v/>
      </c>
      <c r="F2789" t="str">
        <f>""</f>
        <v/>
      </c>
      <c r="H2789" t="str">
        <f t="shared" si="54"/>
        <v>TASC - FSA  FEES</v>
      </c>
    </row>
    <row r="2790" spans="5:8" x14ac:dyDescent="0.25">
      <c r="E2790" t="str">
        <f>""</f>
        <v/>
      </c>
      <c r="F2790" t="str">
        <f>""</f>
        <v/>
      </c>
      <c r="H2790" t="str">
        <f t="shared" si="54"/>
        <v>TASC - FSA  FEES</v>
      </c>
    </row>
    <row r="2791" spans="5:8" x14ac:dyDescent="0.25">
      <c r="E2791" t="str">
        <f>""</f>
        <v/>
      </c>
      <c r="F2791" t="str">
        <f>""</f>
        <v/>
      </c>
      <c r="H2791" t="str">
        <f t="shared" si="54"/>
        <v>TASC - FSA  FEES</v>
      </c>
    </row>
    <row r="2792" spans="5:8" x14ac:dyDescent="0.25">
      <c r="E2792" t="str">
        <f>""</f>
        <v/>
      </c>
      <c r="F2792" t="str">
        <f>""</f>
        <v/>
      </c>
      <c r="H2792" t="str">
        <f t="shared" si="54"/>
        <v>TASC - FSA  FEES</v>
      </c>
    </row>
    <row r="2793" spans="5:8" x14ac:dyDescent="0.25">
      <c r="E2793" t="str">
        <f>""</f>
        <v/>
      </c>
      <c r="F2793" t="str">
        <f>""</f>
        <v/>
      </c>
      <c r="H2793" t="str">
        <f t="shared" si="54"/>
        <v>TASC - FSA  FEES</v>
      </c>
    </row>
    <row r="2794" spans="5:8" x14ac:dyDescent="0.25">
      <c r="E2794" t="str">
        <f>""</f>
        <v/>
      </c>
      <c r="F2794" t="str">
        <f>""</f>
        <v/>
      </c>
      <c r="H2794" t="str">
        <f t="shared" si="54"/>
        <v>TASC - FSA  FEES</v>
      </c>
    </row>
    <row r="2795" spans="5:8" x14ac:dyDescent="0.25">
      <c r="E2795" t="str">
        <f>""</f>
        <v/>
      </c>
      <c r="F2795" t="str">
        <f>""</f>
        <v/>
      </c>
      <c r="H2795" t="str">
        <f t="shared" si="54"/>
        <v>TASC - FSA  FEES</v>
      </c>
    </row>
    <row r="2796" spans="5:8" x14ac:dyDescent="0.25">
      <c r="E2796" t="str">
        <f>""</f>
        <v/>
      </c>
      <c r="F2796" t="str">
        <f>""</f>
        <v/>
      </c>
      <c r="H2796" t="str">
        <f t="shared" si="54"/>
        <v>TASC - FSA  FEES</v>
      </c>
    </row>
    <row r="2797" spans="5:8" x14ac:dyDescent="0.25">
      <c r="E2797" t="str">
        <f>""</f>
        <v/>
      </c>
      <c r="F2797" t="str">
        <f>""</f>
        <v/>
      </c>
      <c r="H2797" t="str">
        <f t="shared" si="54"/>
        <v>TASC - FSA  FEES</v>
      </c>
    </row>
    <row r="2798" spans="5:8" x14ac:dyDescent="0.25">
      <c r="E2798" t="str">
        <f>""</f>
        <v/>
      </c>
      <c r="F2798" t="str">
        <f>""</f>
        <v/>
      </c>
      <c r="H2798" t="str">
        <f t="shared" si="54"/>
        <v>TASC - FSA  FEES</v>
      </c>
    </row>
    <row r="2799" spans="5:8" x14ac:dyDescent="0.25">
      <c r="E2799" t="str">
        <f>""</f>
        <v/>
      </c>
      <c r="F2799" t="str">
        <f>""</f>
        <v/>
      </c>
      <c r="H2799" t="str">
        <f t="shared" si="54"/>
        <v>TASC - FSA  FEES</v>
      </c>
    </row>
    <row r="2800" spans="5:8" x14ac:dyDescent="0.25">
      <c r="E2800" t="str">
        <f>""</f>
        <v/>
      </c>
      <c r="F2800" t="str">
        <f>""</f>
        <v/>
      </c>
      <c r="H2800" t="str">
        <f t="shared" si="54"/>
        <v>TASC - FSA  FEES</v>
      </c>
    </row>
    <row r="2801" spans="5:8" x14ac:dyDescent="0.25">
      <c r="E2801" t="str">
        <f>""</f>
        <v/>
      </c>
      <c r="F2801" t="str">
        <f>""</f>
        <v/>
      </c>
      <c r="H2801" t="str">
        <f t="shared" si="54"/>
        <v>TASC - FSA  FEES</v>
      </c>
    </row>
    <row r="2802" spans="5:8" x14ac:dyDescent="0.25">
      <c r="E2802" t="str">
        <f>""</f>
        <v/>
      </c>
      <c r="F2802" t="str">
        <f>""</f>
        <v/>
      </c>
      <c r="H2802" t="str">
        <f t="shared" si="54"/>
        <v>TASC - FSA  FEES</v>
      </c>
    </row>
    <row r="2803" spans="5:8" x14ac:dyDescent="0.25">
      <c r="E2803" t="str">
        <f>""</f>
        <v/>
      </c>
      <c r="F2803" t="str">
        <f>""</f>
        <v/>
      </c>
      <c r="H2803" t="str">
        <f t="shared" si="54"/>
        <v>TASC - FSA  FEES</v>
      </c>
    </row>
    <row r="2804" spans="5:8" x14ac:dyDescent="0.25">
      <c r="E2804" t="str">
        <f>""</f>
        <v/>
      </c>
      <c r="F2804" t="str">
        <f>""</f>
        <v/>
      </c>
      <c r="H2804" t="str">
        <f t="shared" si="54"/>
        <v>TASC - FSA  FEES</v>
      </c>
    </row>
    <row r="2805" spans="5:8" x14ac:dyDescent="0.25">
      <c r="E2805" t="str">
        <f>"FSF201908201223"</f>
        <v>FSF201908201223</v>
      </c>
      <c r="F2805" t="str">
        <f>"TASC - FSA  FEES"</f>
        <v>TASC - FSA  FEES</v>
      </c>
      <c r="G2805" s="2">
        <v>12.6</v>
      </c>
      <c r="H2805" t="str">
        <f t="shared" si="54"/>
        <v>TASC - FSA  FEES</v>
      </c>
    </row>
    <row r="2806" spans="5:8" x14ac:dyDescent="0.25">
      <c r="E2806" t="str">
        <f>"HRF201908201222"</f>
        <v>HRF201908201222</v>
      </c>
      <c r="F2806" t="str">
        <f>"TASC - HRA FEES"</f>
        <v>TASC - HRA FEES</v>
      </c>
      <c r="G2806" s="2">
        <v>766.8</v>
      </c>
      <c r="H2806" t="str">
        <f t="shared" ref="H2806:H2837" si="55">"TASC - HRA FEES"</f>
        <v>TASC - HRA FEES</v>
      </c>
    </row>
    <row r="2807" spans="5:8" x14ac:dyDescent="0.25">
      <c r="E2807" t="str">
        <f>""</f>
        <v/>
      </c>
      <c r="F2807" t="str">
        <f>""</f>
        <v/>
      </c>
      <c r="H2807" t="str">
        <f t="shared" si="55"/>
        <v>TASC - HRA FEES</v>
      </c>
    </row>
    <row r="2808" spans="5:8" x14ac:dyDescent="0.25">
      <c r="E2808" t="str">
        <f>""</f>
        <v/>
      </c>
      <c r="F2808" t="str">
        <f>""</f>
        <v/>
      </c>
      <c r="H2808" t="str">
        <f t="shared" si="55"/>
        <v>TASC - HRA FEES</v>
      </c>
    </row>
    <row r="2809" spans="5:8" x14ac:dyDescent="0.25">
      <c r="E2809" t="str">
        <f>""</f>
        <v/>
      </c>
      <c r="F2809" t="str">
        <f>""</f>
        <v/>
      </c>
      <c r="H2809" t="str">
        <f t="shared" si="55"/>
        <v>TASC - HRA FEES</v>
      </c>
    </row>
    <row r="2810" spans="5:8" x14ac:dyDescent="0.25">
      <c r="E2810" t="str">
        <f>""</f>
        <v/>
      </c>
      <c r="F2810" t="str">
        <f>""</f>
        <v/>
      </c>
      <c r="H2810" t="str">
        <f t="shared" si="55"/>
        <v>TASC - HRA FEES</v>
      </c>
    </row>
    <row r="2811" spans="5:8" x14ac:dyDescent="0.25">
      <c r="E2811" t="str">
        <f>""</f>
        <v/>
      </c>
      <c r="F2811" t="str">
        <f>""</f>
        <v/>
      </c>
      <c r="H2811" t="str">
        <f t="shared" si="55"/>
        <v>TASC - HRA FEES</v>
      </c>
    </row>
    <row r="2812" spans="5:8" x14ac:dyDescent="0.25">
      <c r="E2812" t="str">
        <f>""</f>
        <v/>
      </c>
      <c r="F2812" t="str">
        <f>""</f>
        <v/>
      </c>
      <c r="H2812" t="str">
        <f t="shared" si="55"/>
        <v>TASC - HRA FEES</v>
      </c>
    </row>
    <row r="2813" spans="5:8" x14ac:dyDescent="0.25">
      <c r="E2813" t="str">
        <f>""</f>
        <v/>
      </c>
      <c r="F2813" t="str">
        <f>""</f>
        <v/>
      </c>
      <c r="H2813" t="str">
        <f t="shared" si="55"/>
        <v>TASC - HRA FEES</v>
      </c>
    </row>
    <row r="2814" spans="5:8" x14ac:dyDescent="0.25">
      <c r="E2814" t="str">
        <f>""</f>
        <v/>
      </c>
      <c r="F2814" t="str">
        <f>""</f>
        <v/>
      </c>
      <c r="H2814" t="str">
        <f t="shared" si="55"/>
        <v>TASC - HRA FEES</v>
      </c>
    </row>
    <row r="2815" spans="5:8" x14ac:dyDescent="0.25">
      <c r="E2815" t="str">
        <f>""</f>
        <v/>
      </c>
      <c r="F2815" t="str">
        <f>""</f>
        <v/>
      </c>
      <c r="H2815" t="str">
        <f t="shared" si="55"/>
        <v>TASC - HRA FEES</v>
      </c>
    </row>
    <row r="2816" spans="5:8" x14ac:dyDescent="0.25">
      <c r="E2816" t="str">
        <f>""</f>
        <v/>
      </c>
      <c r="F2816" t="str">
        <f>""</f>
        <v/>
      </c>
      <c r="H2816" t="str">
        <f t="shared" si="55"/>
        <v>TASC - HRA FEES</v>
      </c>
    </row>
    <row r="2817" spans="5:8" x14ac:dyDescent="0.25">
      <c r="E2817" t="str">
        <f>""</f>
        <v/>
      </c>
      <c r="F2817" t="str">
        <f>""</f>
        <v/>
      </c>
      <c r="H2817" t="str">
        <f t="shared" si="55"/>
        <v>TASC - HRA FEES</v>
      </c>
    </row>
    <row r="2818" spans="5:8" x14ac:dyDescent="0.25">
      <c r="E2818" t="str">
        <f>""</f>
        <v/>
      </c>
      <c r="F2818" t="str">
        <f>""</f>
        <v/>
      </c>
      <c r="H2818" t="str">
        <f t="shared" si="55"/>
        <v>TASC - HRA FEES</v>
      </c>
    </row>
    <row r="2819" spans="5:8" x14ac:dyDescent="0.25">
      <c r="E2819" t="str">
        <f>""</f>
        <v/>
      </c>
      <c r="F2819" t="str">
        <f>""</f>
        <v/>
      </c>
      <c r="H2819" t="str">
        <f t="shared" si="55"/>
        <v>TASC - HRA FEES</v>
      </c>
    </row>
    <row r="2820" spans="5:8" x14ac:dyDescent="0.25">
      <c r="E2820" t="str">
        <f>""</f>
        <v/>
      </c>
      <c r="F2820" t="str">
        <f>""</f>
        <v/>
      </c>
      <c r="H2820" t="str">
        <f t="shared" si="55"/>
        <v>TASC - HRA FEES</v>
      </c>
    </row>
    <row r="2821" spans="5:8" x14ac:dyDescent="0.25">
      <c r="E2821" t="str">
        <f>""</f>
        <v/>
      </c>
      <c r="F2821" t="str">
        <f>""</f>
        <v/>
      </c>
      <c r="H2821" t="str">
        <f t="shared" si="55"/>
        <v>TASC - HRA FEES</v>
      </c>
    </row>
    <row r="2822" spans="5:8" x14ac:dyDescent="0.25">
      <c r="E2822" t="str">
        <f>""</f>
        <v/>
      </c>
      <c r="F2822" t="str">
        <f>""</f>
        <v/>
      </c>
      <c r="H2822" t="str">
        <f t="shared" si="55"/>
        <v>TASC - HRA FEES</v>
      </c>
    </row>
    <row r="2823" spans="5:8" x14ac:dyDescent="0.25">
      <c r="E2823" t="str">
        <f>""</f>
        <v/>
      </c>
      <c r="F2823" t="str">
        <f>""</f>
        <v/>
      </c>
      <c r="H2823" t="str">
        <f t="shared" si="55"/>
        <v>TASC - HRA FEES</v>
      </c>
    </row>
    <row r="2824" spans="5:8" x14ac:dyDescent="0.25">
      <c r="E2824" t="str">
        <f>""</f>
        <v/>
      </c>
      <c r="F2824" t="str">
        <f>""</f>
        <v/>
      </c>
      <c r="H2824" t="str">
        <f t="shared" si="55"/>
        <v>TASC - HRA FEES</v>
      </c>
    </row>
    <row r="2825" spans="5:8" x14ac:dyDescent="0.25">
      <c r="E2825" t="str">
        <f>""</f>
        <v/>
      </c>
      <c r="F2825" t="str">
        <f>""</f>
        <v/>
      </c>
      <c r="H2825" t="str">
        <f t="shared" si="55"/>
        <v>TASC - HRA FEES</v>
      </c>
    </row>
    <row r="2826" spans="5:8" x14ac:dyDescent="0.25">
      <c r="E2826" t="str">
        <f>""</f>
        <v/>
      </c>
      <c r="F2826" t="str">
        <f>""</f>
        <v/>
      </c>
      <c r="H2826" t="str">
        <f t="shared" si="55"/>
        <v>TASC - HRA FEES</v>
      </c>
    </row>
    <row r="2827" spans="5:8" x14ac:dyDescent="0.25">
      <c r="E2827" t="str">
        <f>""</f>
        <v/>
      </c>
      <c r="F2827" t="str">
        <f>""</f>
        <v/>
      </c>
      <c r="H2827" t="str">
        <f t="shared" si="55"/>
        <v>TASC - HRA FEES</v>
      </c>
    </row>
    <row r="2828" spans="5:8" x14ac:dyDescent="0.25">
      <c r="E2828" t="str">
        <f>""</f>
        <v/>
      </c>
      <c r="F2828" t="str">
        <f>""</f>
        <v/>
      </c>
      <c r="H2828" t="str">
        <f t="shared" si="55"/>
        <v>TASC - HRA FEES</v>
      </c>
    </row>
    <row r="2829" spans="5:8" x14ac:dyDescent="0.25">
      <c r="E2829" t="str">
        <f>""</f>
        <v/>
      </c>
      <c r="F2829" t="str">
        <f>""</f>
        <v/>
      </c>
      <c r="H2829" t="str">
        <f t="shared" si="55"/>
        <v>TASC - HRA FEES</v>
      </c>
    </row>
    <row r="2830" spans="5:8" x14ac:dyDescent="0.25">
      <c r="E2830" t="str">
        <f>""</f>
        <v/>
      </c>
      <c r="F2830" t="str">
        <f>""</f>
        <v/>
      </c>
      <c r="H2830" t="str">
        <f t="shared" si="55"/>
        <v>TASC - HRA FEES</v>
      </c>
    </row>
    <row r="2831" spans="5:8" x14ac:dyDescent="0.25">
      <c r="E2831" t="str">
        <f>""</f>
        <v/>
      </c>
      <c r="F2831" t="str">
        <f>""</f>
        <v/>
      </c>
      <c r="H2831" t="str">
        <f t="shared" si="55"/>
        <v>TASC - HRA FEES</v>
      </c>
    </row>
    <row r="2832" spans="5:8" x14ac:dyDescent="0.25">
      <c r="E2832" t="str">
        <f>""</f>
        <v/>
      </c>
      <c r="F2832" t="str">
        <f>""</f>
        <v/>
      </c>
      <c r="H2832" t="str">
        <f t="shared" si="55"/>
        <v>TASC - HRA FEES</v>
      </c>
    </row>
    <row r="2833" spans="5:8" x14ac:dyDescent="0.25">
      <c r="E2833" t="str">
        <f>""</f>
        <v/>
      </c>
      <c r="F2833" t="str">
        <f>""</f>
        <v/>
      </c>
      <c r="H2833" t="str">
        <f t="shared" si="55"/>
        <v>TASC - HRA FEES</v>
      </c>
    </row>
    <row r="2834" spans="5:8" x14ac:dyDescent="0.25">
      <c r="E2834" t="str">
        <f>""</f>
        <v/>
      </c>
      <c r="F2834" t="str">
        <f>""</f>
        <v/>
      </c>
      <c r="H2834" t="str">
        <f t="shared" si="55"/>
        <v>TASC - HRA FEES</v>
      </c>
    </row>
    <row r="2835" spans="5:8" x14ac:dyDescent="0.25">
      <c r="E2835" t="str">
        <f>""</f>
        <v/>
      </c>
      <c r="F2835" t="str">
        <f>""</f>
        <v/>
      </c>
      <c r="H2835" t="str">
        <f t="shared" si="55"/>
        <v>TASC - HRA FEES</v>
      </c>
    </row>
    <row r="2836" spans="5:8" x14ac:dyDescent="0.25">
      <c r="E2836" t="str">
        <f>""</f>
        <v/>
      </c>
      <c r="F2836" t="str">
        <f>""</f>
        <v/>
      </c>
      <c r="H2836" t="str">
        <f t="shared" si="55"/>
        <v>TASC - HRA FEES</v>
      </c>
    </row>
    <row r="2837" spans="5:8" x14ac:dyDescent="0.25">
      <c r="E2837" t="str">
        <f>""</f>
        <v/>
      </c>
      <c r="F2837" t="str">
        <f>""</f>
        <v/>
      </c>
      <c r="H2837" t="str">
        <f t="shared" si="55"/>
        <v>TASC - HRA FEES</v>
      </c>
    </row>
    <row r="2838" spans="5:8" x14ac:dyDescent="0.25">
      <c r="E2838" t="str">
        <f>""</f>
        <v/>
      </c>
      <c r="F2838" t="str">
        <f>""</f>
        <v/>
      </c>
      <c r="H2838" t="str">
        <f t="shared" ref="H2838:H2854" si="56">"TASC - HRA FEES"</f>
        <v>TASC - HRA FEES</v>
      </c>
    </row>
    <row r="2839" spans="5:8" x14ac:dyDescent="0.25">
      <c r="E2839" t="str">
        <f>""</f>
        <v/>
      </c>
      <c r="F2839" t="str">
        <f>""</f>
        <v/>
      </c>
      <c r="H2839" t="str">
        <f t="shared" si="56"/>
        <v>TASC - HRA FEES</v>
      </c>
    </row>
    <row r="2840" spans="5:8" x14ac:dyDescent="0.25">
      <c r="E2840" t="str">
        <f>""</f>
        <v/>
      </c>
      <c r="F2840" t="str">
        <f>""</f>
        <v/>
      </c>
      <c r="H2840" t="str">
        <f t="shared" si="56"/>
        <v>TASC - HRA FEES</v>
      </c>
    </row>
    <row r="2841" spans="5:8" x14ac:dyDescent="0.25">
      <c r="E2841" t="str">
        <f>""</f>
        <v/>
      </c>
      <c r="F2841" t="str">
        <f>""</f>
        <v/>
      </c>
      <c r="H2841" t="str">
        <f t="shared" si="56"/>
        <v>TASC - HRA FEES</v>
      </c>
    </row>
    <row r="2842" spans="5:8" x14ac:dyDescent="0.25">
      <c r="E2842" t="str">
        <f>""</f>
        <v/>
      </c>
      <c r="F2842" t="str">
        <f>""</f>
        <v/>
      </c>
      <c r="H2842" t="str">
        <f t="shared" si="56"/>
        <v>TASC - HRA FEES</v>
      </c>
    </row>
    <row r="2843" spans="5:8" x14ac:dyDescent="0.25">
      <c r="E2843" t="str">
        <f>""</f>
        <v/>
      </c>
      <c r="F2843" t="str">
        <f>""</f>
        <v/>
      </c>
      <c r="H2843" t="str">
        <f t="shared" si="56"/>
        <v>TASC - HRA FEES</v>
      </c>
    </row>
    <row r="2844" spans="5:8" x14ac:dyDescent="0.25">
      <c r="E2844" t="str">
        <f>""</f>
        <v/>
      </c>
      <c r="F2844" t="str">
        <f>""</f>
        <v/>
      </c>
      <c r="H2844" t="str">
        <f t="shared" si="56"/>
        <v>TASC - HRA FEES</v>
      </c>
    </row>
    <row r="2845" spans="5:8" x14ac:dyDescent="0.25">
      <c r="E2845" t="str">
        <f>""</f>
        <v/>
      </c>
      <c r="F2845" t="str">
        <f>""</f>
        <v/>
      </c>
      <c r="H2845" t="str">
        <f t="shared" si="56"/>
        <v>TASC - HRA FEES</v>
      </c>
    </row>
    <row r="2846" spans="5:8" x14ac:dyDescent="0.25">
      <c r="E2846" t="str">
        <f>""</f>
        <v/>
      </c>
      <c r="F2846" t="str">
        <f>""</f>
        <v/>
      </c>
      <c r="H2846" t="str">
        <f t="shared" si="56"/>
        <v>TASC - HRA FEES</v>
      </c>
    </row>
    <row r="2847" spans="5:8" x14ac:dyDescent="0.25">
      <c r="E2847" t="str">
        <f>""</f>
        <v/>
      </c>
      <c r="F2847" t="str">
        <f>""</f>
        <v/>
      </c>
      <c r="H2847" t="str">
        <f t="shared" si="56"/>
        <v>TASC - HRA FEES</v>
      </c>
    </row>
    <row r="2848" spans="5:8" x14ac:dyDescent="0.25">
      <c r="E2848" t="str">
        <f>""</f>
        <v/>
      </c>
      <c r="F2848" t="str">
        <f>""</f>
        <v/>
      </c>
      <c r="H2848" t="str">
        <f t="shared" si="56"/>
        <v>TASC - HRA FEES</v>
      </c>
    </row>
    <row r="2849" spans="1:8" x14ac:dyDescent="0.25">
      <c r="E2849" t="str">
        <f>""</f>
        <v/>
      </c>
      <c r="F2849" t="str">
        <f>""</f>
        <v/>
      </c>
      <c r="H2849" t="str">
        <f t="shared" si="56"/>
        <v>TASC - HRA FEES</v>
      </c>
    </row>
    <row r="2850" spans="1:8" x14ac:dyDescent="0.25">
      <c r="E2850" t="str">
        <f>""</f>
        <v/>
      </c>
      <c r="F2850" t="str">
        <f>""</f>
        <v/>
      </c>
      <c r="H2850" t="str">
        <f t="shared" si="56"/>
        <v>TASC - HRA FEES</v>
      </c>
    </row>
    <row r="2851" spans="1:8" x14ac:dyDescent="0.25">
      <c r="E2851" t="str">
        <f>""</f>
        <v/>
      </c>
      <c r="F2851" t="str">
        <f>""</f>
        <v/>
      </c>
      <c r="H2851" t="str">
        <f t="shared" si="56"/>
        <v>TASC - HRA FEES</v>
      </c>
    </row>
    <row r="2852" spans="1:8" x14ac:dyDescent="0.25">
      <c r="E2852" t="str">
        <f>""</f>
        <v/>
      </c>
      <c r="F2852" t="str">
        <f>""</f>
        <v/>
      </c>
      <c r="H2852" t="str">
        <f t="shared" si="56"/>
        <v>TASC - HRA FEES</v>
      </c>
    </row>
    <row r="2853" spans="1:8" x14ac:dyDescent="0.25">
      <c r="E2853" t="str">
        <f>""</f>
        <v/>
      </c>
      <c r="F2853" t="str">
        <f>""</f>
        <v/>
      </c>
      <c r="H2853" t="str">
        <f t="shared" si="56"/>
        <v>TASC - HRA FEES</v>
      </c>
    </row>
    <row r="2854" spans="1:8" x14ac:dyDescent="0.25">
      <c r="E2854" t="str">
        <f>"HRF201908201223"</f>
        <v>HRF201908201223</v>
      </c>
      <c r="F2854" t="str">
        <f>"TASC - HRA FEES"</f>
        <v>TASC - HRA FEES</v>
      </c>
      <c r="G2854" s="2">
        <v>28.8</v>
      </c>
      <c r="H2854" t="str">
        <f t="shared" si="56"/>
        <v>TASC - HRA FEES</v>
      </c>
    </row>
    <row r="2855" spans="1:8" x14ac:dyDescent="0.25">
      <c r="A2855" t="s">
        <v>515</v>
      </c>
      <c r="B2855">
        <v>193</v>
      </c>
      <c r="C2855" s="2">
        <v>4255.16</v>
      </c>
      <c r="D2855" s="1">
        <v>43686</v>
      </c>
      <c r="E2855" t="str">
        <f>"C18201908071043"</f>
        <v>C18201908071043</v>
      </c>
      <c r="F2855" t="str">
        <f>"CAUSE# 0011635329"</f>
        <v>CAUSE# 0011635329</v>
      </c>
      <c r="G2855" s="2">
        <v>603.23</v>
      </c>
      <c r="H2855" t="str">
        <f>"CAUSE# 0011635329"</f>
        <v>CAUSE# 0011635329</v>
      </c>
    </row>
    <row r="2856" spans="1:8" x14ac:dyDescent="0.25">
      <c r="E2856" t="str">
        <f>"C2 201908071043"</f>
        <v>C2 201908071043</v>
      </c>
      <c r="F2856" t="str">
        <f>"0012982132CCL7445"</f>
        <v>0012982132CCL7445</v>
      </c>
      <c r="G2856" s="2">
        <v>692.31</v>
      </c>
      <c r="H2856" t="str">
        <f>"0012982132CCL7445"</f>
        <v>0012982132CCL7445</v>
      </c>
    </row>
    <row r="2857" spans="1:8" x14ac:dyDescent="0.25">
      <c r="E2857" t="str">
        <f>"C20201908071042"</f>
        <v>C20201908071042</v>
      </c>
      <c r="F2857" t="str">
        <f>"001003981107-12252"</f>
        <v>001003981107-12252</v>
      </c>
      <c r="G2857" s="2">
        <v>115.39</v>
      </c>
      <c r="H2857" t="str">
        <f>"001003981107-12252"</f>
        <v>001003981107-12252</v>
      </c>
    </row>
    <row r="2858" spans="1:8" x14ac:dyDescent="0.25">
      <c r="E2858" t="str">
        <f>"C42201908071042"</f>
        <v>C42201908071042</v>
      </c>
      <c r="F2858" t="str">
        <f>"001236769211-14410"</f>
        <v>001236769211-14410</v>
      </c>
      <c r="G2858" s="2">
        <v>230.31</v>
      </c>
      <c r="H2858" t="str">
        <f>"001236769211-14410"</f>
        <v>001236769211-14410</v>
      </c>
    </row>
    <row r="2859" spans="1:8" x14ac:dyDescent="0.25">
      <c r="E2859" t="str">
        <f>"C46201908071042"</f>
        <v>C46201908071042</v>
      </c>
      <c r="F2859" t="str">
        <f>"CAUSE# 11-14911"</f>
        <v>CAUSE# 11-14911</v>
      </c>
      <c r="G2859" s="2">
        <v>238.62</v>
      </c>
      <c r="H2859" t="str">
        <f>"CAUSE# 11-14911"</f>
        <v>CAUSE# 11-14911</v>
      </c>
    </row>
    <row r="2860" spans="1:8" x14ac:dyDescent="0.25">
      <c r="E2860" t="str">
        <f>"C53201908071042"</f>
        <v>C53201908071042</v>
      </c>
      <c r="F2860" t="str">
        <f>"0012453366"</f>
        <v>0012453366</v>
      </c>
      <c r="G2860" s="2">
        <v>138.46</v>
      </c>
      <c r="H2860" t="str">
        <f>"0012453366"</f>
        <v>0012453366</v>
      </c>
    </row>
    <row r="2861" spans="1:8" x14ac:dyDescent="0.25">
      <c r="E2861" t="str">
        <f>"C60201908071042"</f>
        <v>C60201908071042</v>
      </c>
      <c r="F2861" t="str">
        <f>"00130730762012V300"</f>
        <v>00130730762012V300</v>
      </c>
      <c r="G2861" s="2">
        <v>399.32</v>
      </c>
      <c r="H2861" t="str">
        <f>"00130730762012V300"</f>
        <v>00130730762012V300</v>
      </c>
    </row>
    <row r="2862" spans="1:8" x14ac:dyDescent="0.25">
      <c r="E2862" t="str">
        <f>"C62201908071042"</f>
        <v>C62201908071042</v>
      </c>
      <c r="F2862" t="str">
        <f>"# 0012128865"</f>
        <v># 0012128865</v>
      </c>
      <c r="G2862" s="2">
        <v>243.23</v>
      </c>
      <c r="H2862" t="str">
        <f>"# 0012128865"</f>
        <v># 0012128865</v>
      </c>
    </row>
    <row r="2863" spans="1:8" x14ac:dyDescent="0.25">
      <c r="E2863" t="str">
        <f>"C66201908071042"</f>
        <v>C66201908071042</v>
      </c>
      <c r="F2863" t="str">
        <f>"# 0012871801"</f>
        <v># 0012871801</v>
      </c>
      <c r="G2863" s="2">
        <v>90</v>
      </c>
      <c r="H2863" t="str">
        <f>"# 0012871801"</f>
        <v># 0012871801</v>
      </c>
    </row>
    <row r="2864" spans="1:8" x14ac:dyDescent="0.25">
      <c r="E2864" t="str">
        <f>"C67201908071042"</f>
        <v>C67201908071042</v>
      </c>
      <c r="F2864" t="str">
        <f>"13154657"</f>
        <v>13154657</v>
      </c>
      <c r="G2864" s="2">
        <v>101.99</v>
      </c>
      <c r="H2864" t="str">
        <f>"13154657"</f>
        <v>13154657</v>
      </c>
    </row>
    <row r="2865" spans="1:8" x14ac:dyDescent="0.25">
      <c r="E2865" t="str">
        <f>"C69201908071042"</f>
        <v>C69201908071042</v>
      </c>
      <c r="F2865" t="str">
        <f>"0012046911423672"</f>
        <v>0012046911423672</v>
      </c>
      <c r="G2865" s="2">
        <v>187.38</v>
      </c>
      <c r="H2865" t="str">
        <f>"0012046911423672"</f>
        <v>0012046911423672</v>
      </c>
    </row>
    <row r="2866" spans="1:8" x14ac:dyDescent="0.25">
      <c r="E2866" t="str">
        <f>"C70201908071042"</f>
        <v>C70201908071042</v>
      </c>
      <c r="F2866" t="str">
        <f>"00136881334235026"</f>
        <v>00136881334235026</v>
      </c>
      <c r="G2866" s="2">
        <v>257.45999999999998</v>
      </c>
      <c r="H2866" t="str">
        <f>"00136881334235026"</f>
        <v>00136881334235026</v>
      </c>
    </row>
    <row r="2867" spans="1:8" x14ac:dyDescent="0.25">
      <c r="E2867" t="str">
        <f>"C71201908071042"</f>
        <v>C71201908071042</v>
      </c>
      <c r="F2867" t="str">
        <f>"00137390532018V215"</f>
        <v>00137390532018V215</v>
      </c>
      <c r="G2867" s="2">
        <v>264</v>
      </c>
      <c r="H2867" t="str">
        <f>"00137390532018V215"</f>
        <v>00137390532018V215</v>
      </c>
    </row>
    <row r="2868" spans="1:8" x14ac:dyDescent="0.25">
      <c r="E2868" t="str">
        <f>"C72201908071042"</f>
        <v>C72201908071042</v>
      </c>
      <c r="F2868" t="str">
        <f>"0012797601C20130529B"</f>
        <v>0012797601C20130529B</v>
      </c>
      <c r="G2868" s="2">
        <v>241.85</v>
      </c>
      <c r="H2868" t="str">
        <f>"0012797601C20130529B"</f>
        <v>0012797601C20130529B</v>
      </c>
    </row>
    <row r="2869" spans="1:8" x14ac:dyDescent="0.25">
      <c r="E2869" t="str">
        <f>"C78201908071042"</f>
        <v>C78201908071042</v>
      </c>
      <c r="F2869" t="str">
        <f>"00105115972005106221"</f>
        <v>00105115972005106221</v>
      </c>
      <c r="G2869" s="2">
        <v>144.68</v>
      </c>
      <c r="H2869" t="str">
        <f>"00105115972005106221"</f>
        <v>00105115972005106221</v>
      </c>
    </row>
    <row r="2870" spans="1:8" x14ac:dyDescent="0.25">
      <c r="E2870" t="str">
        <f>"C79201908071042"</f>
        <v>C79201908071042</v>
      </c>
      <c r="F2870" t="str">
        <f>"0013045733S146091FLB"</f>
        <v>0013045733S146091FLB</v>
      </c>
      <c r="G2870" s="2">
        <v>197.08</v>
      </c>
      <c r="H2870" t="str">
        <f>"0013045733S146091FLB"</f>
        <v>0013045733S146091FLB</v>
      </c>
    </row>
    <row r="2871" spans="1:8" x14ac:dyDescent="0.25">
      <c r="E2871" t="str">
        <f>"C81201908071042"</f>
        <v>C81201908071042</v>
      </c>
      <c r="F2871" t="str">
        <f>"00123916889200232472"</f>
        <v>00123916889200232472</v>
      </c>
      <c r="G2871" s="2">
        <v>109.85</v>
      </c>
      <c r="H2871" t="str">
        <f>"00123916889200232472"</f>
        <v>00123916889200232472</v>
      </c>
    </row>
    <row r="2872" spans="1:8" x14ac:dyDescent="0.25">
      <c r="A2872" t="s">
        <v>515</v>
      </c>
      <c r="B2872">
        <v>201</v>
      </c>
      <c r="C2872" s="2">
        <v>4255.16</v>
      </c>
      <c r="D2872" s="1">
        <v>43700</v>
      </c>
      <c r="E2872" t="str">
        <f>"C18201908201223"</f>
        <v>C18201908201223</v>
      </c>
      <c r="F2872" t="str">
        <f>"CAUSE# 0011635329"</f>
        <v>CAUSE# 0011635329</v>
      </c>
      <c r="G2872" s="2">
        <v>603.23</v>
      </c>
      <c r="H2872" t="str">
        <f>"CAUSE# 0011635329"</f>
        <v>CAUSE# 0011635329</v>
      </c>
    </row>
    <row r="2873" spans="1:8" x14ac:dyDescent="0.25">
      <c r="E2873" t="str">
        <f>"C2 201908201223"</f>
        <v>C2 201908201223</v>
      </c>
      <c r="F2873" t="str">
        <f>"0012982132CCL7445"</f>
        <v>0012982132CCL7445</v>
      </c>
      <c r="G2873" s="2">
        <v>692.31</v>
      </c>
      <c r="H2873" t="str">
        <f>"0012982132CCL7445"</f>
        <v>0012982132CCL7445</v>
      </c>
    </row>
    <row r="2874" spans="1:8" x14ac:dyDescent="0.25">
      <c r="E2874" t="str">
        <f>"C20201908201222"</f>
        <v>C20201908201222</v>
      </c>
      <c r="F2874" t="str">
        <f>"001003981107-12252"</f>
        <v>001003981107-12252</v>
      </c>
      <c r="G2874" s="2">
        <v>115.39</v>
      </c>
      <c r="H2874" t="str">
        <f>"001003981107-12252"</f>
        <v>001003981107-12252</v>
      </c>
    </row>
    <row r="2875" spans="1:8" x14ac:dyDescent="0.25">
      <c r="E2875" t="str">
        <f>"C42201908201222"</f>
        <v>C42201908201222</v>
      </c>
      <c r="F2875" t="str">
        <f>"001236769211-14410"</f>
        <v>001236769211-14410</v>
      </c>
      <c r="G2875" s="2">
        <v>230.31</v>
      </c>
      <c r="H2875" t="str">
        <f>"001236769211-14410"</f>
        <v>001236769211-14410</v>
      </c>
    </row>
    <row r="2876" spans="1:8" x14ac:dyDescent="0.25">
      <c r="E2876" t="str">
        <f>"C46201908201222"</f>
        <v>C46201908201222</v>
      </c>
      <c r="F2876" t="str">
        <f>"CAUSE# 11-14911"</f>
        <v>CAUSE# 11-14911</v>
      </c>
      <c r="G2876" s="2">
        <v>238.62</v>
      </c>
      <c r="H2876" t="str">
        <f>"CAUSE# 11-14911"</f>
        <v>CAUSE# 11-14911</v>
      </c>
    </row>
    <row r="2877" spans="1:8" x14ac:dyDescent="0.25">
      <c r="E2877" t="str">
        <f>"C53201908201222"</f>
        <v>C53201908201222</v>
      </c>
      <c r="F2877" t="str">
        <f>"0012453366"</f>
        <v>0012453366</v>
      </c>
      <c r="G2877" s="2">
        <v>138.46</v>
      </c>
      <c r="H2877" t="str">
        <f>"0012453366"</f>
        <v>0012453366</v>
      </c>
    </row>
    <row r="2878" spans="1:8" x14ac:dyDescent="0.25">
      <c r="E2878" t="str">
        <f>"C60201908201222"</f>
        <v>C60201908201222</v>
      </c>
      <c r="F2878" t="str">
        <f>"00130730762012V300"</f>
        <v>00130730762012V300</v>
      </c>
      <c r="G2878" s="2">
        <v>399.32</v>
      </c>
      <c r="H2878" t="str">
        <f>"00130730762012V300"</f>
        <v>00130730762012V300</v>
      </c>
    </row>
    <row r="2879" spans="1:8" x14ac:dyDescent="0.25">
      <c r="E2879" t="str">
        <f>"C62201908201222"</f>
        <v>C62201908201222</v>
      </c>
      <c r="F2879" t="str">
        <f>"# 0012128865"</f>
        <v># 0012128865</v>
      </c>
      <c r="G2879" s="2">
        <v>243.23</v>
      </c>
      <c r="H2879" t="str">
        <f>"# 0012128865"</f>
        <v># 0012128865</v>
      </c>
    </row>
    <row r="2880" spans="1:8" x14ac:dyDescent="0.25">
      <c r="E2880" t="str">
        <f>"C66201908201222"</f>
        <v>C66201908201222</v>
      </c>
      <c r="F2880" t="str">
        <f>"# 0012871801"</f>
        <v># 0012871801</v>
      </c>
      <c r="G2880" s="2">
        <v>90</v>
      </c>
      <c r="H2880" t="str">
        <f>"# 0012871801"</f>
        <v># 0012871801</v>
      </c>
    </row>
    <row r="2881" spans="1:8" x14ac:dyDescent="0.25">
      <c r="E2881" t="str">
        <f>"C67201908201222"</f>
        <v>C67201908201222</v>
      </c>
      <c r="F2881" t="str">
        <f>"13154657"</f>
        <v>13154657</v>
      </c>
      <c r="G2881" s="2">
        <v>101.99</v>
      </c>
      <c r="H2881" t="str">
        <f>"13154657"</f>
        <v>13154657</v>
      </c>
    </row>
    <row r="2882" spans="1:8" x14ac:dyDescent="0.25">
      <c r="E2882" t="str">
        <f>"C69201908201222"</f>
        <v>C69201908201222</v>
      </c>
      <c r="F2882" t="str">
        <f>"0012046911423672"</f>
        <v>0012046911423672</v>
      </c>
      <c r="G2882" s="2">
        <v>187.38</v>
      </c>
      <c r="H2882" t="str">
        <f>"0012046911423672"</f>
        <v>0012046911423672</v>
      </c>
    </row>
    <row r="2883" spans="1:8" x14ac:dyDescent="0.25">
      <c r="E2883" t="str">
        <f>"C70201908201222"</f>
        <v>C70201908201222</v>
      </c>
      <c r="F2883" t="str">
        <f>"00136881334235026"</f>
        <v>00136881334235026</v>
      </c>
      <c r="G2883" s="2">
        <v>257.45999999999998</v>
      </c>
      <c r="H2883" t="str">
        <f>"00136881334235026"</f>
        <v>00136881334235026</v>
      </c>
    </row>
    <row r="2884" spans="1:8" x14ac:dyDescent="0.25">
      <c r="E2884" t="str">
        <f>"C71201908201222"</f>
        <v>C71201908201222</v>
      </c>
      <c r="F2884" t="str">
        <f>"00137390532018V215"</f>
        <v>00137390532018V215</v>
      </c>
      <c r="G2884" s="2">
        <v>264</v>
      </c>
      <c r="H2884" t="str">
        <f>"00137390532018V215"</f>
        <v>00137390532018V215</v>
      </c>
    </row>
    <row r="2885" spans="1:8" x14ac:dyDescent="0.25">
      <c r="E2885" t="str">
        <f>"C72201908201222"</f>
        <v>C72201908201222</v>
      </c>
      <c r="F2885" t="str">
        <f>"0012797601C20130529B"</f>
        <v>0012797601C20130529B</v>
      </c>
      <c r="G2885" s="2">
        <v>241.85</v>
      </c>
      <c r="H2885" t="str">
        <f>"0012797601C20130529B"</f>
        <v>0012797601C20130529B</v>
      </c>
    </row>
    <row r="2886" spans="1:8" x14ac:dyDescent="0.25">
      <c r="E2886" t="str">
        <f>"C78201908201222"</f>
        <v>C78201908201222</v>
      </c>
      <c r="F2886" t="str">
        <f>"00105115972005106221"</f>
        <v>00105115972005106221</v>
      </c>
      <c r="G2886" s="2">
        <v>144.68</v>
      </c>
      <c r="H2886" t="str">
        <f>"00105115972005106221"</f>
        <v>00105115972005106221</v>
      </c>
    </row>
    <row r="2887" spans="1:8" x14ac:dyDescent="0.25">
      <c r="E2887" t="str">
        <f>"C79201908201222"</f>
        <v>C79201908201222</v>
      </c>
      <c r="F2887" t="str">
        <f>"0013045733S146091FLB"</f>
        <v>0013045733S146091FLB</v>
      </c>
      <c r="G2887" s="2">
        <v>197.08</v>
      </c>
      <c r="H2887" t="str">
        <f>"0013045733S146091FLB"</f>
        <v>0013045733S146091FLB</v>
      </c>
    </row>
    <row r="2888" spans="1:8" x14ac:dyDescent="0.25">
      <c r="E2888" t="str">
        <f>"C81201908201222"</f>
        <v>C81201908201222</v>
      </c>
      <c r="F2888" t="str">
        <f>"00123916889200232472"</f>
        <v>00123916889200232472</v>
      </c>
      <c r="G2888" s="2">
        <v>109.85</v>
      </c>
      <c r="H2888" t="str">
        <f>"00123916889200232472"</f>
        <v>00123916889200232472</v>
      </c>
    </row>
    <row r="2889" spans="1:8" x14ac:dyDescent="0.25">
      <c r="A2889" t="s">
        <v>516</v>
      </c>
      <c r="B2889">
        <v>203</v>
      </c>
      <c r="C2889" s="2">
        <v>342069.29</v>
      </c>
      <c r="D2889" s="1">
        <v>43700</v>
      </c>
      <c r="E2889" t="str">
        <f>"RET201908071042"</f>
        <v>RET201908071042</v>
      </c>
      <c r="F2889" t="str">
        <f>"TEXAS COUNTY &amp; DISTRICT RET"</f>
        <v>TEXAS COUNTY &amp; DISTRICT RET</v>
      </c>
      <c r="G2889" s="2">
        <v>157926.21</v>
      </c>
      <c r="H2889" t="str">
        <f t="shared" ref="H2889:H2920" si="57">"TEXAS COUNTY &amp; DISTRICT RET"</f>
        <v>TEXAS COUNTY &amp; DISTRICT RET</v>
      </c>
    </row>
    <row r="2890" spans="1:8" x14ac:dyDescent="0.25">
      <c r="E2890" t="str">
        <f>""</f>
        <v/>
      </c>
      <c r="F2890" t="str">
        <f>""</f>
        <v/>
      </c>
      <c r="H2890" t="str">
        <f t="shared" si="57"/>
        <v>TEXAS COUNTY &amp; DISTRICT RET</v>
      </c>
    </row>
    <row r="2891" spans="1:8" x14ac:dyDescent="0.25">
      <c r="E2891" t="str">
        <f>""</f>
        <v/>
      </c>
      <c r="F2891" t="str">
        <f>""</f>
        <v/>
      </c>
      <c r="H2891" t="str">
        <f t="shared" si="57"/>
        <v>TEXAS COUNTY &amp; DISTRICT RET</v>
      </c>
    </row>
    <row r="2892" spans="1:8" x14ac:dyDescent="0.25">
      <c r="E2892" t="str">
        <f>""</f>
        <v/>
      </c>
      <c r="F2892" t="str">
        <f>""</f>
        <v/>
      </c>
      <c r="H2892" t="str">
        <f t="shared" si="57"/>
        <v>TEXAS COUNTY &amp; DISTRICT RET</v>
      </c>
    </row>
    <row r="2893" spans="1:8" x14ac:dyDescent="0.25">
      <c r="E2893" t="str">
        <f>""</f>
        <v/>
      </c>
      <c r="F2893" t="str">
        <f>""</f>
        <v/>
      </c>
      <c r="H2893" t="str">
        <f t="shared" si="57"/>
        <v>TEXAS COUNTY &amp; DISTRICT RET</v>
      </c>
    </row>
    <row r="2894" spans="1:8" x14ac:dyDescent="0.25">
      <c r="E2894" t="str">
        <f>""</f>
        <v/>
      </c>
      <c r="F2894" t="str">
        <f>""</f>
        <v/>
      </c>
      <c r="H2894" t="str">
        <f t="shared" si="57"/>
        <v>TEXAS COUNTY &amp; DISTRICT RET</v>
      </c>
    </row>
    <row r="2895" spans="1:8" x14ac:dyDescent="0.25">
      <c r="E2895" t="str">
        <f>""</f>
        <v/>
      </c>
      <c r="F2895" t="str">
        <f>""</f>
        <v/>
      </c>
      <c r="H2895" t="str">
        <f t="shared" si="57"/>
        <v>TEXAS COUNTY &amp; DISTRICT RET</v>
      </c>
    </row>
    <row r="2896" spans="1:8" x14ac:dyDescent="0.25">
      <c r="E2896" t="str">
        <f>""</f>
        <v/>
      </c>
      <c r="F2896" t="str">
        <f>""</f>
        <v/>
      </c>
      <c r="H2896" t="str">
        <f t="shared" si="57"/>
        <v>TEXAS COUNTY &amp; DISTRICT RET</v>
      </c>
    </row>
    <row r="2897" spans="5:8" x14ac:dyDescent="0.25">
      <c r="E2897" t="str">
        <f>""</f>
        <v/>
      </c>
      <c r="F2897" t="str">
        <f>""</f>
        <v/>
      </c>
      <c r="H2897" t="str">
        <f t="shared" si="57"/>
        <v>TEXAS COUNTY &amp; DISTRICT RET</v>
      </c>
    </row>
    <row r="2898" spans="5:8" x14ac:dyDescent="0.25">
      <c r="E2898" t="str">
        <f>""</f>
        <v/>
      </c>
      <c r="F2898" t="str">
        <f>""</f>
        <v/>
      </c>
      <c r="H2898" t="str">
        <f t="shared" si="57"/>
        <v>TEXAS COUNTY &amp; DISTRICT RET</v>
      </c>
    </row>
    <row r="2899" spans="5:8" x14ac:dyDescent="0.25">
      <c r="E2899" t="str">
        <f>""</f>
        <v/>
      </c>
      <c r="F2899" t="str">
        <f>""</f>
        <v/>
      </c>
      <c r="H2899" t="str">
        <f t="shared" si="57"/>
        <v>TEXAS COUNTY &amp; DISTRICT RET</v>
      </c>
    </row>
    <row r="2900" spans="5:8" x14ac:dyDescent="0.25">
      <c r="E2900" t="str">
        <f>""</f>
        <v/>
      </c>
      <c r="F2900" t="str">
        <f>""</f>
        <v/>
      </c>
      <c r="H2900" t="str">
        <f t="shared" si="57"/>
        <v>TEXAS COUNTY &amp; DISTRICT RET</v>
      </c>
    </row>
    <row r="2901" spans="5:8" x14ac:dyDescent="0.25">
      <c r="E2901" t="str">
        <f>""</f>
        <v/>
      </c>
      <c r="F2901" t="str">
        <f>""</f>
        <v/>
      </c>
      <c r="H2901" t="str">
        <f t="shared" si="57"/>
        <v>TEXAS COUNTY &amp; DISTRICT RET</v>
      </c>
    </row>
    <row r="2902" spans="5:8" x14ac:dyDescent="0.25">
      <c r="E2902" t="str">
        <f>""</f>
        <v/>
      </c>
      <c r="F2902" t="str">
        <f>""</f>
        <v/>
      </c>
      <c r="H2902" t="str">
        <f t="shared" si="57"/>
        <v>TEXAS COUNTY &amp; DISTRICT RET</v>
      </c>
    </row>
    <row r="2903" spans="5:8" x14ac:dyDescent="0.25">
      <c r="E2903" t="str">
        <f>""</f>
        <v/>
      </c>
      <c r="F2903" t="str">
        <f>""</f>
        <v/>
      </c>
      <c r="H2903" t="str">
        <f t="shared" si="57"/>
        <v>TEXAS COUNTY &amp; DISTRICT RET</v>
      </c>
    </row>
    <row r="2904" spans="5:8" x14ac:dyDescent="0.25">
      <c r="E2904" t="str">
        <f>""</f>
        <v/>
      </c>
      <c r="F2904" t="str">
        <f>""</f>
        <v/>
      </c>
      <c r="H2904" t="str">
        <f t="shared" si="57"/>
        <v>TEXAS COUNTY &amp; DISTRICT RET</v>
      </c>
    </row>
    <row r="2905" spans="5:8" x14ac:dyDescent="0.25">
      <c r="E2905" t="str">
        <f>""</f>
        <v/>
      </c>
      <c r="F2905" t="str">
        <f>""</f>
        <v/>
      </c>
      <c r="H2905" t="str">
        <f t="shared" si="57"/>
        <v>TEXAS COUNTY &amp; DISTRICT RET</v>
      </c>
    </row>
    <row r="2906" spans="5:8" x14ac:dyDescent="0.25">
      <c r="E2906" t="str">
        <f>""</f>
        <v/>
      </c>
      <c r="F2906" t="str">
        <f>""</f>
        <v/>
      </c>
      <c r="H2906" t="str">
        <f t="shared" si="57"/>
        <v>TEXAS COUNTY &amp; DISTRICT RET</v>
      </c>
    </row>
    <row r="2907" spans="5:8" x14ac:dyDescent="0.25">
      <c r="E2907" t="str">
        <f>""</f>
        <v/>
      </c>
      <c r="F2907" t="str">
        <f>""</f>
        <v/>
      </c>
      <c r="H2907" t="str">
        <f t="shared" si="57"/>
        <v>TEXAS COUNTY &amp; DISTRICT RET</v>
      </c>
    </row>
    <row r="2908" spans="5:8" x14ac:dyDescent="0.25">
      <c r="E2908" t="str">
        <f>""</f>
        <v/>
      </c>
      <c r="F2908" t="str">
        <f>""</f>
        <v/>
      </c>
      <c r="H2908" t="str">
        <f t="shared" si="57"/>
        <v>TEXAS COUNTY &amp; DISTRICT RET</v>
      </c>
    </row>
    <row r="2909" spans="5:8" x14ac:dyDescent="0.25">
      <c r="E2909" t="str">
        <f>""</f>
        <v/>
      </c>
      <c r="F2909" t="str">
        <f>""</f>
        <v/>
      </c>
      <c r="H2909" t="str">
        <f t="shared" si="57"/>
        <v>TEXAS COUNTY &amp; DISTRICT RET</v>
      </c>
    </row>
    <row r="2910" spans="5:8" x14ac:dyDescent="0.25">
      <c r="E2910" t="str">
        <f>""</f>
        <v/>
      </c>
      <c r="F2910" t="str">
        <f>""</f>
        <v/>
      </c>
      <c r="H2910" t="str">
        <f t="shared" si="57"/>
        <v>TEXAS COUNTY &amp; DISTRICT RET</v>
      </c>
    </row>
    <row r="2911" spans="5:8" x14ac:dyDescent="0.25">
      <c r="E2911" t="str">
        <f>""</f>
        <v/>
      </c>
      <c r="F2911" t="str">
        <f>""</f>
        <v/>
      </c>
      <c r="H2911" t="str">
        <f t="shared" si="57"/>
        <v>TEXAS COUNTY &amp; DISTRICT RET</v>
      </c>
    </row>
    <row r="2912" spans="5:8" x14ac:dyDescent="0.25">
      <c r="E2912" t="str">
        <f>""</f>
        <v/>
      </c>
      <c r="F2912" t="str">
        <f>""</f>
        <v/>
      </c>
      <c r="H2912" t="str">
        <f t="shared" si="57"/>
        <v>TEXAS COUNTY &amp; DISTRICT RET</v>
      </c>
    </row>
    <row r="2913" spans="5:8" x14ac:dyDescent="0.25">
      <c r="E2913" t="str">
        <f>""</f>
        <v/>
      </c>
      <c r="F2913" t="str">
        <f>""</f>
        <v/>
      </c>
      <c r="H2913" t="str">
        <f t="shared" si="57"/>
        <v>TEXAS COUNTY &amp; DISTRICT RET</v>
      </c>
    </row>
    <row r="2914" spans="5:8" x14ac:dyDescent="0.25">
      <c r="E2914" t="str">
        <f>""</f>
        <v/>
      </c>
      <c r="F2914" t="str">
        <f>""</f>
        <v/>
      </c>
      <c r="H2914" t="str">
        <f t="shared" si="57"/>
        <v>TEXAS COUNTY &amp; DISTRICT RET</v>
      </c>
    </row>
    <row r="2915" spans="5:8" x14ac:dyDescent="0.25">
      <c r="E2915" t="str">
        <f>""</f>
        <v/>
      </c>
      <c r="F2915" t="str">
        <f>""</f>
        <v/>
      </c>
      <c r="H2915" t="str">
        <f t="shared" si="57"/>
        <v>TEXAS COUNTY &amp; DISTRICT RET</v>
      </c>
    </row>
    <row r="2916" spans="5:8" x14ac:dyDescent="0.25">
      <c r="E2916" t="str">
        <f>""</f>
        <v/>
      </c>
      <c r="F2916" t="str">
        <f>""</f>
        <v/>
      </c>
      <c r="H2916" t="str">
        <f t="shared" si="57"/>
        <v>TEXAS COUNTY &amp; DISTRICT RET</v>
      </c>
    </row>
    <row r="2917" spans="5:8" x14ac:dyDescent="0.25">
      <c r="E2917" t="str">
        <f>""</f>
        <v/>
      </c>
      <c r="F2917" t="str">
        <f>""</f>
        <v/>
      </c>
      <c r="H2917" t="str">
        <f t="shared" si="57"/>
        <v>TEXAS COUNTY &amp; DISTRICT RET</v>
      </c>
    </row>
    <row r="2918" spans="5:8" x14ac:dyDescent="0.25">
      <c r="E2918" t="str">
        <f>""</f>
        <v/>
      </c>
      <c r="F2918" t="str">
        <f>""</f>
        <v/>
      </c>
      <c r="H2918" t="str">
        <f t="shared" si="57"/>
        <v>TEXAS COUNTY &amp; DISTRICT RET</v>
      </c>
    </row>
    <row r="2919" spans="5:8" x14ac:dyDescent="0.25">
      <c r="E2919" t="str">
        <f>""</f>
        <v/>
      </c>
      <c r="F2919" t="str">
        <f>""</f>
        <v/>
      </c>
      <c r="H2919" t="str">
        <f t="shared" si="57"/>
        <v>TEXAS COUNTY &amp; DISTRICT RET</v>
      </c>
    </row>
    <row r="2920" spans="5:8" x14ac:dyDescent="0.25">
      <c r="E2920" t="str">
        <f>""</f>
        <v/>
      </c>
      <c r="F2920" t="str">
        <f>""</f>
        <v/>
      </c>
      <c r="H2920" t="str">
        <f t="shared" si="57"/>
        <v>TEXAS COUNTY &amp; DISTRICT RET</v>
      </c>
    </row>
    <row r="2921" spans="5:8" x14ac:dyDescent="0.25">
      <c r="E2921" t="str">
        <f>""</f>
        <v/>
      </c>
      <c r="F2921" t="str">
        <f>""</f>
        <v/>
      </c>
      <c r="H2921" t="str">
        <f t="shared" ref="H2921:H2939" si="58">"TEXAS COUNTY &amp; DISTRICT RET"</f>
        <v>TEXAS COUNTY &amp; DISTRICT RET</v>
      </c>
    </row>
    <row r="2922" spans="5:8" x14ac:dyDescent="0.25">
      <c r="E2922" t="str">
        <f>""</f>
        <v/>
      </c>
      <c r="F2922" t="str">
        <f>""</f>
        <v/>
      </c>
      <c r="H2922" t="str">
        <f t="shared" si="58"/>
        <v>TEXAS COUNTY &amp; DISTRICT RET</v>
      </c>
    </row>
    <row r="2923" spans="5:8" x14ac:dyDescent="0.25">
      <c r="E2923" t="str">
        <f>""</f>
        <v/>
      </c>
      <c r="F2923" t="str">
        <f>""</f>
        <v/>
      </c>
      <c r="H2923" t="str">
        <f t="shared" si="58"/>
        <v>TEXAS COUNTY &amp; DISTRICT RET</v>
      </c>
    </row>
    <row r="2924" spans="5:8" x14ac:dyDescent="0.25">
      <c r="E2924" t="str">
        <f>""</f>
        <v/>
      </c>
      <c r="F2924" t="str">
        <f>""</f>
        <v/>
      </c>
      <c r="H2924" t="str">
        <f t="shared" si="58"/>
        <v>TEXAS COUNTY &amp; DISTRICT RET</v>
      </c>
    </row>
    <row r="2925" spans="5:8" x14ac:dyDescent="0.25">
      <c r="E2925" t="str">
        <f>""</f>
        <v/>
      </c>
      <c r="F2925" t="str">
        <f>""</f>
        <v/>
      </c>
      <c r="H2925" t="str">
        <f t="shared" si="58"/>
        <v>TEXAS COUNTY &amp; DISTRICT RET</v>
      </c>
    </row>
    <row r="2926" spans="5:8" x14ac:dyDescent="0.25">
      <c r="E2926" t="str">
        <f>""</f>
        <v/>
      </c>
      <c r="F2926" t="str">
        <f>""</f>
        <v/>
      </c>
      <c r="H2926" t="str">
        <f t="shared" si="58"/>
        <v>TEXAS COUNTY &amp; DISTRICT RET</v>
      </c>
    </row>
    <row r="2927" spans="5:8" x14ac:dyDescent="0.25">
      <c r="E2927" t="str">
        <f>""</f>
        <v/>
      </c>
      <c r="F2927" t="str">
        <f>""</f>
        <v/>
      </c>
      <c r="H2927" t="str">
        <f t="shared" si="58"/>
        <v>TEXAS COUNTY &amp; DISTRICT RET</v>
      </c>
    </row>
    <row r="2928" spans="5:8" x14ac:dyDescent="0.25">
      <c r="E2928" t="str">
        <f>""</f>
        <v/>
      </c>
      <c r="F2928" t="str">
        <f>""</f>
        <v/>
      </c>
      <c r="H2928" t="str">
        <f t="shared" si="58"/>
        <v>TEXAS COUNTY &amp; DISTRICT RET</v>
      </c>
    </row>
    <row r="2929" spans="5:8" x14ac:dyDescent="0.25">
      <c r="E2929" t="str">
        <f>""</f>
        <v/>
      </c>
      <c r="F2929" t="str">
        <f>""</f>
        <v/>
      </c>
      <c r="H2929" t="str">
        <f t="shared" si="58"/>
        <v>TEXAS COUNTY &amp; DISTRICT RET</v>
      </c>
    </row>
    <row r="2930" spans="5:8" x14ac:dyDescent="0.25">
      <c r="E2930" t="str">
        <f>""</f>
        <v/>
      </c>
      <c r="F2930" t="str">
        <f>""</f>
        <v/>
      </c>
      <c r="H2930" t="str">
        <f t="shared" si="58"/>
        <v>TEXAS COUNTY &amp; DISTRICT RET</v>
      </c>
    </row>
    <row r="2931" spans="5:8" x14ac:dyDescent="0.25">
      <c r="E2931" t="str">
        <f>""</f>
        <v/>
      </c>
      <c r="F2931" t="str">
        <f>""</f>
        <v/>
      </c>
      <c r="H2931" t="str">
        <f t="shared" si="58"/>
        <v>TEXAS COUNTY &amp; DISTRICT RET</v>
      </c>
    </row>
    <row r="2932" spans="5:8" x14ac:dyDescent="0.25">
      <c r="E2932" t="str">
        <f>""</f>
        <v/>
      </c>
      <c r="F2932" t="str">
        <f>""</f>
        <v/>
      </c>
      <c r="H2932" t="str">
        <f t="shared" si="58"/>
        <v>TEXAS COUNTY &amp; DISTRICT RET</v>
      </c>
    </row>
    <row r="2933" spans="5:8" x14ac:dyDescent="0.25">
      <c r="E2933" t="str">
        <f>""</f>
        <v/>
      </c>
      <c r="F2933" t="str">
        <f>""</f>
        <v/>
      </c>
      <c r="H2933" t="str">
        <f t="shared" si="58"/>
        <v>TEXAS COUNTY &amp; DISTRICT RET</v>
      </c>
    </row>
    <row r="2934" spans="5:8" x14ac:dyDescent="0.25">
      <c r="E2934" t="str">
        <f>""</f>
        <v/>
      </c>
      <c r="F2934" t="str">
        <f>""</f>
        <v/>
      </c>
      <c r="H2934" t="str">
        <f t="shared" si="58"/>
        <v>TEXAS COUNTY &amp; DISTRICT RET</v>
      </c>
    </row>
    <row r="2935" spans="5:8" x14ac:dyDescent="0.25">
      <c r="E2935" t="str">
        <f>""</f>
        <v/>
      </c>
      <c r="F2935" t="str">
        <f>""</f>
        <v/>
      </c>
      <c r="H2935" t="str">
        <f t="shared" si="58"/>
        <v>TEXAS COUNTY &amp; DISTRICT RET</v>
      </c>
    </row>
    <row r="2936" spans="5:8" x14ac:dyDescent="0.25">
      <c r="E2936" t="str">
        <f>""</f>
        <v/>
      </c>
      <c r="F2936" t="str">
        <f>""</f>
        <v/>
      </c>
      <c r="H2936" t="str">
        <f t="shared" si="58"/>
        <v>TEXAS COUNTY &amp; DISTRICT RET</v>
      </c>
    </row>
    <row r="2937" spans="5:8" x14ac:dyDescent="0.25">
      <c r="E2937" t="str">
        <f>""</f>
        <v/>
      </c>
      <c r="F2937" t="str">
        <f>""</f>
        <v/>
      </c>
      <c r="H2937" t="str">
        <f t="shared" si="58"/>
        <v>TEXAS COUNTY &amp; DISTRICT RET</v>
      </c>
    </row>
    <row r="2938" spans="5:8" x14ac:dyDescent="0.25">
      <c r="E2938" t="str">
        <f>""</f>
        <v/>
      </c>
      <c r="F2938" t="str">
        <f>""</f>
        <v/>
      </c>
      <c r="H2938" t="str">
        <f t="shared" si="58"/>
        <v>TEXAS COUNTY &amp; DISTRICT RET</v>
      </c>
    </row>
    <row r="2939" spans="5:8" x14ac:dyDescent="0.25">
      <c r="E2939" t="str">
        <f>""</f>
        <v/>
      </c>
      <c r="F2939" t="str">
        <f>""</f>
        <v/>
      </c>
      <c r="H2939" t="str">
        <f t="shared" si="58"/>
        <v>TEXAS COUNTY &amp; DISTRICT RET</v>
      </c>
    </row>
    <row r="2940" spans="5:8" x14ac:dyDescent="0.25">
      <c r="E2940" t="str">
        <f>"RET201908071043"</f>
        <v>RET201908071043</v>
      </c>
      <c r="F2940" t="str">
        <f>"TEXAS COUNTY  DISTRICT RET"</f>
        <v>TEXAS COUNTY  DISTRICT RET</v>
      </c>
      <c r="G2940" s="2">
        <v>5835.91</v>
      </c>
      <c r="H2940" t="str">
        <f>"TEXAS COUNTY  DISTRICT RET"</f>
        <v>TEXAS COUNTY  DISTRICT RET</v>
      </c>
    </row>
    <row r="2941" spans="5:8" x14ac:dyDescent="0.25">
      <c r="E2941" t="str">
        <f>""</f>
        <v/>
      </c>
      <c r="F2941" t="str">
        <f>""</f>
        <v/>
      </c>
      <c r="H2941" t="str">
        <f>"TEXAS COUNTY  DISTRICT RET"</f>
        <v>TEXAS COUNTY  DISTRICT RET</v>
      </c>
    </row>
    <row r="2942" spans="5:8" x14ac:dyDescent="0.25">
      <c r="E2942" t="str">
        <f>"RET201908071044"</f>
        <v>RET201908071044</v>
      </c>
      <c r="F2942" t="str">
        <f>"TEXAS COUNTY &amp; DISTRICT RET"</f>
        <v>TEXAS COUNTY &amp; DISTRICT RET</v>
      </c>
      <c r="G2942" s="2">
        <v>7502.76</v>
      </c>
      <c r="H2942" t="str">
        <f t="shared" ref="H2942:H2973" si="59">"TEXAS COUNTY &amp; DISTRICT RET"</f>
        <v>TEXAS COUNTY &amp; DISTRICT RET</v>
      </c>
    </row>
    <row r="2943" spans="5:8" x14ac:dyDescent="0.25">
      <c r="E2943" t="str">
        <f>""</f>
        <v/>
      </c>
      <c r="F2943" t="str">
        <f>""</f>
        <v/>
      </c>
      <c r="H2943" t="str">
        <f t="shared" si="59"/>
        <v>TEXAS COUNTY &amp; DISTRICT RET</v>
      </c>
    </row>
    <row r="2944" spans="5:8" x14ac:dyDescent="0.25">
      <c r="E2944" t="str">
        <f>"RET201908201222"</f>
        <v>RET201908201222</v>
      </c>
      <c r="F2944" t="str">
        <f>"TEXAS COUNTY &amp; DISTRICT RET"</f>
        <v>TEXAS COUNTY &amp; DISTRICT RET</v>
      </c>
      <c r="G2944" s="2">
        <v>156682.9</v>
      </c>
      <c r="H2944" t="str">
        <f t="shared" si="59"/>
        <v>TEXAS COUNTY &amp; DISTRICT RET</v>
      </c>
    </row>
    <row r="2945" spans="5:8" x14ac:dyDescent="0.25">
      <c r="E2945" t="str">
        <f>""</f>
        <v/>
      </c>
      <c r="F2945" t="str">
        <f>""</f>
        <v/>
      </c>
      <c r="H2945" t="str">
        <f t="shared" si="59"/>
        <v>TEXAS COUNTY &amp; DISTRICT RET</v>
      </c>
    </row>
    <row r="2946" spans="5:8" x14ac:dyDescent="0.25">
      <c r="E2946" t="str">
        <f>""</f>
        <v/>
      </c>
      <c r="F2946" t="str">
        <f>""</f>
        <v/>
      </c>
      <c r="H2946" t="str">
        <f t="shared" si="59"/>
        <v>TEXAS COUNTY &amp; DISTRICT RET</v>
      </c>
    </row>
    <row r="2947" spans="5:8" x14ac:dyDescent="0.25">
      <c r="E2947" t="str">
        <f>""</f>
        <v/>
      </c>
      <c r="F2947" t="str">
        <f>""</f>
        <v/>
      </c>
      <c r="H2947" t="str">
        <f t="shared" si="59"/>
        <v>TEXAS COUNTY &amp; DISTRICT RET</v>
      </c>
    </row>
    <row r="2948" spans="5:8" x14ac:dyDescent="0.25">
      <c r="E2948" t="str">
        <f>""</f>
        <v/>
      </c>
      <c r="F2948" t="str">
        <f>""</f>
        <v/>
      </c>
      <c r="H2948" t="str">
        <f t="shared" si="59"/>
        <v>TEXAS COUNTY &amp; DISTRICT RET</v>
      </c>
    </row>
    <row r="2949" spans="5:8" x14ac:dyDescent="0.25">
      <c r="E2949" t="str">
        <f>""</f>
        <v/>
      </c>
      <c r="F2949" t="str">
        <f>""</f>
        <v/>
      </c>
      <c r="H2949" t="str">
        <f t="shared" si="59"/>
        <v>TEXAS COUNTY &amp; DISTRICT RET</v>
      </c>
    </row>
    <row r="2950" spans="5:8" x14ac:dyDescent="0.25">
      <c r="E2950" t="str">
        <f>""</f>
        <v/>
      </c>
      <c r="F2950" t="str">
        <f>""</f>
        <v/>
      </c>
      <c r="H2950" t="str">
        <f t="shared" si="59"/>
        <v>TEXAS COUNTY &amp; DISTRICT RET</v>
      </c>
    </row>
    <row r="2951" spans="5:8" x14ac:dyDescent="0.25">
      <c r="E2951" t="str">
        <f>""</f>
        <v/>
      </c>
      <c r="F2951" t="str">
        <f>""</f>
        <v/>
      </c>
      <c r="H2951" t="str">
        <f t="shared" si="59"/>
        <v>TEXAS COUNTY &amp; DISTRICT RET</v>
      </c>
    </row>
    <row r="2952" spans="5:8" x14ac:dyDescent="0.25">
      <c r="E2952" t="str">
        <f>""</f>
        <v/>
      </c>
      <c r="F2952" t="str">
        <f>""</f>
        <v/>
      </c>
      <c r="H2952" t="str">
        <f t="shared" si="59"/>
        <v>TEXAS COUNTY &amp; DISTRICT RET</v>
      </c>
    </row>
    <row r="2953" spans="5:8" x14ac:dyDescent="0.25">
      <c r="E2953" t="str">
        <f>""</f>
        <v/>
      </c>
      <c r="F2953" t="str">
        <f>""</f>
        <v/>
      </c>
      <c r="H2953" t="str">
        <f t="shared" si="59"/>
        <v>TEXAS COUNTY &amp; DISTRICT RET</v>
      </c>
    </row>
    <row r="2954" spans="5:8" x14ac:dyDescent="0.25">
      <c r="E2954" t="str">
        <f>""</f>
        <v/>
      </c>
      <c r="F2954" t="str">
        <f>""</f>
        <v/>
      </c>
      <c r="H2954" t="str">
        <f t="shared" si="59"/>
        <v>TEXAS COUNTY &amp; DISTRICT RET</v>
      </c>
    </row>
    <row r="2955" spans="5:8" x14ac:dyDescent="0.25">
      <c r="E2955" t="str">
        <f>""</f>
        <v/>
      </c>
      <c r="F2955" t="str">
        <f>""</f>
        <v/>
      </c>
      <c r="H2955" t="str">
        <f t="shared" si="59"/>
        <v>TEXAS COUNTY &amp; DISTRICT RET</v>
      </c>
    </row>
    <row r="2956" spans="5:8" x14ac:dyDescent="0.25">
      <c r="E2956" t="str">
        <f>""</f>
        <v/>
      </c>
      <c r="F2956" t="str">
        <f>""</f>
        <v/>
      </c>
      <c r="H2956" t="str">
        <f t="shared" si="59"/>
        <v>TEXAS COUNTY &amp; DISTRICT RET</v>
      </c>
    </row>
    <row r="2957" spans="5:8" x14ac:dyDescent="0.25">
      <c r="E2957" t="str">
        <f>""</f>
        <v/>
      </c>
      <c r="F2957" t="str">
        <f>""</f>
        <v/>
      </c>
      <c r="H2957" t="str">
        <f t="shared" si="59"/>
        <v>TEXAS COUNTY &amp; DISTRICT RET</v>
      </c>
    </row>
    <row r="2958" spans="5:8" x14ac:dyDescent="0.25">
      <c r="E2958" t="str">
        <f>""</f>
        <v/>
      </c>
      <c r="F2958" t="str">
        <f>""</f>
        <v/>
      </c>
      <c r="H2958" t="str">
        <f t="shared" si="59"/>
        <v>TEXAS COUNTY &amp; DISTRICT RET</v>
      </c>
    </row>
    <row r="2959" spans="5:8" x14ac:dyDescent="0.25">
      <c r="E2959" t="str">
        <f>""</f>
        <v/>
      </c>
      <c r="F2959" t="str">
        <f>""</f>
        <v/>
      </c>
      <c r="H2959" t="str">
        <f t="shared" si="59"/>
        <v>TEXAS COUNTY &amp; DISTRICT RET</v>
      </c>
    </row>
    <row r="2960" spans="5:8" x14ac:dyDescent="0.25">
      <c r="E2960" t="str">
        <f>""</f>
        <v/>
      </c>
      <c r="F2960" t="str">
        <f>""</f>
        <v/>
      </c>
      <c r="H2960" t="str">
        <f t="shared" si="59"/>
        <v>TEXAS COUNTY &amp; DISTRICT RET</v>
      </c>
    </row>
    <row r="2961" spans="5:8" x14ac:dyDescent="0.25">
      <c r="E2961" t="str">
        <f>""</f>
        <v/>
      </c>
      <c r="F2961" t="str">
        <f>""</f>
        <v/>
      </c>
      <c r="H2961" t="str">
        <f t="shared" si="59"/>
        <v>TEXAS COUNTY &amp; DISTRICT RET</v>
      </c>
    </row>
    <row r="2962" spans="5:8" x14ac:dyDescent="0.25">
      <c r="E2962" t="str">
        <f>""</f>
        <v/>
      </c>
      <c r="F2962" t="str">
        <f>""</f>
        <v/>
      </c>
      <c r="H2962" t="str">
        <f t="shared" si="59"/>
        <v>TEXAS COUNTY &amp; DISTRICT RET</v>
      </c>
    </row>
    <row r="2963" spans="5:8" x14ac:dyDescent="0.25">
      <c r="E2963" t="str">
        <f>""</f>
        <v/>
      </c>
      <c r="F2963" t="str">
        <f>""</f>
        <v/>
      </c>
      <c r="H2963" t="str">
        <f t="shared" si="59"/>
        <v>TEXAS COUNTY &amp; DISTRICT RET</v>
      </c>
    </row>
    <row r="2964" spans="5:8" x14ac:dyDescent="0.25">
      <c r="E2964" t="str">
        <f>""</f>
        <v/>
      </c>
      <c r="F2964" t="str">
        <f>""</f>
        <v/>
      </c>
      <c r="H2964" t="str">
        <f t="shared" si="59"/>
        <v>TEXAS COUNTY &amp; DISTRICT RET</v>
      </c>
    </row>
    <row r="2965" spans="5:8" x14ac:dyDescent="0.25">
      <c r="E2965" t="str">
        <f>""</f>
        <v/>
      </c>
      <c r="F2965" t="str">
        <f>""</f>
        <v/>
      </c>
      <c r="H2965" t="str">
        <f t="shared" si="59"/>
        <v>TEXAS COUNTY &amp; DISTRICT RET</v>
      </c>
    </row>
    <row r="2966" spans="5:8" x14ac:dyDescent="0.25">
      <c r="E2966" t="str">
        <f>""</f>
        <v/>
      </c>
      <c r="F2966" t="str">
        <f>""</f>
        <v/>
      </c>
      <c r="H2966" t="str">
        <f t="shared" si="59"/>
        <v>TEXAS COUNTY &amp; DISTRICT RET</v>
      </c>
    </row>
    <row r="2967" spans="5:8" x14ac:dyDescent="0.25">
      <c r="E2967" t="str">
        <f>""</f>
        <v/>
      </c>
      <c r="F2967" t="str">
        <f>""</f>
        <v/>
      </c>
      <c r="H2967" t="str">
        <f t="shared" si="59"/>
        <v>TEXAS COUNTY &amp; DISTRICT RET</v>
      </c>
    </row>
    <row r="2968" spans="5:8" x14ac:dyDescent="0.25">
      <c r="E2968" t="str">
        <f>""</f>
        <v/>
      </c>
      <c r="F2968" t="str">
        <f>""</f>
        <v/>
      </c>
      <c r="H2968" t="str">
        <f t="shared" si="59"/>
        <v>TEXAS COUNTY &amp; DISTRICT RET</v>
      </c>
    </row>
    <row r="2969" spans="5:8" x14ac:dyDescent="0.25">
      <c r="E2969" t="str">
        <f>""</f>
        <v/>
      </c>
      <c r="F2969" t="str">
        <f>""</f>
        <v/>
      </c>
      <c r="H2969" t="str">
        <f t="shared" si="59"/>
        <v>TEXAS COUNTY &amp; DISTRICT RET</v>
      </c>
    </row>
    <row r="2970" spans="5:8" x14ac:dyDescent="0.25">
      <c r="E2970" t="str">
        <f>""</f>
        <v/>
      </c>
      <c r="F2970" t="str">
        <f>""</f>
        <v/>
      </c>
      <c r="H2970" t="str">
        <f t="shared" si="59"/>
        <v>TEXAS COUNTY &amp; DISTRICT RET</v>
      </c>
    </row>
    <row r="2971" spans="5:8" x14ac:dyDescent="0.25">
      <c r="E2971" t="str">
        <f>""</f>
        <v/>
      </c>
      <c r="F2971" t="str">
        <f>""</f>
        <v/>
      </c>
      <c r="H2971" t="str">
        <f t="shared" si="59"/>
        <v>TEXAS COUNTY &amp; DISTRICT RET</v>
      </c>
    </row>
    <row r="2972" spans="5:8" x14ac:dyDescent="0.25">
      <c r="E2972" t="str">
        <f>""</f>
        <v/>
      </c>
      <c r="F2972" t="str">
        <f>""</f>
        <v/>
      </c>
      <c r="H2972" t="str">
        <f t="shared" si="59"/>
        <v>TEXAS COUNTY &amp; DISTRICT RET</v>
      </c>
    </row>
    <row r="2973" spans="5:8" x14ac:dyDescent="0.25">
      <c r="E2973" t="str">
        <f>""</f>
        <v/>
      </c>
      <c r="F2973" t="str">
        <f>""</f>
        <v/>
      </c>
      <c r="H2973" t="str">
        <f t="shared" si="59"/>
        <v>TEXAS COUNTY &amp; DISTRICT RET</v>
      </c>
    </row>
    <row r="2974" spans="5:8" x14ac:dyDescent="0.25">
      <c r="E2974" t="str">
        <f>""</f>
        <v/>
      </c>
      <c r="F2974" t="str">
        <f>""</f>
        <v/>
      </c>
      <c r="H2974" t="str">
        <f t="shared" ref="H2974:H2993" si="60">"TEXAS COUNTY &amp; DISTRICT RET"</f>
        <v>TEXAS COUNTY &amp; DISTRICT RET</v>
      </c>
    </row>
    <row r="2975" spans="5:8" x14ac:dyDescent="0.25">
      <c r="E2975" t="str">
        <f>""</f>
        <v/>
      </c>
      <c r="F2975" t="str">
        <f>""</f>
        <v/>
      </c>
      <c r="H2975" t="str">
        <f t="shared" si="60"/>
        <v>TEXAS COUNTY &amp; DISTRICT RET</v>
      </c>
    </row>
    <row r="2976" spans="5:8" x14ac:dyDescent="0.25">
      <c r="E2976" t="str">
        <f>""</f>
        <v/>
      </c>
      <c r="F2976" t="str">
        <f>""</f>
        <v/>
      </c>
      <c r="H2976" t="str">
        <f t="shared" si="60"/>
        <v>TEXAS COUNTY &amp; DISTRICT RET</v>
      </c>
    </row>
    <row r="2977" spans="5:8" x14ac:dyDescent="0.25">
      <c r="E2977" t="str">
        <f>""</f>
        <v/>
      </c>
      <c r="F2977" t="str">
        <f>""</f>
        <v/>
      </c>
      <c r="H2977" t="str">
        <f t="shared" si="60"/>
        <v>TEXAS COUNTY &amp; DISTRICT RET</v>
      </c>
    </row>
    <row r="2978" spans="5:8" x14ac:dyDescent="0.25">
      <c r="E2978" t="str">
        <f>""</f>
        <v/>
      </c>
      <c r="F2978" t="str">
        <f>""</f>
        <v/>
      </c>
      <c r="H2978" t="str">
        <f t="shared" si="60"/>
        <v>TEXAS COUNTY &amp; DISTRICT RET</v>
      </c>
    </row>
    <row r="2979" spans="5:8" x14ac:dyDescent="0.25">
      <c r="E2979" t="str">
        <f>""</f>
        <v/>
      </c>
      <c r="F2979" t="str">
        <f>""</f>
        <v/>
      </c>
      <c r="H2979" t="str">
        <f t="shared" si="60"/>
        <v>TEXAS COUNTY &amp; DISTRICT RET</v>
      </c>
    </row>
    <row r="2980" spans="5:8" x14ac:dyDescent="0.25">
      <c r="E2980" t="str">
        <f>""</f>
        <v/>
      </c>
      <c r="F2980" t="str">
        <f>""</f>
        <v/>
      </c>
      <c r="H2980" t="str">
        <f t="shared" si="60"/>
        <v>TEXAS COUNTY &amp; DISTRICT RET</v>
      </c>
    </row>
    <row r="2981" spans="5:8" x14ac:dyDescent="0.25">
      <c r="E2981" t="str">
        <f>""</f>
        <v/>
      </c>
      <c r="F2981" t="str">
        <f>""</f>
        <v/>
      </c>
      <c r="H2981" t="str">
        <f t="shared" si="60"/>
        <v>TEXAS COUNTY &amp; DISTRICT RET</v>
      </c>
    </row>
    <row r="2982" spans="5:8" x14ac:dyDescent="0.25">
      <c r="E2982" t="str">
        <f>""</f>
        <v/>
      </c>
      <c r="F2982" t="str">
        <f>""</f>
        <v/>
      </c>
      <c r="H2982" t="str">
        <f t="shared" si="60"/>
        <v>TEXAS COUNTY &amp; DISTRICT RET</v>
      </c>
    </row>
    <row r="2983" spans="5:8" x14ac:dyDescent="0.25">
      <c r="E2983" t="str">
        <f>""</f>
        <v/>
      </c>
      <c r="F2983" t="str">
        <f>""</f>
        <v/>
      </c>
      <c r="H2983" t="str">
        <f t="shared" si="60"/>
        <v>TEXAS COUNTY &amp; DISTRICT RET</v>
      </c>
    </row>
    <row r="2984" spans="5:8" x14ac:dyDescent="0.25">
      <c r="E2984" t="str">
        <f>""</f>
        <v/>
      </c>
      <c r="F2984" t="str">
        <f>""</f>
        <v/>
      </c>
      <c r="H2984" t="str">
        <f t="shared" si="60"/>
        <v>TEXAS COUNTY &amp; DISTRICT RET</v>
      </c>
    </row>
    <row r="2985" spans="5:8" x14ac:dyDescent="0.25">
      <c r="E2985" t="str">
        <f>""</f>
        <v/>
      </c>
      <c r="F2985" t="str">
        <f>""</f>
        <v/>
      </c>
      <c r="H2985" t="str">
        <f t="shared" si="60"/>
        <v>TEXAS COUNTY &amp; DISTRICT RET</v>
      </c>
    </row>
    <row r="2986" spans="5:8" x14ac:dyDescent="0.25">
      <c r="E2986" t="str">
        <f>""</f>
        <v/>
      </c>
      <c r="F2986" t="str">
        <f>""</f>
        <v/>
      </c>
      <c r="H2986" t="str">
        <f t="shared" si="60"/>
        <v>TEXAS COUNTY &amp; DISTRICT RET</v>
      </c>
    </row>
    <row r="2987" spans="5:8" x14ac:dyDescent="0.25">
      <c r="E2987" t="str">
        <f>""</f>
        <v/>
      </c>
      <c r="F2987" t="str">
        <f>""</f>
        <v/>
      </c>
      <c r="H2987" t="str">
        <f t="shared" si="60"/>
        <v>TEXAS COUNTY &amp; DISTRICT RET</v>
      </c>
    </row>
    <row r="2988" spans="5:8" x14ac:dyDescent="0.25">
      <c r="E2988" t="str">
        <f>""</f>
        <v/>
      </c>
      <c r="F2988" t="str">
        <f>""</f>
        <v/>
      </c>
      <c r="H2988" t="str">
        <f t="shared" si="60"/>
        <v>TEXAS COUNTY &amp; DISTRICT RET</v>
      </c>
    </row>
    <row r="2989" spans="5:8" x14ac:dyDescent="0.25">
      <c r="E2989" t="str">
        <f>""</f>
        <v/>
      </c>
      <c r="F2989" t="str">
        <f>""</f>
        <v/>
      </c>
      <c r="H2989" t="str">
        <f t="shared" si="60"/>
        <v>TEXAS COUNTY &amp; DISTRICT RET</v>
      </c>
    </row>
    <row r="2990" spans="5:8" x14ac:dyDescent="0.25">
      <c r="E2990" t="str">
        <f>""</f>
        <v/>
      </c>
      <c r="F2990" t="str">
        <f>""</f>
        <v/>
      </c>
      <c r="H2990" t="str">
        <f t="shared" si="60"/>
        <v>TEXAS COUNTY &amp; DISTRICT RET</v>
      </c>
    </row>
    <row r="2991" spans="5:8" x14ac:dyDescent="0.25">
      <c r="E2991" t="str">
        <f>""</f>
        <v/>
      </c>
      <c r="F2991" t="str">
        <f>""</f>
        <v/>
      </c>
      <c r="H2991" t="str">
        <f t="shared" si="60"/>
        <v>TEXAS COUNTY &amp; DISTRICT RET</v>
      </c>
    </row>
    <row r="2992" spans="5:8" x14ac:dyDescent="0.25">
      <c r="E2992" t="str">
        <f>""</f>
        <v/>
      </c>
      <c r="F2992" t="str">
        <f>""</f>
        <v/>
      </c>
      <c r="H2992" t="str">
        <f t="shared" si="60"/>
        <v>TEXAS COUNTY &amp; DISTRICT RET</v>
      </c>
    </row>
    <row r="2993" spans="1:8" x14ac:dyDescent="0.25">
      <c r="E2993" t="str">
        <f>""</f>
        <v/>
      </c>
      <c r="F2993" t="str">
        <f>""</f>
        <v/>
      </c>
      <c r="H2993" t="str">
        <f t="shared" si="60"/>
        <v>TEXAS COUNTY &amp; DISTRICT RET</v>
      </c>
    </row>
    <row r="2994" spans="1:8" x14ac:dyDescent="0.25">
      <c r="E2994" t="str">
        <f>"RET201908201223"</f>
        <v>RET201908201223</v>
      </c>
      <c r="F2994" t="str">
        <f>"TEXAS COUNTY  DISTRICT RET"</f>
        <v>TEXAS COUNTY  DISTRICT RET</v>
      </c>
      <c r="G2994" s="2">
        <v>6172.64</v>
      </c>
      <c r="H2994" t="str">
        <f>"TEXAS COUNTY  DISTRICT RET"</f>
        <v>TEXAS COUNTY  DISTRICT RET</v>
      </c>
    </row>
    <row r="2995" spans="1:8" x14ac:dyDescent="0.25">
      <c r="E2995" t="str">
        <f>""</f>
        <v/>
      </c>
      <c r="F2995" t="str">
        <f>""</f>
        <v/>
      </c>
      <c r="H2995" t="str">
        <f>"TEXAS COUNTY  DISTRICT RET"</f>
        <v>TEXAS COUNTY  DISTRICT RET</v>
      </c>
    </row>
    <row r="2996" spans="1:8" x14ac:dyDescent="0.25">
      <c r="E2996" t="str">
        <f>"RET201908201224"</f>
        <v>RET201908201224</v>
      </c>
      <c r="F2996" t="str">
        <f>"TEXAS COUNTY &amp; DISTRICT RET"</f>
        <v>TEXAS COUNTY &amp; DISTRICT RET</v>
      </c>
      <c r="G2996" s="2">
        <v>7948.87</v>
      </c>
      <c r="H2996" t="str">
        <f>"TEXAS COUNTY &amp; DISTRICT RET"</f>
        <v>TEXAS COUNTY &amp; DISTRICT RET</v>
      </c>
    </row>
    <row r="2997" spans="1:8" x14ac:dyDescent="0.25">
      <c r="E2997" t="str">
        <f>""</f>
        <v/>
      </c>
      <c r="F2997" t="str">
        <f>""</f>
        <v/>
      </c>
      <c r="H2997" t="str">
        <f>"TEXAS COUNTY &amp; DISTRICT RET"</f>
        <v>TEXAS COUNTY &amp; DISTRICT RET</v>
      </c>
    </row>
    <row r="2998" spans="1:8" x14ac:dyDescent="0.25">
      <c r="A2998" t="s">
        <v>517</v>
      </c>
      <c r="B2998">
        <v>47596</v>
      </c>
      <c r="C2998" s="2">
        <v>1305</v>
      </c>
      <c r="D2998" s="1">
        <v>43705</v>
      </c>
      <c r="E2998" t="str">
        <f>"201908281335"</f>
        <v>201908281335</v>
      </c>
      <c r="F2998" t="str">
        <f>"C SCHNEIDER PD FROM CK"</f>
        <v>C SCHNEIDER PD FROM CK</v>
      </c>
      <c r="G2998" s="2">
        <v>7.5</v>
      </c>
      <c r="H2998" t="str">
        <f>"TEXAS LEGAL PROTECTION PLAN IN"</f>
        <v>TEXAS LEGAL PROTECTION PLAN IN</v>
      </c>
    </row>
    <row r="2999" spans="1:8" x14ac:dyDescent="0.25">
      <c r="E2999" t="str">
        <f>"LEG201908071042"</f>
        <v>LEG201908071042</v>
      </c>
      <c r="F2999" t="str">
        <f>"TEXAS LEGAL PROTECTION PLAN"</f>
        <v>TEXAS LEGAL PROTECTION PLAN</v>
      </c>
      <c r="G2999" s="2">
        <v>637.5</v>
      </c>
      <c r="H2999" t="str">
        <f>"TEXAS LEGAL PROTECTION PLAN"</f>
        <v>TEXAS LEGAL PROTECTION PLAN</v>
      </c>
    </row>
    <row r="3000" spans="1:8" x14ac:dyDescent="0.25">
      <c r="E3000" t="str">
        <f>"LEG201908201222"</f>
        <v>LEG201908201222</v>
      </c>
      <c r="F3000" t="str">
        <f>"TEXAS LEGAL PROTECTION PLAN"</f>
        <v>TEXAS LEGAL PROTECTION PLAN</v>
      </c>
      <c r="G3000" s="2">
        <v>660</v>
      </c>
      <c r="H3000" t="str">
        <f>"TEXAS LEGAL PROTECTION PLAN"</f>
        <v>TEXAS LEGAL PROTECTION PLAN</v>
      </c>
    </row>
    <row r="3001" spans="1:8" x14ac:dyDescent="0.25">
      <c r="A3001" t="s">
        <v>518</v>
      </c>
      <c r="B3001">
        <v>47578</v>
      </c>
      <c r="C3001" s="2">
        <v>212.65</v>
      </c>
      <c r="D3001" s="1">
        <v>43686</v>
      </c>
      <c r="E3001" t="str">
        <f>"SL9201908071042"</f>
        <v>SL9201908071042</v>
      </c>
      <c r="F3001" t="str">
        <f>"STUDENT LOAN"</f>
        <v>STUDENT LOAN</v>
      </c>
      <c r="G3001" s="2">
        <v>212.65</v>
      </c>
      <c r="H3001" t="str">
        <f>"STUDENT LOAN"</f>
        <v>STUDENT LOAN</v>
      </c>
    </row>
    <row r="3002" spans="1:8" x14ac:dyDescent="0.25">
      <c r="A3002" t="s">
        <v>518</v>
      </c>
      <c r="B3002">
        <v>47595</v>
      </c>
      <c r="C3002" s="2">
        <v>212.65</v>
      </c>
      <c r="D3002" s="1">
        <v>43700</v>
      </c>
      <c r="E3002" t="str">
        <f>"SL9201908201222"</f>
        <v>SL9201908201222</v>
      </c>
      <c r="F3002" t="str">
        <f>"STUDENT LOAN"</f>
        <v>STUDENT LOAN</v>
      </c>
      <c r="G3002" s="2">
        <v>212.65</v>
      </c>
      <c r="H3002" t="str">
        <f>"STUDENT LOAN"</f>
        <v>STUDENT LOAN</v>
      </c>
    </row>
    <row r="3003" spans="1:8" x14ac:dyDescent="0.25">
      <c r="B3003" s="3" t="s">
        <v>519</v>
      </c>
      <c r="C3003" s="2">
        <f>SUM(C2:C3002)</f>
        <v>3798585.2299999991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AP-CHK-RPT-20191210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2019-12-10T21:17:00Z</dcterms:created>
  <dcterms:modified xsi:type="dcterms:W3CDTF">2019-12-10T21:17:18Z</dcterms:modified>
</cp:coreProperties>
</file>