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190805" sheetId="1" r:id="rId1"/>
  </sheets>
  <calcPr calcId="0"/>
</workbook>
</file>

<file path=xl/calcChain.xml><?xml version="1.0" encoding="utf-8"?>
<calcChain xmlns="http://schemas.openxmlformats.org/spreadsheetml/2006/main">
  <c r="C2704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G39" i="1"/>
  <c r="H39" i="1"/>
  <c r="I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G173" i="1"/>
  <c r="H173" i="1"/>
  <c r="I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G225" i="1"/>
  <c r="H225" i="1"/>
  <c r="I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G375" i="1"/>
  <c r="H375" i="1"/>
  <c r="I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G483" i="1"/>
  <c r="H483" i="1"/>
  <c r="I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G557" i="1"/>
  <c r="H557" i="1"/>
  <c r="I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G642" i="1"/>
  <c r="H642" i="1"/>
  <c r="I642" i="1"/>
  <c r="E643" i="1"/>
  <c r="F643" i="1"/>
  <c r="H643" i="1"/>
  <c r="E644" i="1"/>
  <c r="F644" i="1"/>
  <c r="H644" i="1"/>
  <c r="E645" i="1"/>
  <c r="F645" i="1"/>
  <c r="H645" i="1"/>
  <c r="G646" i="1"/>
  <c r="H646" i="1"/>
  <c r="I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E703" i="1"/>
  <c r="F703" i="1"/>
  <c r="E704" i="1"/>
  <c r="F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G844" i="1"/>
  <c r="H844" i="1"/>
  <c r="I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G934" i="1"/>
  <c r="H934" i="1"/>
  <c r="I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G1041" i="1"/>
  <c r="H1041" i="1"/>
  <c r="I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G1083" i="1"/>
  <c r="H1083" i="1"/>
  <c r="I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G1373" i="1"/>
  <c r="H1373" i="1"/>
  <c r="I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</calcChain>
</file>

<file path=xl/sharedStrings.xml><?xml version="1.0" encoding="utf-8"?>
<sst xmlns="http://schemas.openxmlformats.org/spreadsheetml/2006/main" count="634" uniqueCount="501">
  <si>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</si>
  <si>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</si>
  <si>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</si>
  <si>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</si>
  <si>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</si>
  <si>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</si>
  <si>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</si>
  <si>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</si>
  <si>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</si>
  <si>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3-B EXCAVATION &amp; CONSTRUCTION SERVICES  LLS</t>
  </si>
  <si>
    <t>973 MATERIALS  LLC</t>
  </si>
  <si>
    <t>A PLUS BAIL BONDS</t>
  </si>
  <si>
    <t>ARNOLD OIL COMPANY OF AUSTIN LP</t>
  </si>
  <si>
    <t>A. DAVID AXELRAD  M.D. &amp; ASSOCIATES  P. A.</t>
  </si>
  <si>
    <t>TIMOTHY HALL</t>
  </si>
  <si>
    <t>AAA FIRE &amp; SAFETY EQUIP CO.  INC.</t>
  </si>
  <si>
    <t>AARON GAINER</t>
  </si>
  <si>
    <t>="15</t>
  </si>
  <si>
    <t>840"</t>
  </si>
  <si>
    <t>ADAM DAKOTA ROWINS</t>
  </si>
  <si>
    <t>ADAM MUERY</t>
  </si>
  <si>
    <t>ADENA LEWIS</t>
  </si>
  <si>
    <t>AIR PRO INC</t>
  </si>
  <si>
    <t>AIRGAS INC</t>
  </si>
  <si>
    <t>ALBERT NEAL PFEIFFER</t>
  </si>
  <si>
    <t>ALEJANDRO RODRIGUEZ</t>
  </si>
  <si>
    <t>HERMINIA ALFARO</t>
  </si>
  <si>
    <t>AMANDA BRUCE</t>
  </si>
  <si>
    <t>S &amp; D PLUMBING-GIDDINGS LLC</t>
  </si>
  <si>
    <t>AMAZON CAPITAL SERVICES INC</t>
  </si>
  <si>
    <t>AMAZON.COM LLC</t>
  </si>
  <si>
    <t>AMERICAN FASTENERS  INC.</t>
  </si>
  <si>
    <t>AMERICAN TIRE DISTRIBUTORS INC</t>
  </si>
  <si>
    <t>AMERISOURCEBERGEN</t>
  </si>
  <si>
    <t>ANDERSON &amp; ANDERSON LAW FIRM PC</t>
  </si>
  <si>
    <t>ANIXTER INC</t>
  </si>
  <si>
    <t>C APPLEMAN ENT INC</t>
  </si>
  <si>
    <t>AQUA BEVERAGE COMPANY/OZARKA</t>
  </si>
  <si>
    <t>AQUA WATER SUPPLY CORPORATION</t>
  </si>
  <si>
    <t>ARSENAL ADVERTISING LLC</t>
  </si>
  <si>
    <t>AT &amp; T</t>
  </si>
  <si>
    <t>AT&amp;T</t>
  </si>
  <si>
    <t>AT&amp;T MOBILITY</t>
  </si>
  <si>
    <t>ACCO BRANDS DIRECT</t>
  </si>
  <si>
    <t>THE AUBAINE SUPPLY COMPANY  INC</t>
  </si>
  <si>
    <t>AUSTEX DUMPTERS LLC</t>
  </si>
  <si>
    <t>AUSTIN COUNTY SHERIFF</t>
  </si>
  <si>
    <t>BUTLER &amp; BURNS EAR NOSE &amp; THROAT ASSO</t>
  </si>
  <si>
    <t>AUSTIN FLAG AND FLAGPOLE</t>
  </si>
  <si>
    <t>AUSTIN GASTROENTERLOGY</t>
  </si>
  <si>
    <t>AUSTIN RADIOLOGICAL ASSOC</t>
  </si>
  <si>
    <t>AUSTIN SOUTHWEST ORTHOPAEDIC GROUP</t>
  </si>
  <si>
    <t>BARBARA GOMEZ</t>
  </si>
  <si>
    <t>MICHAEL OLDHAM TIRE INC</t>
  </si>
  <si>
    <t>DEBORAH D. SPARKMAN</t>
  </si>
  <si>
    <t>BASTROP BAIL BONDS</t>
  </si>
  <si>
    <t>BASTROP CHAMBER OF COMMERCE</t>
  </si>
  <si>
    <t>BASTROP COUNTY SHERIFF'S DEPT</t>
  </si>
  <si>
    <t>="11</t>
  </si>
  <si>
    <t>253"</t>
  </si>
  <si>
    <t>DANIEL L HEPKER</t>
  </si>
  <si>
    <t>BASTROP COUNTY CARES</t>
  </si>
  <si>
    <t>BASTROP MEDICAL CLINIC</t>
  </si>
  <si>
    <t>BASTROP PROVIDENCE  LLC</t>
  </si>
  <si>
    <t>BASTROP SIGNS &amp; BANNERS</t>
  </si>
  <si>
    <t>BASTROP TREE SERVICE  INC</t>
  </si>
  <si>
    <t>DAVID H OUTON</t>
  </si>
  <si>
    <t>BELL COUNTY SHERIFF</t>
  </si>
  <si>
    <t>BEN E KEITH CO.</t>
  </si>
  <si>
    <t>MULTI SERVICE TECHNOLOGY SOLUTIONS  INC.</t>
  </si>
  <si>
    <t>B C FOOD GROUP  LLC</t>
  </si>
  <si>
    <t>BETTY YOAST</t>
  </si>
  <si>
    <t>322  06/11/19"</t>
  </si>
  <si>
    <t>MAURINE MC LEAN</t>
  </si>
  <si>
    <t>BILL'S TRUCK &amp; TRAILER INC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</si>
  <si>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</si>
  <si>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</si>
  <si>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</si>
  <si>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</si>
  <si>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</si>
  <si>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BOB BARKER COMPANY  INC.</t>
  </si>
  <si>
    <t>BRAUNTEX MATERIALS INC</t>
  </si>
  <si>
    <t>BRAZORIA COUNTY SHERIFF</t>
  </si>
  <si>
    <t>LAW OFFICE OF BRYAN W. MCDANIEL  P.C.</t>
  </si>
  <si>
    <t>BUREAU OF VITAL STATISTICS</t>
  </si>
  <si>
    <t>BURNET COUNTY SHERIFF</t>
  </si>
  <si>
    <t>CAP FLEET UPFITTERS  LLC</t>
  </si>
  <si>
    <t>CAPITAL AREA COUNCIL OF GOVERNMENTS</t>
  </si>
  <si>
    <t>TIB-THE INDEPENDENT BANKERS BANK</t>
  </si>
  <si>
    <t>CDW GOVERNMENT INC</t>
  </si>
  <si>
    <t>CEN-TEX MARINE FABRICATORS INC</t>
  </si>
  <si>
    <t>CHARLES W CARVER</t>
  </si>
  <si>
    <t>CHECK PLUS STORAGE  LLC</t>
  </si>
  <si>
    <t>CHRIS MATT DILLON</t>
  </si>
  <si>
    <t>CINTAS</t>
  </si>
  <si>
    <t>CINTAS CORPORATION</t>
  </si>
  <si>
    <t>CINTAS CORPORATION #86</t>
  </si>
  <si>
    <t>CITY OF BASTROP</t>
  </si>
  <si>
    <t>CITY OF SMITHVILLE</t>
  </si>
  <si>
    <t>CLIFFORD POWER SYSTEMS INC</t>
  </si>
  <si>
    <t>CLINICAL PATHOLOGY LABORATORIES INC</t>
  </si>
  <si>
    <t>CNA SURETY</t>
  </si>
  <si>
    <t>COMAL COUNTY SHERIFF</t>
  </si>
  <si>
    <t>COMMUNICATION BY HAND LLC</t>
  </si>
  <si>
    <t>COMMUNITY COFFEE COMPANY LLC</t>
  </si>
  <si>
    <t>COMMUNITY HEALTH CENTERS</t>
  </si>
  <si>
    <t>CONNIE CAMERON RABEL</t>
  </si>
  <si>
    <t>CONNIE SCHROEDER</t>
  </si>
  <si>
    <t>="13</t>
  </si>
  <si>
    <t>651  06/27/19"</t>
  </si>
  <si>
    <t>CONTECH ENGINEERED SOLUTIONS INC</t>
  </si>
  <si>
    <t>CONVERGENCE CABLING  INC.</t>
  </si>
  <si>
    <t>COOPER EQUIPMENT CO.</t>
  </si>
  <si>
    <t>COUNTY OF BEXAR - SHERIFF</t>
  </si>
  <si>
    <t>CRESSIDA EVELYN KWOLEK  Ph.D.</t>
  </si>
  <si>
    <t>CUMMINS SOUTHERN PLAINS  LLC</t>
  </si>
  <si>
    <t>CUSTOM PRODUCTS CORPORATION</t>
  </si>
  <si>
    <t>DALLAS COUNTY CONSTABLE PCT 1</t>
  </si>
  <si>
    <t>DAVID B BROOKS</t>
  </si>
  <si>
    <t>DAVID C. FOLKERS  M.D.</t>
  </si>
  <si>
    <t>DAVID CONTI</t>
  </si>
  <si>
    <t>DAVID M COLLINS</t>
  </si>
  <si>
    <t>DELL</t>
  </si>
  <si>
    <t>DENTON COUNTY CONSTABLE #1</t>
  </si>
  <si>
    <t>DENTRUST DENTAL TX PC</t>
  </si>
  <si>
    <t>DEREK DAVIS</t>
  </si>
  <si>
    <t>DICKENS LOCKSMITH INC</t>
  </si>
  <si>
    <t>DEPARTMENT OF INFORMATION RESOURCES</t>
  </si>
  <si>
    <t>THE REINALT - THOMAS CORPORATION</t>
  </si>
  <si>
    <t>DONNA SNOWDEN</t>
  </si>
  <si>
    <t>DONNIE STARK</t>
  </si>
  <si>
    <t>DOOR CONTROL SERVICES INC</t>
  </si>
  <si>
    <t>DOUBLE D INTERNATIONAL FOOD CO.  INC.</t>
  </si>
  <si>
    <t>DOUBLE TUFF TRUCK TARPS INC</t>
  </si>
  <si>
    <t>DUNNE &amp; JUAREZ L.L.C.</t>
  </si>
  <si>
    <t>ECOLAB INC</t>
  </si>
  <si>
    <t>EDUARDO GUERRERO</t>
  </si>
  <si>
    <t>ELECTION SYSTEMS &amp; SOFTWARE INC</t>
  </si>
  <si>
    <t>MILLER CONSULTATIONS &amp; ELECTIONS INC</t>
  </si>
  <si>
    <t>BLACKLANDS PUBLICATIONS INC</t>
  </si>
  <si>
    <t>CITY OF ELGIN UTILITIES</t>
  </si>
  <si>
    <t>ELIZABETH WOODS</t>
  </si>
  <si>
    <t>ELLIOTT ELECTRIC SUPPLY INC</t>
  </si>
  <si>
    <t>ERGON ASPHALT &amp; EMULSIONS INC</t>
  </si>
  <si>
    <t>ERIN NICKEL</t>
  </si>
  <si>
    <t>BASTROP COUNTY WOMEN'S SHELTER</t>
  </si>
  <si>
    <t>FEDERAL EXPRESS</t>
  </si>
  <si>
    <t>FLEETPRIDE</t>
  </si>
  <si>
    <t>FOREMOST COUNTY MUTUAL INS CO</t>
  </si>
  <si>
    <t>347  06/27/19"</t>
  </si>
  <si>
    <t>FORREST L. SANDERSON</t>
  </si>
  <si>
    <t>FORT BEND COUNTY CONSTABLE PCT 2</t>
  </si>
  <si>
    <t>FORT BEND COUNTY CONSTABLE PCT 4</t>
  </si>
  <si>
    <t>FRANCES HUNTER</t>
  </si>
  <si>
    <t>FRED PRYOR SEMINARS</t>
  </si>
  <si>
    <t>AUSTIN TRUCK AND EQUIPMENT  LTD</t>
  </si>
  <si>
    <t>EUGENE W BRIGGS JR</t>
  </si>
  <si>
    <t>GALLS PARENT HOLDINGS LLC</t>
  </si>
  <si>
    <t>GARCIA-SALAYA HUMBERTO</t>
  </si>
  <si>
    <t>GARMENTS TO GO  INC</t>
  </si>
  <si>
    <t>GIPSON PENDERGRASS PEOPLE'S MORTUARY LLC</t>
  </si>
  <si>
    <t>GRAPEVINE DODGE CHRYSLER JEEP  LLC</t>
  </si>
  <si>
    <t>GT DISTRIBUTORS  INC.</t>
  </si>
  <si>
    <t>GTS TECHNOLOGY SOLUTIONS  INC.</t>
  </si>
  <si>
    <t>GULF COAST PAPER CO. INC.</t>
  </si>
  <si>
    <t>HANNAH QUACKENBUSH</t>
  </si>
  <si>
    <t>HARRIS COUNTY CONSTABLE PCT 1</t>
  </si>
  <si>
    <t>HAYLEY STITELER</t>
  </si>
  <si>
    <t>BUTLER ANIMAL HEALTH</t>
  </si>
  <si>
    <t>HERITAGE FOOD SERVICES GROUP</t>
  </si>
  <si>
    <t>HERSHCAP BACKHOE &amp; DITCHING  INC.</t>
  </si>
  <si>
    <t>="10</t>
  </si>
  <si>
    <t>658  06/10/19"</t>
  </si>
  <si>
    <t>HILL COUNTRY ELECTRIC SUPPLY</t>
  </si>
  <si>
    <t>HILLARY LONG</t>
  </si>
  <si>
    <t>BASCOM L HODGES JR</t>
  </si>
  <si>
    <t>HODGSON G ECKEL</t>
  </si>
  <si>
    <t>HOLLY SCHULZ  CSR  RPR</t>
  </si>
  <si>
    <t>BD HOLT CO</t>
  </si>
  <si>
    <t>AMERICAS EQUINE WAREHOUSE  INC.</t>
  </si>
  <si>
    <t>GREGORY LUCAS</t>
  </si>
  <si>
    <t>HYDRAULIC HOUSE INC</t>
  </si>
  <si>
    <t>IDEXX DISTRIBUTION INC</t>
  </si>
  <si>
    <t>INDIGENT HEALTHCARE SOLUTIONS</t>
  </si>
  <si>
    <t>IPC HEALTHCARE SERVICES OF TEXAS</t>
  </si>
  <si>
    <t>IRON MOUNTAIN RECORDS MGMT INC</t>
  </si>
  <si>
    <t>JAMES E. GARON &amp; ASSOC.</t>
  </si>
  <si>
    <t>JAMES O. BURKE</t>
  </si>
  <si>
    <t>JAN LANGER  DVM</t>
  </si>
  <si>
    <t>JAY SHANKAR PRASAD</t>
  </si>
  <si>
    <t>JEFFERSON COUNTY CONSTABLE PCT 6</t>
  </si>
  <si>
    <t>JENKINS &amp; JENKINS LLP</t>
  </si>
  <si>
    <t>JESSICA HERNANDEZ</t>
  </si>
  <si>
    <t>JF FILTRATION INC</t>
  </si>
  <si>
    <t>JOHN DEERE FINANCIAL f.s.b.</t>
  </si>
  <si>
    <t>JORDAN BATTERSBY  MCDONALD</t>
  </si>
  <si>
    <t>JOSE MIGUEL TORRES RODRIGUEZ</t>
  </si>
  <si>
    <t>JUSTIN MATTHEW FOHN</t>
  </si>
  <si>
    <t>KAREN STARKS</t>
  </si>
  <si>
    <t>="8</t>
  </si>
  <si>
    <t>898  06/26/19"</t>
  </si>
  <si>
    <t>KATHY BIRDWELL</t>
  </si>
  <si>
    <t>KAUFFMAN COMPANY</t>
  </si>
  <si>
    <t>KAYLA STEIN</t>
  </si>
  <si>
    <t>KENNETH GONSOULIN</t>
  </si>
  <si>
    <t>="16</t>
  </si>
  <si>
    <t>181  06/14/19"</t>
  </si>
  <si>
    <t>KENT BROUSSARD TOWER RENTAL INC</t>
  </si>
  <si>
    <t>KING'S PORTABLE THRONES</t>
  </si>
  <si>
    <t>KLEIBER FORD TRACTOR  INC.</t>
  </si>
  <si>
    <t>KNIGHT SECURITY SYSTEMS LLC</t>
  </si>
  <si>
    <t>KOETTER FIRE PROTECTION OF AUSTIN  LLC</t>
  </si>
  <si>
    <t>LONGHORN INTERNATIONAL TRUCKS LTD</t>
  </si>
  <si>
    <t>THE LA GRANGE PARTS HOUSE INC</t>
  </si>
  <si>
    <t>LABATT INSTITUTIONAL SUPPLY CO</t>
  </si>
  <si>
    <t>LAURA ROBERTSON</t>
  </si>
  <si>
    <t>LAUREN CONCRETE  INC</t>
  </si>
  <si>
    <t>LEDWELL &amp; SON ENTERPRISES  INC</t>
  </si>
  <si>
    <t>LEE COUNTY WATER SUPPLY CORP</t>
  </si>
  <si>
    <t>LENNOX INDUSTRIES INC</t>
  </si>
  <si>
    <t>LEON SCAIFE</t>
  </si>
  <si>
    <t>LEXISNEXIS RISK DATA MGMT INC</t>
  </si>
  <si>
    <t>LIBERTY COUNTY SHERIFF</t>
  </si>
  <si>
    <t>LIBERTY FLAGS INC</t>
  </si>
  <si>
    <t>LINDA HARMON-TAX ASSESSOR</t>
  </si>
  <si>
    <t>LINDSEY SIMMONS</t>
  </si>
  <si>
    <t>LISA MILLER</t>
  </si>
  <si>
    <t>LONE STAR CIRCLE OF CARE</t>
  </si>
  <si>
    <t>LONNIE LAWRENCE DAVIS JR</t>
  </si>
  <si>
    <t>LOPEZ AUTO CLINIC LLC</t>
  </si>
  <si>
    <t>TRUBAR  LLC</t>
  </si>
  <si>
    <t>LOWE'S</t>
  </si>
  <si>
    <t>MAGIC TOUCH CLEANING SYSTEMS LLC</t>
  </si>
  <si>
    <t>MARIA ANFOSSO</t>
  </si>
  <si>
    <t>MARIO GINTELLA</t>
  </si>
  <si>
    <t>MARK E BOWLES</t>
  </si>
  <si>
    <t>MARK T. MALONE  M.D. P.A</t>
  </si>
  <si>
    <t>JOHN W GASPARINI INC</t>
  </si>
  <si>
    <t>MARY BETH SCOTT</t>
  </si>
  <si>
    <t>MATHESON TRI-GAS INC</t>
  </si>
  <si>
    <t>McCOY'S BUILDING SUPPLY CENTER</t>
  </si>
  <si>
    <t>McCREARY  VESELKA  BRAGG &amp; ALLEN P</t>
  </si>
  <si>
    <t>McKESSON MEDICAL-SURGIVAL GOVERNMENT SOLUTIONS LLC</t>
  </si>
  <si>
    <t>MECHANICAL REPS INC</t>
  </si>
  <si>
    <t>MEDIMPACT HEALTHCARE SYSTEMS INC</t>
  </si>
  <si>
    <t>MEGAN FAITH ANDERSON</t>
  </si>
  <si>
    <t>MEL HAMNER</t>
  </si>
  <si>
    <t>MELLANIE MICKELSON</t>
  </si>
  <si>
    <t>MICHAEL PANZINO</t>
  </si>
  <si>
    <t>MICHELE FRITSCHE C.S.R.</t>
  </si>
  <si>
    <t>MIDTEX MATERIALS</t>
  </si>
  <si>
    <t>MILAM COUNTY SHERIFF</t>
  </si>
  <si>
    <t>ADREA LETRICE BRIDGEMAN</t>
  </si>
  <si>
    <t>JOSEPH EDWARD GRUNINGER</t>
  </si>
  <si>
    <t>JEFFREY RUSSELL KRITZ</t>
  </si>
  <si>
    <t>MICHELLE LYNN HARRIS</t>
  </si>
  <si>
    <t>JOHN MICHAEL COON</t>
  </si>
  <si>
    <t>DAVID EARL MCMULLEN</t>
  </si>
  <si>
    <t>ARRION SAVINO ESPINOZA</t>
  </si>
  <si>
    <t>DIXIE ANN KING</t>
  </si>
  <si>
    <t>ROBYNE M TAYLOR</t>
  </si>
  <si>
    <t>MAIRA LORENA GORMAN</t>
  </si>
  <si>
    <t>DANA DENISE GOERTZ</t>
  </si>
  <si>
    <t>JULIE DENISE RHONE</t>
  </si>
  <si>
    <t>JEFFERY LEE TUFFENTSAMER</t>
  </si>
  <si>
    <t>JACOB BOYD HENRY</t>
  </si>
  <si>
    <t>BEN ALLEN HIGGS</t>
  </si>
  <si>
    <t>LINDA MARIE WINKLER</t>
  </si>
  <si>
    <t>SCOTT TYLER TUCKER</t>
  </si>
  <si>
    <t>FABIAN HERNANDEZ-DELGADO</t>
  </si>
  <si>
    <t>ROBERT VINCENT HARPER</t>
  </si>
  <si>
    <t>CHRISTOPHER THOMAS WHITSON</t>
  </si>
  <si>
    <t>TOM GRIEGO</t>
  </si>
  <si>
    <t>GARY LEE SYVERSON</t>
  </si>
  <si>
    <t>ISAAC ARTHUR HERNANDEZ</t>
  </si>
  <si>
    <t>LAURA MILDRED RAYMOND</t>
  </si>
  <si>
    <t>CAMERON JOSEPH BURNS</t>
  </si>
  <si>
    <t>WILLIAM TAYLOR RHODES</t>
  </si>
  <si>
    <t>SCOTT ALAN SYMONDS</t>
  </si>
  <si>
    <t>SARA ILENE TRIBBLE</t>
  </si>
  <si>
    <t>DARIUS ANTHONY LAIRD</t>
  </si>
  <si>
    <t>THOMAS RICHARD GUTHERY</t>
  </si>
  <si>
    <t>CODY RAY SCROGUM</t>
  </si>
  <si>
    <t>LARRY EDWARD OTT</t>
  </si>
  <si>
    <t>MARTIN DALE FINDLEY</t>
  </si>
  <si>
    <t>JEREMY COLE MOSES</t>
  </si>
  <si>
    <t>KAREN LEE BITZER</t>
  </si>
  <si>
    <t>PEGGY MILLER YOUNG</t>
  </si>
  <si>
    <t>TREY A MOLINARI</t>
  </si>
  <si>
    <t>RONALD LEE SOWELL</t>
  </si>
  <si>
    <t>LANCE LEE LEIFERMAN</t>
  </si>
  <si>
    <t>PAULA MAE WITT</t>
  </si>
  <si>
    <t>KIMBERLY ANN MORALES</t>
  </si>
  <si>
    <t>LARRY GENE HANSEN</t>
  </si>
  <si>
    <t>RITA DOROTHY FLOYD</t>
  </si>
  <si>
    <t>ANDRES LEE MARTINEZ</t>
  </si>
  <si>
    <t>LONNY RAY BOSTIC</t>
  </si>
  <si>
    <t>JAMIE DEE FORD</t>
  </si>
  <si>
    <t>ADRIANNA GONZALES HERNANDEZ</t>
  </si>
  <si>
    <t>HAYDEN CHRISTIAN DAVID DICKSON</t>
  </si>
  <si>
    <t>JACK CLIFTON ADAMS</t>
  </si>
  <si>
    <t>KAREN DELENE HAYS</t>
  </si>
  <si>
    <t>GERALDINE ANN MCCOY</t>
  </si>
  <si>
    <t>ELDRICH ALBERT KUNZE JR</t>
  </si>
  <si>
    <t>PAMELA PIPER CRABB</t>
  </si>
  <si>
    <t>CLINTON JAMES MCPHAUL</t>
  </si>
  <si>
    <t>SHERILYN KAATZ KISAMORE</t>
  </si>
  <si>
    <t>STACY ROY CARPENTER JR</t>
  </si>
  <si>
    <t>TIMOTHY DON PHARES</t>
  </si>
  <si>
    <t>GARRETT ANTHONY GUTIERREZ</t>
  </si>
  <si>
    <t>LISA KAY TANTAKSINANUKIJ</t>
  </si>
  <si>
    <t>SCOTT JAY QUINTANILLA</t>
  </si>
  <si>
    <t>DAVID MIGUEL BYRD</t>
  </si>
  <si>
    <t>JOHN JASON LARA</t>
  </si>
  <si>
    <t>JON HAROLD KEENER</t>
  </si>
  <si>
    <t>ANTOINETTE BEATRICE SMITH</t>
  </si>
  <si>
    <t>MAGDELENA LOPEZ PEREZ</t>
  </si>
  <si>
    <t>MARTIN RAY PEREZ</t>
  </si>
  <si>
    <t>DONNA JAYE MEZERA</t>
  </si>
  <si>
    <t>RUSSELL JAY ASH</t>
  </si>
  <si>
    <t>NORMAN LEON KISNER</t>
  </si>
  <si>
    <t>CHRISTOPHER MICHAEL WHATLEY</t>
  </si>
  <si>
    <t>SEAN MICHAEL MONAHAN</t>
  </si>
  <si>
    <t>JUSTIN WAYNE MEUTH</t>
  </si>
  <si>
    <t>RICHARD CARLTON CROW</t>
  </si>
  <si>
    <t>GAILENE BAKER GAMBOL</t>
  </si>
  <si>
    <t>ASHTON E LAFUENTE</t>
  </si>
  <si>
    <t>SOUTHWEST TEXAS EQUIPMENT DIST INC</t>
  </si>
  <si>
    <t>MOISES OR CAROLINE GUERRERO</t>
  </si>
  <si>
    <t>="12</t>
  </si>
  <si>
    <t>851  06/25/19"</t>
  </si>
  <si>
    <t>MONARCH DISPOSAL  LLC</t>
  </si>
  <si>
    <t>MONTGOMERY COUNTY CONSTABLE PCT 1</t>
  </si>
  <si>
    <t>MONTGOMERY COUNTY CONSTABLE PCT 3</t>
  </si>
  <si>
    <t>MOTOROLA INC</t>
  </si>
  <si>
    <t>NALLEY HVAC MECHANICAL LLC</t>
  </si>
  <si>
    <t>NANCY MENDEZ</t>
  </si>
  <si>
    <t>NATIONAL FOOD GROUP INC</t>
  </si>
  <si>
    <t>NORMAN SHARP</t>
  </si>
  <si>
    <t>O'REILLY AUTOMOTIVE  INC.</t>
  </si>
  <si>
    <t>SOUTHERN FOODS GROUP LP</t>
  </si>
  <si>
    <t>OFFICE DEPOT</t>
  </si>
  <si>
    <t>OMNIBASE SERVICES OF TEXAS LP</t>
  </si>
  <si>
    <t>ROGER C. OSBORN</t>
  </si>
  <si>
    <t>OSBURN ASSOCIATES INC.</t>
  </si>
  <si>
    <t>P SQUARED EMULSION PLANTS  LLC</t>
  </si>
  <si>
    <t>PAIGE TRACTORS INC</t>
  </si>
  <si>
    <t>SL PARKER PARTNERSHIP LLC</t>
  </si>
  <si>
    <t>PATHMARK TRAFFIC EQUIPMENT  LLC</t>
  </si>
  <si>
    <t>PATRICIA TREVINO</t>
  </si>
  <si>
    <t>PATRICK ELECTRIC SERVICE</t>
  </si>
  <si>
    <t>PATTERSON  VETERINARY SUPPLY INC</t>
  </si>
  <si>
    <t>PHILIP R DUCLOUX</t>
  </si>
  <si>
    <t>PHILLIP N. SLAUGHTER</t>
  </si>
  <si>
    <t>PITNEY BOWES GLOBAL FINANCIAL SERVICES</t>
  </si>
  <si>
    <t>PM WILSON &amp; ASSOCIATES PLLC</t>
  </si>
  <si>
    <t>POLICE TECHNICAL INC</t>
  </si>
  <si>
    <t>POST OAK HARDWARE  INC.</t>
  </si>
  <si>
    <t>PROGRESSIVE - RESTITUTION ACCT</t>
  </si>
  <si>
    <t>PTS OF AMERICA  LLC</t>
  </si>
  <si>
    <t>RACHEL A BAUER</t>
  </si>
  <si>
    <t>RC HEALTH SERVICES  INC.</t>
  </si>
  <si>
    <t>NESTLE WATERS N AMERICA INC</t>
  </si>
  <si>
    <t>NRG ENERGY INC</t>
  </si>
  <si>
    <t>REPUBLIC TRUCK SALES   PARTS  &amp; REPAIRS LLC</t>
  </si>
  <si>
    <t>REYNOLDS &amp; KEINARTH</t>
  </si>
  <si>
    <t>RIC COLE</t>
  </si>
  <si>
    <t>RICHARD ALLAN DICKMAN JR</t>
  </si>
  <si>
    <t>RICOH USA INC</t>
  </si>
  <si>
    <t>CIT TECHNOLOGY FINANCE</t>
  </si>
  <si>
    <t>MIKE DAVIS</t>
  </si>
  <si>
    <t>ROADRUNNER RADIOLOGY EQUIP LLC</t>
  </si>
  <si>
    <t>ROBERT MADDEN INDUSTRIES LTD</t>
  </si>
  <si>
    <t>ROBERTO C. OSTROWSKI</t>
  </si>
  <si>
    <t>ROCKY ROAD PRINTING</t>
  </si>
  <si>
    <t>ROSE PIETSCH COUNTY CLERK</t>
  </si>
  <si>
    <t>RUSSELL ABEL</t>
  </si>
  <si>
    <t>SAMMY LERMA III MD</t>
  </si>
  <si>
    <t>SETON FAMILY OF HOSPITALS</t>
  </si>
  <si>
    <t>SETON HEALTHCARE SPONSORED PROJECTS</t>
  </si>
  <si>
    <t>SHARON HANCOCK</t>
  </si>
  <si>
    <t>="14</t>
  </si>
  <si>
    <t>962  06/17/19"</t>
  </si>
  <si>
    <t>FERRELLGAS  LP</t>
  </si>
  <si>
    <t>SHERIFFS' ASSOCIATION OF TEXAS</t>
  </si>
  <si>
    <t>SHI GOVERNMENT SOLUTIONS INC.</t>
  </si>
  <si>
    <t>SHOPPA'S FARM SUPPLY</t>
  </si>
  <si>
    <t>SHRED-IT US HOLDCO  INC</t>
  </si>
  <si>
    <t>SIGNATURE SMILES</t>
  </si>
  <si>
    <t>SINGLETON ASSOCIATES  PA</t>
  </si>
  <si>
    <t>SMITH COUNTY SHERIFF</t>
  </si>
  <si>
    <t>SMITH STORES  INC.</t>
  </si>
  <si>
    <t>SMITHVILLE AREA CHAMBER OF COMMERCE</t>
  </si>
  <si>
    <t>SMITHVILLE AUTO PARTS  INC</t>
  </si>
  <si>
    <t>SOLARWINDS</t>
  </si>
  <si>
    <t>SOUTH AUSTIN SURGERY CENTER</t>
  </si>
  <si>
    <t>SOUTHERN TIRE MART LLC</t>
  </si>
  <si>
    <t>DS WATERS OF AMERICA INC</t>
  </si>
  <si>
    <t>SPARKLETTS &amp; SIERRA SPRINGS</t>
  </si>
  <si>
    <t>SPECIALTY VETERINARY PHARMACY INC</t>
  </si>
  <si>
    <t>SPRINT</t>
  </si>
  <si>
    <t>ST DAVID'S HEALTHCARE PARTNERSHIP</t>
  </si>
  <si>
    <t>ST. MARK'S MEDICAL CENTER</t>
  </si>
  <si>
    <t>ST.DAVID'S HEALTHCARE PARTNERSHIP</t>
  </si>
  <si>
    <t>STANDARD INSURANCE AGENCY</t>
  </si>
  <si>
    <t>413"</t>
  </si>
  <si>
    <t>STAPLES ADVANTAGE</t>
  </si>
  <si>
    <t>STATE OF TEXAS</t>
  </si>
  <si>
    <t>STERICYCLE  INC.</t>
  </si>
  <si>
    <t>STEVE GRANADO</t>
  </si>
  <si>
    <t>STEVEN A LOGSDON</t>
  </si>
  <si>
    <t>MATTHEW LEE SULLINS</t>
  </si>
  <si>
    <t>SUN COAST RESOURCES</t>
  </si>
  <si>
    <t>TEXAS ASSN OF CONVENTION &amp; VISITORS BUREAU</t>
  </si>
  <si>
    <t>TAVCO SERVICES INC</t>
  </si>
  <si>
    <t>TAYLOR AUTO ELECTRIC INC.</t>
  </si>
  <si>
    <t>TAYLOR IRON MACHINE WORKS INC.</t>
  </si>
  <si>
    <t>INTERNATIONAL ASSOCIATION OF FIREFIGHTERS</t>
  </si>
  <si>
    <t>TEXAS COUNTY AGRICULTURE AGENTS ASSOC</t>
  </si>
  <si>
    <t>TX COMM ON LAW ENFORCEMENT</t>
  </si>
  <si>
    <t>TEXAS DISTRICT &amp; COUNTY ATTORNEYS ASSOCIATION</t>
  </si>
  <si>
    <t>TEJAS ELEVATOR COMPANY</t>
  </si>
  <si>
    <t>TERRA EXCAVATION &amp; CONSTRUCTION LLC</t>
  </si>
  <si>
    <t>TEX-CON OIL CO</t>
  </si>
  <si>
    <t>TEXAS AGGREGATES  LLC</t>
  </si>
  <si>
    <t>TEXAS AIRSYSTEMS LLC</t>
  </si>
  <si>
    <t>TEXAS ASSOCIATES INSURORS AGENCY</t>
  </si>
  <si>
    <t>TEXAS ASSOCIATION OF COUNTIES</t>
  </si>
  <si>
    <t>TEXAS ASSOCIATION FOR COURT ADMINISTRATION</t>
  </si>
  <si>
    <t>TEXAS ECONOMIC DEVELOPMENT COUNCIL</t>
  </si>
  <si>
    <t>TXFACT  LLC</t>
  </si>
  <si>
    <t>TEXAS NARCOTIC OFFICERS ASSOCIATION</t>
  </si>
  <si>
    <t>TEXAS PARKS &amp; WILDLIFE DEPARTMENT</t>
  </si>
  <si>
    <t>BRETT DENNEY</t>
  </si>
  <si>
    <t>HIGH COUNTRY AUTOMOTIVE  LLC</t>
  </si>
  <si>
    <t>TEXAS VISION CLINIC  PLLC</t>
  </si>
  <si>
    <t>BUG MASTER EXTERMINATING SERVICES  LTD</t>
  </si>
  <si>
    <t>RICHARD NELSON MOORE</t>
  </si>
  <si>
    <t>THE PRODUCT CENTER</t>
  </si>
  <si>
    <t>THE TRAVELERS INDEMNITY COMPANY</t>
  </si>
  <si>
    <t>TIM MAHONEY  ATTORNEY AT LAW  PC</t>
  </si>
  <si>
    <t>TWE-ADVANCE/NEWHOUSE PARTNERSHIP</t>
  </si>
  <si>
    <t>TRACTOR SUPPLY CREDIT PLAN</t>
  </si>
  <si>
    <t>TRANE</t>
  </si>
  <si>
    <t>TRAVIS COUNTY CONSTABLE PCT 5</t>
  </si>
  <si>
    <t>TRAVIS COUNTY MEDICAL EXAMINER</t>
  </si>
  <si>
    <t>KAUFFMAN TIRE</t>
  </si>
  <si>
    <t>SETON FAMILY OF DOCTORS</t>
  </si>
  <si>
    <t>TROY WALTERS</t>
  </si>
  <si>
    <t>TULL FARLEY</t>
  </si>
  <si>
    <t>TVAC-CJD  INC.</t>
  </si>
  <si>
    <t>TWR LIGHTING INC</t>
  </si>
  <si>
    <t>TX COMMISSION ON ENVIRONMENTAL QUALITY</t>
  </si>
  <si>
    <t>TYLER TECHNOLOGIES INC</t>
  </si>
  <si>
    <t>U. S. TRAVEL ASSOCIATION</t>
  </si>
  <si>
    <t>COUFAL-PRATER EQUIPMENT  LLC</t>
  </si>
  <si>
    <t>UNITED REFRIGERATION INC</t>
  </si>
  <si>
    <t>UNITED PARCEL SERVICE</t>
  </si>
  <si>
    <t>TEXAS DEPARTMENT OF STATE HEALTH SERVICES</t>
  </si>
  <si>
    <t>US BANK NA</t>
  </si>
  <si>
    <t>VULCAN  INC.</t>
  </si>
  <si>
    <t>WAGEWORKS INC  FSA/HSA</t>
  </si>
  <si>
    <t>WAL-MART  BASTROP</t>
  </si>
  <si>
    <t>645  06/10/19"</t>
  </si>
  <si>
    <t>WALLER COUNTY ASPHALT INC</t>
  </si>
  <si>
    <t>WASTE CONNECTIONS LONE STAR. INC.</t>
  </si>
  <si>
    <t>WASTE MANAGEMENT OF TEXAS INC</t>
  </si>
  <si>
    <t>WIND KNOT INCORPORATED</t>
  </si>
  <si>
    <t>WILLIAMSON COUNTY CONSTABLE PCT 1</t>
  </si>
  <si>
    <t>WILLIAMSON COUNTY CONSTABLE PCT 4</t>
  </si>
  <si>
    <t>WILLIAMSON COUNTY CONSTABLE PCT 2</t>
  </si>
  <si>
    <t>WJC CONSTRUCTORS SERVICES  LLC</t>
  </si>
  <si>
    <t>DAHILL OFFICE TECHNOLOGY CORPORATION</t>
  </si>
  <si>
    <t>XEROX CORPORATION</t>
  </si>
  <si>
    <t>ZOETIS US LLC</t>
  </si>
  <si>
    <t>BASTROP COUNTY PROBATION DEPT</t>
  </si>
  <si>
    <t>BASTROP INDEPENDENT SCHOOL DISTRICT</t>
  </si>
  <si>
    <t>FIRST NATIONAL BANK</t>
  </si>
  <si>
    <t>LANGFORD COMMUNITY MGMT INC</t>
  </si>
  <si>
    <t>MUSTANG MACHINERY COMPANY LTD</t>
  </si>
  <si>
    <t>RUSS BASSETT CORPORATION</t>
  </si>
  <si>
    <t>SARAH D. JACKSON</t>
  </si>
  <si>
    <t>SPEED FAB-CRETE CORPORATION</t>
  </si>
  <si>
    <t>TREEFOLKS INC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</si>
  <si>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</si>
  <si>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</si>
  <si>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</si>
  <si>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</si>
  <si>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</si>
  <si>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DEBORAH B LANGEHENNIG</t>
  </si>
  <si>
    <t>GUARDIAN</t>
  </si>
  <si>
    <t>IRS-PAYROLL TAXES</t>
  </si>
  <si>
    <t>MICHIGAN STATE DISBURSEMENT UNIT(MiSDU)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</si>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</sst>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04"/>
  <sheetViews>
    <sheetView tabSelected="1" topLeftCell="A2686" workbookViewId="0">
      <selection activeCell="C2705" sqref="C2705"/>
    </sheetView>
  </sheetViews>
  <sheetFormatPr defaultRowHeight="15" x14ac:dyDescent="0.25"/>
  <cols>
    <col min="1" max="1" width="56.7109375" style="1" bestFit="1" customWidth="1"/>
    <col min="2" max="2" width="7.7109375" style="1" bestFit="1" customWidth="1"/>
    <col min="3" max="3" width="14" style="3" bestFit="1" customWidth="1"/>
    <col min="4" max="4" width="10.85546875" style="1" bestFit="1" customWidth="1"/>
    <col min="5" max="5" width="19.5703125" style="1" bestFit="1" customWidth="1"/>
    <col min="6" max="6" width="36" style="1" bestFit="1" customWidth="1"/>
    <col min="7" max="7" width="28" style="3" bestFit="1" customWidth="1"/>
    <col min="8" max="8" width="36" style="1" bestFit="1" customWidth="1"/>
    <col min="9" max="16384" width="9.140625" style="1"/>
  </cols>
  <sheetData>
    <row r="1" spans="1:8" x14ac:dyDescent="0.25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</row>
    <row r="2" spans="1:8" x14ac:dyDescent="0.25">
      <c r="A2" s="1" t="s">
        <v>8</v>
      </c>
      <c r="B2" s="1">
        <v>83081</v>
      </c>
      <c r="C2" s="3">
        <v>150</v>
      </c>
      <c r="D2" s="2">
        <v>43668</v>
      </c>
      <c r="E2" s="1" t="str">
        <f>"201907100400"</f>
        <v>201907100400</v>
      </c>
      <c r="F2" s="1" t="str">
        <f>"REFUND BAIL BOND COUPONS"</f>
        <v>REFUND BAIL BOND COUPONS</v>
      </c>
      <c r="G2" s="3">
        <v>135</v>
      </c>
      <c r="H2" s="1" t="str">
        <f>"REFUND BAIL BOND COUPONS"</f>
        <v>REFUND BAIL BOND COUPONS</v>
      </c>
    </row>
    <row r="3" spans="1:8" x14ac:dyDescent="0.25">
      <c r="E3" s="1" t="str">
        <f>"201907160564"</f>
        <v>201907160564</v>
      </c>
      <c r="F3" s="1" t="str">
        <f>"REFUND COUPON #21647"</f>
        <v>REFUND COUPON #21647</v>
      </c>
      <c r="G3" s="3">
        <v>15</v>
      </c>
      <c r="H3" s="1" t="str">
        <f>"REFUND COUPON #21647"</f>
        <v>REFUND COUPON #21647</v>
      </c>
    </row>
    <row r="4" spans="1:8" x14ac:dyDescent="0.25">
      <c r="A4" s="1" t="s">
        <v>9</v>
      </c>
      <c r="B4" s="1">
        <v>83269</v>
      </c>
      <c r="C4" s="3">
        <v>17870.75</v>
      </c>
      <c r="D4" s="2">
        <v>43668</v>
      </c>
      <c r="E4" s="1" t="str">
        <f>"1215"</f>
        <v>1215</v>
      </c>
      <c r="F4" s="1" t="str">
        <f>"CONTRACT WORK / P2"</f>
        <v>CONTRACT WORK / P2</v>
      </c>
      <c r="G4" s="3">
        <v>17870.75</v>
      </c>
      <c r="H4" s="1" t="str">
        <f>"CONTRACT WORK / P2"</f>
        <v>CONTRACT WORK / P2</v>
      </c>
    </row>
    <row r="5" spans="1:8" x14ac:dyDescent="0.25">
      <c r="A5" s="1" t="s">
        <v>10</v>
      </c>
      <c r="B5" s="1">
        <v>82850</v>
      </c>
      <c r="C5" s="3">
        <v>18911.34</v>
      </c>
      <c r="D5" s="2">
        <v>43654</v>
      </c>
      <c r="E5" s="1" t="str">
        <f>"9725-001-109215"</f>
        <v>9725-001-109215</v>
      </c>
      <c r="F5" s="1" t="str">
        <f t="shared" ref="F5:F13" si="0">"ACCT#9725-001/REC BASE/PCT#2"</f>
        <v>ACCT#9725-001/REC BASE/PCT#2</v>
      </c>
      <c r="G5" s="3">
        <v>614.35</v>
      </c>
      <c r="H5" s="1" t="str">
        <f t="shared" ref="H5:H13" si="1">"ACCT#9725-001/REC BASE/PCT#2"</f>
        <v>ACCT#9725-001/REC BASE/PCT#2</v>
      </c>
    </row>
    <row r="6" spans="1:8" x14ac:dyDescent="0.25">
      <c r="E6" s="1" t="str">
        <f>"9725-001-109250"</f>
        <v>9725-001-109250</v>
      </c>
      <c r="F6" s="1" t="str">
        <f t="shared" si="0"/>
        <v>ACCT#9725-001/REC BASE/PCT#2</v>
      </c>
      <c r="G6" s="3">
        <v>2318.23</v>
      </c>
      <c r="H6" s="1" t="str">
        <f t="shared" si="1"/>
        <v>ACCT#9725-001/REC BASE/PCT#2</v>
      </c>
    </row>
    <row r="7" spans="1:8" x14ac:dyDescent="0.25">
      <c r="E7" s="1" t="str">
        <f>"9725-001-109281"</f>
        <v>9725-001-109281</v>
      </c>
      <c r="F7" s="1" t="str">
        <f t="shared" si="0"/>
        <v>ACCT#9725-001/REC BASE/PCT#2</v>
      </c>
      <c r="G7" s="3">
        <v>2075.87</v>
      </c>
      <c r="H7" s="1" t="str">
        <f t="shared" si="1"/>
        <v>ACCT#9725-001/REC BASE/PCT#2</v>
      </c>
    </row>
    <row r="8" spans="1:8" x14ac:dyDescent="0.25">
      <c r="E8" s="1" t="str">
        <f>"9725-001-109318"</f>
        <v>9725-001-109318</v>
      </c>
      <c r="F8" s="1" t="str">
        <f t="shared" si="0"/>
        <v>ACCT#9725-001/REC BASE/PCT#2</v>
      </c>
      <c r="G8" s="3">
        <v>1072.75</v>
      </c>
      <c r="H8" s="1" t="str">
        <f t="shared" si="1"/>
        <v>ACCT#9725-001/REC BASE/PCT#2</v>
      </c>
    </row>
    <row r="9" spans="1:8" x14ac:dyDescent="0.25">
      <c r="E9" s="1" t="str">
        <f>"9725-001-109360"</f>
        <v>9725-001-109360</v>
      </c>
      <c r="F9" s="1" t="str">
        <f t="shared" si="0"/>
        <v>ACCT#9725-001/REC BASE/PCT#2</v>
      </c>
      <c r="G9" s="3">
        <v>2034.93</v>
      </c>
      <c r="H9" s="1" t="str">
        <f t="shared" si="1"/>
        <v>ACCT#9725-001/REC BASE/PCT#2</v>
      </c>
    </row>
    <row r="10" spans="1:8" x14ac:dyDescent="0.25">
      <c r="E10" s="1" t="str">
        <f>"9725-001-109397"</f>
        <v>9725-001-109397</v>
      </c>
      <c r="F10" s="1" t="str">
        <f t="shared" si="0"/>
        <v>ACCT#9725-001/REC BASE/PCT#2</v>
      </c>
      <c r="G10" s="3">
        <v>3071.63</v>
      </c>
      <c r="H10" s="1" t="str">
        <f t="shared" si="1"/>
        <v>ACCT#9725-001/REC BASE/PCT#2</v>
      </c>
    </row>
    <row r="11" spans="1:8" x14ac:dyDescent="0.25">
      <c r="E11" s="1" t="str">
        <f>"9725-001-109420"</f>
        <v>9725-001-109420</v>
      </c>
      <c r="F11" s="1" t="str">
        <f t="shared" si="0"/>
        <v>ACCT#9725-001/REC BASE/PCT#2</v>
      </c>
      <c r="G11" s="3">
        <v>2303.63</v>
      </c>
      <c r="H11" s="1" t="str">
        <f t="shared" si="1"/>
        <v>ACCT#9725-001/REC BASE/PCT#2</v>
      </c>
    </row>
    <row r="12" spans="1:8" x14ac:dyDescent="0.25">
      <c r="E12" s="1" t="str">
        <f>"9725-001-109451"</f>
        <v>9725-001-109451</v>
      </c>
      <c r="F12" s="1" t="str">
        <f t="shared" si="0"/>
        <v>ACCT#9725-001/REC BASE/PCT#2</v>
      </c>
      <c r="G12" s="3">
        <v>1273.05</v>
      </c>
      <c r="H12" s="1" t="str">
        <f t="shared" si="1"/>
        <v>ACCT#9725-001/REC BASE/PCT#2</v>
      </c>
    </row>
    <row r="13" spans="1:8" x14ac:dyDescent="0.25">
      <c r="E13" s="1" t="str">
        <f>"9725-001-109483"</f>
        <v>9725-001-109483</v>
      </c>
      <c r="F13" s="1" t="str">
        <f t="shared" si="0"/>
        <v>ACCT#9725-001/REC BASE/PCT#2</v>
      </c>
      <c r="G13" s="3">
        <v>217.35</v>
      </c>
      <c r="H13" s="1" t="str">
        <f t="shared" si="1"/>
        <v>ACCT#9725-001/REC BASE/PCT#2</v>
      </c>
    </row>
    <row r="14" spans="1:8" x14ac:dyDescent="0.25">
      <c r="E14" s="1" t="str">
        <f>"9725-007-109411"</f>
        <v>9725-007-109411</v>
      </c>
      <c r="F14" s="1" t="str">
        <f>"ACCT#9725-007/REC BASE/PCT#4"</f>
        <v>ACCT#9725-007/REC BASE/PCT#4</v>
      </c>
      <c r="G14" s="3">
        <v>1662.76</v>
      </c>
      <c r="H14" s="1" t="str">
        <f>"ACCT#9725-007/REC BASE/PCT#4"</f>
        <v>ACCT#9725-007/REC BASE/PCT#4</v>
      </c>
    </row>
    <row r="15" spans="1:8" x14ac:dyDescent="0.25">
      <c r="E15" s="1" t="str">
        <f>"9725-007-109434"</f>
        <v>9725-007-109434</v>
      </c>
      <c r="F15" s="1" t="str">
        <f>"ACCT#9725-007/REC BASE/PCT#4"</f>
        <v>ACCT#9725-007/REC BASE/PCT#4</v>
      </c>
      <c r="G15" s="3">
        <v>1925.01</v>
      </c>
      <c r="H15" s="1" t="str">
        <f>"ACCT#9725-007/REC BASE/PCT#4"</f>
        <v>ACCT#9725-007/REC BASE/PCT#4</v>
      </c>
    </row>
    <row r="16" spans="1:8" x14ac:dyDescent="0.25">
      <c r="E16" s="1" t="str">
        <f>"9725-007-109463"</f>
        <v>9725-007-109463</v>
      </c>
      <c r="F16" s="1" t="str">
        <f>"ACCT#9725-007/REC BASE/PCT#4"</f>
        <v>ACCT#9725-007/REC BASE/PCT#4</v>
      </c>
      <c r="G16" s="3">
        <v>341.78</v>
      </c>
      <c r="H16" s="1" t="str">
        <f>"ACCT#9725-007/REC BASE/PCT#4"</f>
        <v>ACCT#9725-007/REC BASE/PCT#4</v>
      </c>
    </row>
    <row r="17" spans="1:8" x14ac:dyDescent="0.25">
      <c r="A17" s="1" t="s">
        <v>10</v>
      </c>
      <c r="B17" s="1">
        <v>83082</v>
      </c>
      <c r="C17" s="3">
        <v>15579.05</v>
      </c>
      <c r="D17" s="2">
        <v>43668</v>
      </c>
      <c r="E17" s="1" t="str">
        <f>"9725-001-109527"</f>
        <v>9725-001-109527</v>
      </c>
      <c r="F17" s="1" t="str">
        <f t="shared" ref="F17:F24" si="2">"ACCT#9725-001/REC BASE/PCT#2"</f>
        <v>ACCT#9725-001/REC BASE/PCT#2</v>
      </c>
      <c r="G17" s="3">
        <v>824.77</v>
      </c>
      <c r="H17" s="1" t="str">
        <f t="shared" ref="H17:H24" si="3">"ACCT#9725-001/REC BASE/PCT#2"</f>
        <v>ACCT#9725-001/REC BASE/PCT#2</v>
      </c>
    </row>
    <row r="18" spans="1:8" x14ac:dyDescent="0.25">
      <c r="E18" s="1" t="str">
        <f>"9725-001-109566"</f>
        <v>9725-001-109566</v>
      </c>
      <c r="F18" s="1" t="str">
        <f t="shared" si="2"/>
        <v>ACCT#9725-001/REC BASE/PCT#2</v>
      </c>
      <c r="G18" s="3">
        <v>1062.79</v>
      </c>
      <c r="H18" s="1" t="str">
        <f t="shared" si="3"/>
        <v>ACCT#9725-001/REC BASE/PCT#2</v>
      </c>
    </row>
    <row r="19" spans="1:8" x14ac:dyDescent="0.25">
      <c r="E19" s="1" t="str">
        <f>"9725-001-109602"</f>
        <v>9725-001-109602</v>
      </c>
      <c r="F19" s="1" t="str">
        <f t="shared" si="2"/>
        <v>ACCT#9725-001/REC BASE/PCT#2</v>
      </c>
      <c r="G19" s="3">
        <v>213.24</v>
      </c>
      <c r="H19" s="1" t="str">
        <f t="shared" si="3"/>
        <v>ACCT#9725-001/REC BASE/PCT#2</v>
      </c>
    </row>
    <row r="20" spans="1:8" x14ac:dyDescent="0.25">
      <c r="E20" s="1" t="str">
        <f>"9725-001-109638"</f>
        <v>9725-001-109638</v>
      </c>
      <c r="F20" s="1" t="str">
        <f t="shared" si="2"/>
        <v>ACCT#9725-001/REC BASE/PCT#2</v>
      </c>
      <c r="G20" s="3">
        <v>216.3</v>
      </c>
      <c r="H20" s="1" t="str">
        <f t="shared" si="3"/>
        <v>ACCT#9725-001/REC BASE/PCT#2</v>
      </c>
    </row>
    <row r="21" spans="1:8" x14ac:dyDescent="0.25">
      <c r="E21" s="1" t="str">
        <f>"9725-001-109671"</f>
        <v>9725-001-109671</v>
      </c>
      <c r="F21" s="1" t="str">
        <f t="shared" si="2"/>
        <v>ACCT#9725-001/REC BASE/PCT#2</v>
      </c>
      <c r="G21" s="3">
        <v>2744.19</v>
      </c>
      <c r="H21" s="1" t="str">
        <f t="shared" si="3"/>
        <v>ACCT#9725-001/REC BASE/PCT#2</v>
      </c>
    </row>
    <row r="22" spans="1:8" x14ac:dyDescent="0.25">
      <c r="E22" s="1" t="str">
        <f>"9725-001-109697"</f>
        <v>9725-001-109697</v>
      </c>
      <c r="F22" s="1" t="str">
        <f t="shared" si="2"/>
        <v>ACCT#9725-001/REC BASE/PCT#2</v>
      </c>
      <c r="G22" s="3">
        <v>843.42</v>
      </c>
      <c r="H22" s="1" t="str">
        <f t="shared" si="3"/>
        <v>ACCT#9725-001/REC BASE/PCT#2</v>
      </c>
    </row>
    <row r="23" spans="1:8" x14ac:dyDescent="0.25">
      <c r="E23" s="1" t="str">
        <f>"9725-001-109729"</f>
        <v>9725-001-109729</v>
      </c>
      <c r="F23" s="1" t="str">
        <f t="shared" si="2"/>
        <v>ACCT#9725-001/REC BASE/PCT#2</v>
      </c>
      <c r="G23" s="3">
        <v>665.53</v>
      </c>
      <c r="H23" s="1" t="str">
        <f t="shared" si="3"/>
        <v>ACCT#9725-001/REC BASE/PCT#2</v>
      </c>
    </row>
    <row r="24" spans="1:8" x14ac:dyDescent="0.25">
      <c r="E24" s="1" t="str">
        <f>"9725-001-109777"</f>
        <v>9725-001-109777</v>
      </c>
      <c r="F24" s="1" t="str">
        <f t="shared" si="2"/>
        <v>ACCT#9725-001/REC BASE/PCT#2</v>
      </c>
      <c r="G24" s="3">
        <v>1036.7</v>
      </c>
      <c r="H24" s="1" t="str">
        <f t="shared" si="3"/>
        <v>ACCT#9725-001/REC BASE/PCT#2</v>
      </c>
    </row>
    <row r="25" spans="1:8" x14ac:dyDescent="0.25">
      <c r="E25" s="1" t="str">
        <f>"9725-004-109710"</f>
        <v>9725-004-109710</v>
      </c>
      <c r="F25" s="1" t="str">
        <f>"ACCT#9725-004/REC BASE/PCT#1"</f>
        <v>ACCT#9725-004/REC BASE/PCT#1</v>
      </c>
      <c r="G25" s="3">
        <v>2146.23</v>
      </c>
      <c r="H25" s="1" t="str">
        <f>"ACCT#9725-004/REC BASE/PCT#1"</f>
        <v>ACCT#9725-004/REC BASE/PCT#1</v>
      </c>
    </row>
    <row r="26" spans="1:8" x14ac:dyDescent="0.25">
      <c r="E26" s="1" t="str">
        <f>"9725-004-109744"</f>
        <v>9725-004-109744</v>
      </c>
      <c r="F26" s="1" t="str">
        <f>"ACCT#9725-004/REC BASE/PCT#1"</f>
        <v>ACCT#9725-004/REC BASE/PCT#1</v>
      </c>
      <c r="G26" s="3">
        <v>1348.64</v>
      </c>
      <c r="H26" s="1" t="str">
        <f>"ACCT#9725-004/REC BASE/PCT#1"</f>
        <v>ACCT#9725-004/REC BASE/PCT#1</v>
      </c>
    </row>
    <row r="27" spans="1:8" x14ac:dyDescent="0.25">
      <c r="E27" s="1" t="str">
        <f>"9725-004-109789"</f>
        <v>9725-004-109789</v>
      </c>
      <c r="F27" s="1" t="str">
        <f>"ACCT#9725-004/REC BASE/PCT#1"</f>
        <v>ACCT#9725-004/REC BASE/PCT#1</v>
      </c>
      <c r="G27" s="3">
        <v>730.81</v>
      </c>
      <c r="H27" s="1" t="str">
        <f>"ACCT#9725-004/REC BASE/PCT#1"</f>
        <v>ACCT#9725-004/REC BASE/PCT#1</v>
      </c>
    </row>
    <row r="28" spans="1:8" x14ac:dyDescent="0.25">
      <c r="E28" s="1" t="str">
        <f>"9725-007-109463 -1"</f>
        <v>9725-007-109463 -1</v>
      </c>
      <c r="F28" s="1" t="str">
        <f>"ACCT#9725-007/REC BASE/PCT#4"</f>
        <v>ACCT#9725-007/REC BASE/PCT#4</v>
      </c>
      <c r="G28" s="3">
        <v>208.25</v>
      </c>
      <c r="H28" s="1" t="str">
        <f>"ACCT#9725-007/REC BASE/PCT#4"</f>
        <v>ACCT#9725-007/REC BASE/PCT#4</v>
      </c>
    </row>
    <row r="29" spans="1:8" x14ac:dyDescent="0.25">
      <c r="E29" s="1" t="str">
        <f>"9725-007-109543"</f>
        <v>9725-007-109543</v>
      </c>
      <c r="F29" s="1" t="str">
        <f>"ACCT#9725-007/REC BASE/PCT#4"</f>
        <v>ACCT#9725-007/REC BASE/PCT#4</v>
      </c>
      <c r="G29" s="3">
        <v>1572.92</v>
      </c>
      <c r="H29" s="1" t="str">
        <f>"ACCT#9725-007/REC BASE/PCT#4"</f>
        <v>ACCT#9725-007/REC BASE/PCT#4</v>
      </c>
    </row>
    <row r="30" spans="1:8" x14ac:dyDescent="0.25">
      <c r="E30" s="1" t="str">
        <f>"9725-007-109578"</f>
        <v>9725-007-109578</v>
      </c>
      <c r="F30" s="1" t="str">
        <f>"ACCT#9725-007/REC BASE/PCT#4"</f>
        <v>ACCT#9725-007/REC BASE/PCT#4</v>
      </c>
      <c r="G30" s="3">
        <v>1395.46</v>
      </c>
      <c r="H30" s="1" t="str">
        <f>"ACCT#9725-007/REC BASE/PCT#4"</f>
        <v>ACCT#9725-007/REC BASE/PCT#4</v>
      </c>
    </row>
    <row r="31" spans="1:8" x14ac:dyDescent="0.25">
      <c r="E31" s="1" t="str">
        <f>"9725-007-109614"</f>
        <v>9725-007-109614</v>
      </c>
      <c r="F31" s="1" t="str">
        <f>"ACCT#9725-007/REC BASE/PCT#4"</f>
        <v>ACCT#9725-007/REC BASE/PCT#4</v>
      </c>
      <c r="G31" s="3">
        <v>569.79999999999995</v>
      </c>
      <c r="H31" s="1" t="str">
        <f>"ACCT#9725-007/REC BASE/PCT#4"</f>
        <v>ACCT#9725-007/REC BASE/PCT#4</v>
      </c>
    </row>
    <row r="32" spans="1:8" x14ac:dyDescent="0.25">
      <c r="A32" s="1" t="s">
        <v>11</v>
      </c>
      <c r="B32" s="1">
        <v>82851</v>
      </c>
      <c r="C32" s="3">
        <v>270</v>
      </c>
      <c r="D32" s="2">
        <v>43654</v>
      </c>
      <c r="E32" s="1" t="str">
        <f>"201907010218"</f>
        <v>201907010218</v>
      </c>
      <c r="F32" s="1" t="str">
        <f>"REFUND BAIL BOND COUPONS"</f>
        <v>REFUND BAIL BOND COUPONS</v>
      </c>
      <c r="G32" s="3">
        <v>270</v>
      </c>
      <c r="H32" s="1" t="str">
        <f>"REFUND BAIL BOND COUPONS"</f>
        <v>REFUND BAIL BOND COUPONS</v>
      </c>
    </row>
    <row r="33" spans="1:9" x14ac:dyDescent="0.25">
      <c r="A33" s="1" t="s">
        <v>11</v>
      </c>
      <c r="B33" s="1">
        <v>83083</v>
      </c>
      <c r="C33" s="3">
        <v>15</v>
      </c>
      <c r="D33" s="2">
        <v>43668</v>
      </c>
      <c r="E33" s="1" t="str">
        <f>"201907100401"</f>
        <v>201907100401</v>
      </c>
      <c r="F33" s="1" t="str">
        <f>"REFUND BAIL BOND COUPONS"</f>
        <v>REFUND BAIL BOND COUPONS</v>
      </c>
      <c r="G33" s="3">
        <v>15</v>
      </c>
      <c r="H33" s="1" t="str">
        <f>"REFUND BAIL BOND COUPONS"</f>
        <v>REFUND BAIL BOND COUPONS</v>
      </c>
    </row>
    <row r="34" spans="1:9" x14ac:dyDescent="0.25">
      <c r="A34" s="1" t="s">
        <v>12</v>
      </c>
      <c r="B34" s="1">
        <v>82852</v>
      </c>
      <c r="C34" s="3">
        <v>1476.51</v>
      </c>
      <c r="D34" s="2">
        <v>43654</v>
      </c>
      <c r="E34" s="1" t="str">
        <f>"352504"</f>
        <v>352504</v>
      </c>
      <c r="F34" s="1" t="str">
        <f>"CUST ID:16500/PCT#4"</f>
        <v>CUST ID:16500/PCT#4</v>
      </c>
      <c r="G34" s="3">
        <v>1476.51</v>
      </c>
      <c r="H34" s="1" t="str">
        <f>"CUST ID:16500/PCT#4"</f>
        <v>CUST ID:16500/PCT#4</v>
      </c>
    </row>
    <row r="35" spans="1:9" x14ac:dyDescent="0.25">
      <c r="A35" s="1" t="s">
        <v>13</v>
      </c>
      <c r="B35" s="1">
        <v>82853</v>
      </c>
      <c r="C35" s="3">
        <v>2650</v>
      </c>
      <c r="D35" s="2">
        <v>43654</v>
      </c>
      <c r="E35" s="1" t="str">
        <f>"201906250095"</f>
        <v>201906250095</v>
      </c>
      <c r="F35" s="1" t="str">
        <f>"ACCT#17181002/STATE OF TX VS W"</f>
        <v>ACCT#17181002/STATE OF TX VS W</v>
      </c>
      <c r="G35" s="3">
        <v>2650</v>
      </c>
      <c r="H35" s="1" t="str">
        <f>"ACCT#17181002/STATE OF TX VS W"</f>
        <v>ACCT#17181002/STATE OF TX VS W</v>
      </c>
    </row>
    <row r="36" spans="1:9" x14ac:dyDescent="0.25">
      <c r="A36" s="1" t="s">
        <v>14</v>
      </c>
      <c r="B36" s="1">
        <v>1013</v>
      </c>
      <c r="C36" s="3">
        <v>9320.59</v>
      </c>
      <c r="D36" s="2">
        <v>43655</v>
      </c>
      <c r="E36" s="1" t="str">
        <f>"201906280184"</f>
        <v>201906280184</v>
      </c>
      <c r="F36" s="1" t="str">
        <f>"HAULING EXPS-06/17-06/25/PCT#1"</f>
        <v>HAULING EXPS-06/17-06/25/PCT#1</v>
      </c>
      <c r="G36" s="3">
        <v>4463.95</v>
      </c>
      <c r="H36" s="1" t="str">
        <f>"HAULING EXPS-06/17-06/25/PCT#1"</f>
        <v>HAULING EXPS-06/17-06/25/PCT#1</v>
      </c>
    </row>
    <row r="37" spans="1:9" x14ac:dyDescent="0.25">
      <c r="E37" s="1" t="str">
        <f>"201906280185"</f>
        <v>201906280185</v>
      </c>
      <c r="F37" s="1" t="str">
        <f>"HAULING EXPS-06/17-06/25/PCT#4"</f>
        <v>HAULING EXPS-06/17-06/25/PCT#4</v>
      </c>
      <c r="G37" s="3">
        <v>4856.6400000000003</v>
      </c>
      <c r="H37" s="1" t="str">
        <f>"HAULING EXPS-06/17-06/25/PCT#4"</f>
        <v>HAULING EXPS-06/17-06/25/PCT#4</v>
      </c>
    </row>
    <row r="38" spans="1:9" x14ac:dyDescent="0.25">
      <c r="A38" s="1" t="s">
        <v>15</v>
      </c>
      <c r="B38" s="1">
        <v>83084</v>
      </c>
      <c r="C38" s="3">
        <v>230.5</v>
      </c>
      <c r="D38" s="2">
        <v>43668</v>
      </c>
      <c r="E38" s="1" t="str">
        <f>"316403"</f>
        <v>316403</v>
      </c>
      <c r="F38" s="1" t="str">
        <f>"FIRE EXTINGUISHER MAINT/GEN SV"</f>
        <v>FIRE EXTINGUISHER MAINT/GEN SV</v>
      </c>
      <c r="G38" s="3">
        <v>230.5</v>
      </c>
      <c r="H38" s="1" t="str">
        <f>"FIRE EXTINGUISHER MAINT/GEN SV"</f>
        <v>FIRE EXTINGUISHER MAINT/GEN SV</v>
      </c>
    </row>
    <row r="39" spans="1:9" x14ac:dyDescent="0.25">
      <c r="A39" s="1" t="s">
        <v>16</v>
      </c>
      <c r="B39" s="1">
        <v>83085</v>
      </c>
      <c r="C39" s="3">
        <v>30</v>
      </c>
      <c r="D39" s="2">
        <v>43668</v>
      </c>
      <c r="E39" s="1" t="s">
        <v>17</v>
      </c>
      <c r="F39" s="1" t="s">
        <v>18</v>
      </c>
      <c r="G39" s="3" t="str">
        <f>"OVERPAYMENT"</f>
        <v>OVERPAYMENT</v>
      </c>
      <c r="H39" s="1" t="str">
        <f>"341-7000"</f>
        <v>341-7000</v>
      </c>
      <c r="I39" s="1" t="str">
        <f>""</f>
        <v/>
      </c>
    </row>
    <row r="40" spans="1:9" x14ac:dyDescent="0.25">
      <c r="A40" s="1" t="s">
        <v>19</v>
      </c>
      <c r="B40" s="1">
        <v>83086</v>
      </c>
      <c r="C40" s="3">
        <v>275</v>
      </c>
      <c r="D40" s="2">
        <v>43668</v>
      </c>
      <c r="E40" s="1" t="str">
        <f>"201907150434"</f>
        <v>201907150434</v>
      </c>
      <c r="F40" s="1" t="str">
        <f>"18-19094"</f>
        <v>18-19094</v>
      </c>
      <c r="G40" s="3">
        <v>175</v>
      </c>
      <c r="H40" s="1" t="str">
        <f>"18-19094"</f>
        <v>18-19094</v>
      </c>
    </row>
    <row r="41" spans="1:9" x14ac:dyDescent="0.25">
      <c r="E41" s="1" t="str">
        <f>"201907150435"</f>
        <v>201907150435</v>
      </c>
      <c r="F41" s="1" t="str">
        <f>"18-19182"</f>
        <v>18-19182</v>
      </c>
      <c r="G41" s="3">
        <v>100</v>
      </c>
      <c r="H41" s="1" t="str">
        <f>"18-19182"</f>
        <v>18-19182</v>
      </c>
    </row>
    <row r="42" spans="1:9" x14ac:dyDescent="0.25">
      <c r="A42" s="1" t="s">
        <v>20</v>
      </c>
      <c r="B42" s="1">
        <v>82854</v>
      </c>
      <c r="C42" s="3">
        <v>1900</v>
      </c>
      <c r="D42" s="2">
        <v>43654</v>
      </c>
      <c r="E42" s="1" t="str">
        <f>"201906250093"</f>
        <v>201906250093</v>
      </c>
      <c r="F42" s="1" t="str">
        <f>"20190762"</f>
        <v>20190762</v>
      </c>
      <c r="G42" s="3">
        <v>400</v>
      </c>
      <c r="H42" s="1" t="str">
        <f>"20190762"</f>
        <v>20190762</v>
      </c>
    </row>
    <row r="43" spans="1:9" x14ac:dyDescent="0.25">
      <c r="E43" s="1" t="str">
        <f>"201906270132"</f>
        <v>201906270132</v>
      </c>
      <c r="F43" s="1" t="str">
        <f>"16 885"</f>
        <v>16 885</v>
      </c>
      <c r="G43" s="3">
        <v>200</v>
      </c>
      <c r="H43" s="1" t="str">
        <f>"16 885"</f>
        <v>16 885</v>
      </c>
    </row>
    <row r="44" spans="1:9" x14ac:dyDescent="0.25">
      <c r="E44" s="1" t="str">
        <f>"201906270133"</f>
        <v>201906270133</v>
      </c>
      <c r="F44" s="1" t="str">
        <f>"16 884"</f>
        <v>16 884</v>
      </c>
      <c r="G44" s="3">
        <v>400</v>
      </c>
      <c r="H44" s="1" t="str">
        <f>"16 884"</f>
        <v>16 884</v>
      </c>
    </row>
    <row r="45" spans="1:9" x14ac:dyDescent="0.25">
      <c r="E45" s="1" t="str">
        <f>"201907010217"</f>
        <v>201907010217</v>
      </c>
      <c r="F45" s="1" t="str">
        <f>"16 699  16 700"</f>
        <v>16 699  16 700</v>
      </c>
      <c r="G45" s="3">
        <v>900</v>
      </c>
      <c r="H45" s="1" t="str">
        <f>"16 699"</f>
        <v>16 699</v>
      </c>
    </row>
    <row r="46" spans="1:9" x14ac:dyDescent="0.25">
      <c r="A46" s="1" t="s">
        <v>20</v>
      </c>
      <c r="B46" s="1">
        <v>83087</v>
      </c>
      <c r="C46" s="3">
        <v>250</v>
      </c>
      <c r="D46" s="2">
        <v>43668</v>
      </c>
      <c r="E46" s="1" t="str">
        <f>"201907160591"</f>
        <v>201907160591</v>
      </c>
      <c r="F46" s="1" t="str">
        <f>"19-S-01744"</f>
        <v>19-S-01744</v>
      </c>
      <c r="G46" s="3">
        <v>250</v>
      </c>
      <c r="H46" s="1" t="str">
        <f>"19-S-01744"</f>
        <v>19-S-01744</v>
      </c>
    </row>
    <row r="47" spans="1:9" x14ac:dyDescent="0.25">
      <c r="A47" s="1" t="s">
        <v>21</v>
      </c>
      <c r="B47" s="1">
        <v>1081</v>
      </c>
      <c r="C47" s="3">
        <v>317.51</v>
      </c>
      <c r="D47" s="2">
        <v>43669</v>
      </c>
      <c r="E47" s="1" t="str">
        <f>"201907090303"</f>
        <v>201907090303</v>
      </c>
      <c r="F47" s="1" t="str">
        <f>"TRAVEL ADVANCE-PER DIEM"</f>
        <v>TRAVEL ADVANCE-PER DIEM</v>
      </c>
      <c r="G47" s="3">
        <v>50</v>
      </c>
      <c r="H47" s="1" t="str">
        <f>"TRAVEL ADVANCE-PER DIEM"</f>
        <v>TRAVEL ADVANCE-PER DIEM</v>
      </c>
    </row>
    <row r="48" spans="1:9" x14ac:dyDescent="0.25">
      <c r="E48" s="1" t="str">
        <f>"201907150428"</f>
        <v>201907150428</v>
      </c>
      <c r="F48" s="1" t="str">
        <f>"REIMBURSE-POSTAGE/MARKETING"</f>
        <v>REIMBURSE-POSTAGE/MARKETING</v>
      </c>
      <c r="G48" s="3">
        <v>247.51</v>
      </c>
      <c r="H48" s="1" t="str">
        <f>"REIMBURSE-POSTAGE/MARKETING"</f>
        <v>REIMBURSE-POSTAGE/MARKETING</v>
      </c>
    </row>
    <row r="49" spans="1:8" x14ac:dyDescent="0.25">
      <c r="E49" s="1" t="str">
        <f>"201907150429"</f>
        <v>201907150429</v>
      </c>
      <c r="F49" s="1" t="str">
        <f>"REIMBURSE REGISTRATION"</f>
        <v>REIMBURSE REGISTRATION</v>
      </c>
      <c r="G49" s="3">
        <v>20</v>
      </c>
      <c r="H49" s="1" t="str">
        <f>"REIMBURSE REGISTRATION"</f>
        <v>REIMBURSE REGISTRATION</v>
      </c>
    </row>
    <row r="50" spans="1:8" x14ac:dyDescent="0.25">
      <c r="A50" s="1" t="s">
        <v>22</v>
      </c>
      <c r="B50" s="1">
        <v>83088</v>
      </c>
      <c r="C50" s="3">
        <v>225</v>
      </c>
      <c r="D50" s="2">
        <v>43668</v>
      </c>
      <c r="E50" s="1" t="str">
        <f>"201907090307"</f>
        <v>201907090307</v>
      </c>
      <c r="F50" s="1" t="str">
        <f>"REFUND DEVELOPMENT PERMIT FEE"</f>
        <v>REFUND DEVELOPMENT PERMIT FEE</v>
      </c>
      <c r="G50" s="3">
        <v>225</v>
      </c>
      <c r="H50" s="1" t="str">
        <f>"REFUND DEVELOPMENT PERMIT FEE"</f>
        <v>REFUND DEVELOPMENT PERMIT FEE</v>
      </c>
    </row>
    <row r="51" spans="1:8" x14ac:dyDescent="0.25">
      <c r="A51" s="1" t="s">
        <v>23</v>
      </c>
      <c r="B51" s="1">
        <v>83089</v>
      </c>
      <c r="C51" s="3">
        <v>75.680000000000007</v>
      </c>
      <c r="D51" s="2">
        <v>43668</v>
      </c>
      <c r="E51" s="1" t="str">
        <f>"9090687174"</f>
        <v>9090687174</v>
      </c>
      <c r="F51" s="1" t="str">
        <f>"ORD#1081362732/PCT#2"</f>
        <v>ORD#1081362732/PCT#2</v>
      </c>
      <c r="G51" s="3">
        <v>75.680000000000007</v>
      </c>
      <c r="H51" s="1" t="str">
        <f>"ORD#1081362732/PCT#2"</f>
        <v>ORD#1081362732/PCT#2</v>
      </c>
    </row>
    <row r="52" spans="1:8" x14ac:dyDescent="0.25">
      <c r="A52" s="1" t="s">
        <v>24</v>
      </c>
      <c r="B52" s="1">
        <v>1048</v>
      </c>
      <c r="C52" s="3">
        <v>1700</v>
      </c>
      <c r="D52" s="2">
        <v>43655</v>
      </c>
      <c r="E52" s="1" t="str">
        <f>"201906250085"</f>
        <v>201906250085</v>
      </c>
      <c r="F52" s="1" t="str">
        <f>"16 776"</f>
        <v>16 776</v>
      </c>
      <c r="G52" s="3">
        <v>400</v>
      </c>
      <c r="H52" s="1" t="str">
        <f>"16 776"</f>
        <v>16 776</v>
      </c>
    </row>
    <row r="53" spans="1:8" x14ac:dyDescent="0.25">
      <c r="E53" s="1" t="str">
        <f>"201906270129"</f>
        <v>201906270129</v>
      </c>
      <c r="F53" s="1" t="str">
        <f>"AC-2017-0913"</f>
        <v>AC-2017-0913</v>
      </c>
      <c r="G53" s="3">
        <v>300</v>
      </c>
      <c r="H53" s="1" t="str">
        <f>"AC-2017-0913"</f>
        <v>AC-2017-0913</v>
      </c>
    </row>
    <row r="54" spans="1:8" x14ac:dyDescent="0.25">
      <c r="E54" s="1" t="str">
        <f>"201906270130"</f>
        <v>201906270130</v>
      </c>
      <c r="F54" s="1" t="str">
        <f>"C150017"</f>
        <v>C150017</v>
      </c>
      <c r="G54" s="3">
        <v>300</v>
      </c>
      <c r="H54" s="1" t="str">
        <f>"C150017"</f>
        <v>C150017</v>
      </c>
    </row>
    <row r="55" spans="1:8" x14ac:dyDescent="0.25">
      <c r="E55" s="1" t="str">
        <f>"201906270131"</f>
        <v>201906270131</v>
      </c>
      <c r="F55" s="1" t="str">
        <f>"16845"</f>
        <v>16845</v>
      </c>
      <c r="G55" s="3">
        <v>400</v>
      </c>
      <c r="H55" s="1" t="str">
        <f>"16845"</f>
        <v>16845</v>
      </c>
    </row>
    <row r="56" spans="1:8" x14ac:dyDescent="0.25">
      <c r="E56" s="1" t="str">
        <f>"201907010213"</f>
        <v>201907010213</v>
      </c>
      <c r="F56" s="1" t="str">
        <f>"1187-335"</f>
        <v>1187-335</v>
      </c>
      <c r="G56" s="3">
        <v>100</v>
      </c>
      <c r="H56" s="1" t="str">
        <f>"1187-335"</f>
        <v>1187-335</v>
      </c>
    </row>
    <row r="57" spans="1:8" x14ac:dyDescent="0.25">
      <c r="E57" s="1" t="str">
        <f>"201907010214"</f>
        <v>201907010214</v>
      </c>
      <c r="F57" s="1" t="str">
        <f>"NO CAUSE # LISTED"</f>
        <v>NO CAUSE # LISTED</v>
      </c>
      <c r="G57" s="3">
        <v>200</v>
      </c>
      <c r="H57" s="1" t="str">
        <f>"NO CAUSE # LISTED"</f>
        <v>NO CAUSE # LISTED</v>
      </c>
    </row>
    <row r="58" spans="1:8" x14ac:dyDescent="0.25">
      <c r="A58" s="1" t="s">
        <v>25</v>
      </c>
      <c r="B58" s="1">
        <v>1088</v>
      </c>
      <c r="C58" s="3">
        <v>251.62</v>
      </c>
      <c r="D58" s="2">
        <v>43669</v>
      </c>
      <c r="E58" s="1" t="str">
        <f>"201907150431"</f>
        <v>201907150431</v>
      </c>
      <c r="F58" s="1" t="str">
        <f>"51 925  04/18/2019"</f>
        <v>51 925  04/18/2019</v>
      </c>
      <c r="G58" s="3">
        <v>251.62</v>
      </c>
      <c r="H58" s="1" t="str">
        <f>"51 925"</f>
        <v>51 925</v>
      </c>
    </row>
    <row r="59" spans="1:8" x14ac:dyDescent="0.25">
      <c r="A59" s="1" t="s">
        <v>26</v>
      </c>
      <c r="B59" s="1">
        <v>83090</v>
      </c>
      <c r="C59" s="3">
        <v>800</v>
      </c>
      <c r="D59" s="2">
        <v>43668</v>
      </c>
      <c r="E59" s="1" t="str">
        <f>"201907160553"</f>
        <v>201907160553</v>
      </c>
      <c r="F59" s="1" t="str">
        <f>"Upholstery"</f>
        <v>Upholstery</v>
      </c>
      <c r="G59" s="3">
        <v>800</v>
      </c>
      <c r="H59" s="1" t="str">
        <f>"Fabric"</f>
        <v>Fabric</v>
      </c>
    </row>
    <row r="60" spans="1:8" x14ac:dyDescent="0.25">
      <c r="A60" s="1" t="s">
        <v>27</v>
      </c>
      <c r="B60" s="1">
        <v>83091</v>
      </c>
      <c r="C60" s="3">
        <v>500</v>
      </c>
      <c r="D60" s="2">
        <v>43668</v>
      </c>
      <c r="E60" s="1" t="str">
        <f>"201907170609"</f>
        <v>201907170609</v>
      </c>
      <c r="F60" s="1" t="str">
        <f>"SURGICAL SVCS 07/02"</f>
        <v>SURGICAL SVCS 07/02</v>
      </c>
      <c r="G60" s="3">
        <v>500</v>
      </c>
      <c r="H60" s="1" t="str">
        <f>"SURGICAL SVCS 07/02"</f>
        <v>SURGICAL SVCS 07/02</v>
      </c>
    </row>
    <row r="61" spans="1:8" x14ac:dyDescent="0.25">
      <c r="A61" s="1" t="s">
        <v>28</v>
      </c>
      <c r="B61" s="1">
        <v>82855</v>
      </c>
      <c r="C61" s="3">
        <v>474</v>
      </c>
      <c r="D61" s="2">
        <v>43654</v>
      </c>
      <c r="E61" s="1" t="str">
        <f>"38422"</f>
        <v>38422</v>
      </c>
      <c r="F61" s="1" t="str">
        <f>"RENTAL-601 COOL WATER"</f>
        <v>RENTAL-601 COOL WATER</v>
      </c>
      <c r="G61" s="3">
        <v>215</v>
      </c>
      <c r="H61" s="1" t="str">
        <f>"RENTAL-601 COOL WATER"</f>
        <v>RENTAL-601 COOL WATER</v>
      </c>
    </row>
    <row r="62" spans="1:8" x14ac:dyDescent="0.25">
      <c r="E62" s="1" t="str">
        <f>"38423"</f>
        <v>38423</v>
      </c>
      <c r="F62" s="1" t="str">
        <f>"RENTAL-375 RIVERSIDE"</f>
        <v>RENTAL-375 RIVERSIDE</v>
      </c>
      <c r="G62" s="3">
        <v>259</v>
      </c>
      <c r="H62" s="1" t="str">
        <f>"RENTAL-375 RIVERSIDE"</f>
        <v>RENTAL-375 RIVERSIDE</v>
      </c>
    </row>
    <row r="63" spans="1:8" x14ac:dyDescent="0.25">
      <c r="A63" s="1" t="s">
        <v>29</v>
      </c>
      <c r="B63" s="1">
        <v>1028</v>
      </c>
      <c r="C63" s="3">
        <v>120.38</v>
      </c>
      <c r="D63" s="2">
        <v>43655</v>
      </c>
      <c r="E63" s="1" t="str">
        <f>"1JL4-VQ3F-P63X"</f>
        <v>1JL4-VQ3F-P63X</v>
      </c>
      <c r="F63" s="1" t="str">
        <f>"returned phones cost"</f>
        <v>returned phones cost</v>
      </c>
      <c r="G63" s="3">
        <v>91.9</v>
      </c>
      <c r="H63" s="1" t="str">
        <f>"Inv# 1JL4-VQ3F-P63X"</f>
        <v>Inv# 1JL4-VQ3F-P63X</v>
      </c>
    </row>
    <row r="64" spans="1:8" x14ac:dyDescent="0.25">
      <c r="E64" s="1" t="str">
        <f>""</f>
        <v/>
      </c>
      <c r="F64" s="1" t="str">
        <f>""</f>
        <v/>
      </c>
      <c r="H64" s="1" t="str">
        <f>"CM# 1T1T-6MVD-PJD7"</f>
        <v>CM# 1T1T-6MVD-PJD7</v>
      </c>
    </row>
    <row r="65" spans="1:8" x14ac:dyDescent="0.25">
      <c r="E65" s="1" t="str">
        <f>""</f>
        <v/>
      </c>
      <c r="F65" s="1" t="str">
        <f>""</f>
        <v/>
      </c>
      <c r="H65" s="1" t="str">
        <f>"CM# 1XPR-M9NF-KYKW"</f>
        <v>CM# 1XPR-M9NF-KYKW</v>
      </c>
    </row>
    <row r="66" spans="1:8" x14ac:dyDescent="0.25">
      <c r="E66" s="1" t="str">
        <f>""</f>
        <v/>
      </c>
      <c r="F66" s="1" t="str">
        <f>""</f>
        <v/>
      </c>
      <c r="H66" s="1" t="str">
        <f>"CM# 1XPR-M9NF-KYNN"</f>
        <v>CM# 1XPR-M9NF-KYNN</v>
      </c>
    </row>
    <row r="67" spans="1:8" x14ac:dyDescent="0.25">
      <c r="E67" s="1" t="str">
        <f>""</f>
        <v/>
      </c>
      <c r="F67" s="1" t="str">
        <f>""</f>
        <v/>
      </c>
      <c r="H67" s="1" t="str">
        <f>"CM# 1DK3-9FQW-MQC6"</f>
        <v>CM# 1DK3-9FQW-MQC6</v>
      </c>
    </row>
    <row r="68" spans="1:8" x14ac:dyDescent="0.25">
      <c r="E68" s="1" t="str">
        <f>""</f>
        <v/>
      </c>
      <c r="F68" s="1" t="str">
        <f>""</f>
        <v/>
      </c>
      <c r="H68" s="1" t="str">
        <f>"CM# 1T1T-6MVD-K6FR"</f>
        <v>CM# 1T1T-6MVD-K6FR</v>
      </c>
    </row>
    <row r="69" spans="1:8" x14ac:dyDescent="0.25">
      <c r="E69" s="1" t="str">
        <f>"1YRM-NHP9-K9JJ"</f>
        <v>1YRM-NHP9-K9JJ</v>
      </c>
      <c r="F69" s="1" t="str">
        <f>"Desktop Power Grommet"</f>
        <v>Desktop Power Grommet</v>
      </c>
      <c r="G69" s="3">
        <v>28.48</v>
      </c>
      <c r="H69" s="1" t="str">
        <f>"Desktop Power Grommet"</f>
        <v>Desktop Power Grommet</v>
      </c>
    </row>
    <row r="70" spans="1:8" x14ac:dyDescent="0.25">
      <c r="E70" s="1" t="str">
        <f>""</f>
        <v/>
      </c>
      <c r="F70" s="1" t="str">
        <f>""</f>
        <v/>
      </c>
      <c r="H70" s="1" t="str">
        <f>"shipping"</f>
        <v>shipping</v>
      </c>
    </row>
    <row r="71" spans="1:8" x14ac:dyDescent="0.25">
      <c r="E71" s="1" t="str">
        <f>""</f>
        <v/>
      </c>
      <c r="F71" s="1" t="str">
        <f>""</f>
        <v/>
      </c>
      <c r="H71" s="1" t="str">
        <f>"Discount-Coupon"</f>
        <v>Discount-Coupon</v>
      </c>
    </row>
    <row r="72" spans="1:8" x14ac:dyDescent="0.25">
      <c r="A72" s="1" t="s">
        <v>29</v>
      </c>
      <c r="B72" s="1">
        <v>1096</v>
      </c>
      <c r="C72" s="3">
        <v>3376.47</v>
      </c>
      <c r="D72" s="2">
        <v>43669</v>
      </c>
      <c r="E72" s="1" t="str">
        <f>"1134-PWCD-W9W1"</f>
        <v>1134-PWCD-W9W1</v>
      </c>
      <c r="F72" s="1" t="str">
        <f>"Amazon Order"</f>
        <v>Amazon Order</v>
      </c>
      <c r="G72" s="3">
        <v>104.74</v>
      </c>
      <c r="H72" s="1" t="str">
        <f>"HAWKEYE INST INC"</f>
        <v>HAWKEYE INST INC</v>
      </c>
    </row>
    <row r="73" spans="1:8" x14ac:dyDescent="0.25">
      <c r="E73" s="1" t="str">
        <f>"16JY-9QXY-DTQ9"</f>
        <v>16JY-9QXY-DTQ9</v>
      </c>
      <c r="F73" s="1" t="str">
        <f>"It Phone Replacement"</f>
        <v>It Phone Replacement</v>
      </c>
      <c r="G73" s="3">
        <v>2144.7399999999998</v>
      </c>
      <c r="H73" s="1" t="str">
        <f>"Cisco VoIP 8841"</f>
        <v>Cisco VoIP 8841</v>
      </c>
    </row>
    <row r="74" spans="1:8" x14ac:dyDescent="0.25">
      <c r="E74" s="1" t="str">
        <f>""</f>
        <v/>
      </c>
      <c r="F74" s="1" t="str">
        <f>""</f>
        <v/>
      </c>
      <c r="H74" s="1" t="str">
        <f>"Cisco VoIP 8841"</f>
        <v>Cisco VoIP 8841</v>
      </c>
    </row>
    <row r="75" spans="1:8" x14ac:dyDescent="0.25">
      <c r="E75" s="1" t="str">
        <f>""</f>
        <v/>
      </c>
      <c r="F75" s="1" t="str">
        <f>""</f>
        <v/>
      </c>
      <c r="H75" s="1" t="str">
        <f>"Shipping"</f>
        <v>Shipping</v>
      </c>
    </row>
    <row r="76" spans="1:8" x14ac:dyDescent="0.25">
      <c r="E76" s="1" t="str">
        <f>"17LR-NYT6-73WT"</f>
        <v>17LR-NYT6-73WT</v>
      </c>
      <c r="F76" s="1" t="str">
        <f>"Amazon Order"</f>
        <v>Amazon Order</v>
      </c>
      <c r="G76" s="3">
        <v>27.12</v>
      </c>
      <c r="H76" s="1" t="str">
        <f>"9  Funnel"</f>
        <v>9  Funnel</v>
      </c>
    </row>
    <row r="77" spans="1:8" x14ac:dyDescent="0.25">
      <c r="E77" s="1" t="str">
        <f>"17LR-NYT6-9K7Q"</f>
        <v>17LR-NYT6-9K7Q</v>
      </c>
      <c r="F77" s="1" t="str">
        <f>"microwave"</f>
        <v>microwave</v>
      </c>
      <c r="G77" s="3">
        <v>107.35</v>
      </c>
      <c r="H77" s="1" t="str">
        <f>"microwave"</f>
        <v>microwave</v>
      </c>
    </row>
    <row r="78" spans="1:8" x14ac:dyDescent="0.25">
      <c r="E78" s="1" t="str">
        <f>"17RQ-RDJ3-YWNP"</f>
        <v>17RQ-RDJ3-YWNP</v>
      </c>
      <c r="F78" s="1" t="str">
        <f>"standing podium"</f>
        <v>standing podium</v>
      </c>
      <c r="G78" s="3">
        <v>44.99</v>
      </c>
      <c r="H78" s="1" t="str">
        <f>"standing podium"</f>
        <v>standing podium</v>
      </c>
    </row>
    <row r="79" spans="1:8" x14ac:dyDescent="0.25">
      <c r="E79" s="1" t="str">
        <f>"19FV-YJCR-Y91J"</f>
        <v>19FV-YJCR-Y91J</v>
      </c>
      <c r="F79" s="1" t="str">
        <f>"Amazon Order"</f>
        <v>Amazon Order</v>
      </c>
      <c r="G79" s="3">
        <v>51.57</v>
      </c>
      <c r="H79" s="1" t="str">
        <f>"ACO fleet 4 pack"</f>
        <v>ACO fleet 4 pack</v>
      </c>
    </row>
    <row r="80" spans="1:8" x14ac:dyDescent="0.25">
      <c r="E80" s="1" t="str">
        <f>""</f>
        <v/>
      </c>
      <c r="F80" s="1" t="str">
        <f>""</f>
        <v/>
      </c>
      <c r="H80" s="1" t="str">
        <f>"Jumper Cable 20'"</f>
        <v>Jumper Cable 20'</v>
      </c>
    </row>
    <row r="81" spans="1:8" x14ac:dyDescent="0.25">
      <c r="E81" s="1" t="str">
        <f>"1GXQ-Q7WX-KDVP"</f>
        <v>1GXQ-Q7WX-KDVP</v>
      </c>
      <c r="F81" s="1" t="str">
        <f>"INV# 1GXQ-Q7WX-KDVP"</f>
        <v>INV# 1GXQ-Q7WX-KDVP</v>
      </c>
      <c r="G81" s="3">
        <v>677.99</v>
      </c>
      <c r="H81" s="1" t="str">
        <f>"DOT-Z1 Pro Distance"</f>
        <v>DOT-Z1 Pro Distance</v>
      </c>
    </row>
    <row r="82" spans="1:8" x14ac:dyDescent="0.25">
      <c r="E82" s="1" t="str">
        <f>""</f>
        <v/>
      </c>
      <c r="F82" s="1" t="str">
        <f>""</f>
        <v/>
      </c>
      <c r="H82" s="1" t="str">
        <f>"SHIPPING"</f>
        <v>SHIPPING</v>
      </c>
    </row>
    <row r="83" spans="1:8" x14ac:dyDescent="0.25">
      <c r="E83" s="1" t="str">
        <f>"1YNV-XNKQ-WRDL"</f>
        <v>1YNV-XNKQ-WRDL</v>
      </c>
      <c r="F83" s="1" t="str">
        <f>"Sample Shirt Purchase"</f>
        <v>Sample Shirt Purchase</v>
      </c>
      <c r="G83" s="3">
        <v>25.97</v>
      </c>
      <c r="H83" s="1" t="str">
        <f>"Royal Blue- Large"</f>
        <v>Royal Blue- Large</v>
      </c>
    </row>
    <row r="84" spans="1:8" x14ac:dyDescent="0.25">
      <c r="E84" s="1" t="str">
        <f>""</f>
        <v/>
      </c>
      <c r="F84" s="1" t="str">
        <f>""</f>
        <v/>
      </c>
      <c r="H84" s="1" t="str">
        <f>"Navy Blue- XLarge"</f>
        <v>Navy Blue- XLarge</v>
      </c>
    </row>
    <row r="85" spans="1:8" x14ac:dyDescent="0.25">
      <c r="E85" s="1" t="str">
        <f>""</f>
        <v/>
      </c>
      <c r="F85" s="1" t="str">
        <f>""</f>
        <v/>
      </c>
      <c r="H85" s="1" t="str">
        <f>"Shipping"</f>
        <v>Shipping</v>
      </c>
    </row>
    <row r="86" spans="1:8" x14ac:dyDescent="0.25">
      <c r="E86" s="1" t="str">
        <f>"1YVF-P9WW-XHJL"</f>
        <v>1YVF-P9WW-XHJL</v>
      </c>
      <c r="F86" s="1" t="str">
        <f>"Plumbing Parts"</f>
        <v>Plumbing Parts</v>
      </c>
      <c r="G86" s="3">
        <v>192</v>
      </c>
      <c r="H86" s="1" t="str">
        <f>"Sloan 3325453"</f>
        <v>Sloan 3325453</v>
      </c>
    </row>
    <row r="87" spans="1:8" x14ac:dyDescent="0.25">
      <c r="A87" s="1" t="s">
        <v>30</v>
      </c>
      <c r="B87" s="1">
        <v>82856</v>
      </c>
      <c r="C87" s="3">
        <v>64.56</v>
      </c>
      <c r="D87" s="2">
        <v>43654</v>
      </c>
      <c r="E87" s="1" t="str">
        <f>"19XR-9X7M-39D3"</f>
        <v>19XR-9X7M-39D3</v>
      </c>
      <c r="F87" s="1" t="str">
        <f>"AMAZON.COM LLC"</f>
        <v>AMAZON.COM LLC</v>
      </c>
      <c r="G87" s="3">
        <v>64.56</v>
      </c>
      <c r="H87" s="1" t="str">
        <f>"EMKA Key EK333"</f>
        <v>EMKA Key EK333</v>
      </c>
    </row>
    <row r="88" spans="1:8" x14ac:dyDescent="0.25">
      <c r="E88" s="1" t="str">
        <f>""</f>
        <v/>
      </c>
      <c r="F88" s="1" t="str">
        <f>""</f>
        <v/>
      </c>
      <c r="H88" s="1" t="str">
        <f>"Southco Key CH 751"</f>
        <v>Southco Key CH 751</v>
      </c>
    </row>
    <row r="89" spans="1:8" x14ac:dyDescent="0.25">
      <c r="A89" s="1" t="s">
        <v>31</v>
      </c>
      <c r="B89" s="1">
        <v>82857</v>
      </c>
      <c r="C89" s="3">
        <v>23.8</v>
      </c>
      <c r="D89" s="2">
        <v>43654</v>
      </c>
      <c r="E89" s="1" t="str">
        <f>"5350493"</f>
        <v>5350493</v>
      </c>
      <c r="F89" s="1" t="str">
        <f>"ORD#1445818/PCT#2"</f>
        <v>ORD#1445818/PCT#2</v>
      </c>
      <c r="G89" s="3">
        <v>23.8</v>
      </c>
      <c r="H89" s="1" t="str">
        <f>"ORD#1445818/PCT#2"</f>
        <v>ORD#1445818/PCT#2</v>
      </c>
    </row>
    <row r="90" spans="1:8" x14ac:dyDescent="0.25">
      <c r="A90" s="1" t="s">
        <v>32</v>
      </c>
      <c r="B90" s="1">
        <v>1082</v>
      </c>
      <c r="C90" s="3">
        <v>850.94</v>
      </c>
      <c r="D90" s="2">
        <v>43669</v>
      </c>
      <c r="E90" s="1" t="str">
        <f>"S125025021"</f>
        <v>S125025021</v>
      </c>
      <c r="F90" s="1" t="str">
        <f>"ORD#156464443/PCT#2"</f>
        <v>ORD#156464443/PCT#2</v>
      </c>
      <c r="G90" s="3">
        <v>850.94</v>
      </c>
      <c r="H90" s="1" t="str">
        <f>"ORD#156464443/PCT#2"</f>
        <v>ORD#156464443/PCT#2</v>
      </c>
    </row>
    <row r="91" spans="1:8" x14ac:dyDescent="0.25">
      <c r="A91" s="1" t="s">
        <v>33</v>
      </c>
      <c r="B91" s="1">
        <v>82858</v>
      </c>
      <c r="C91" s="3">
        <v>1425.48</v>
      </c>
      <c r="D91" s="2">
        <v>43654</v>
      </c>
      <c r="E91" s="1" t="str">
        <f>"955314977 95531497"</f>
        <v>955314977 95531497</v>
      </c>
      <c r="F91" s="1" t="str">
        <f>"INV 955314977"</f>
        <v>INV 955314977</v>
      </c>
      <c r="G91" s="3">
        <v>460.4</v>
      </c>
      <c r="H91" s="1" t="str">
        <f>"INV 955314977"</f>
        <v>INV 955314977</v>
      </c>
    </row>
    <row r="92" spans="1:8" x14ac:dyDescent="0.25">
      <c r="E92" s="1" t="str">
        <f>""</f>
        <v/>
      </c>
      <c r="F92" s="1" t="str">
        <f>""</f>
        <v/>
      </c>
      <c r="H92" s="1" t="str">
        <f>"INV 955314978"</f>
        <v>INV 955314978</v>
      </c>
    </row>
    <row r="93" spans="1:8" x14ac:dyDescent="0.25">
      <c r="E93" s="1" t="str">
        <f>"955796244 95579624"</f>
        <v>955796244 95579624</v>
      </c>
      <c r="F93" s="1" t="str">
        <f>"INV 955796244"</f>
        <v>INV 955796244</v>
      </c>
      <c r="G93" s="3">
        <v>965.08</v>
      </c>
      <c r="H93" s="1" t="str">
        <f>"INV 955796244"</f>
        <v>INV 955796244</v>
      </c>
    </row>
    <row r="94" spans="1:8" x14ac:dyDescent="0.25">
      <c r="E94" s="1" t="str">
        <f>""</f>
        <v/>
      </c>
      <c r="F94" s="1" t="str">
        <f>""</f>
        <v/>
      </c>
      <c r="H94" s="1" t="str">
        <f>"INV 955796245"</f>
        <v>INV 955796245</v>
      </c>
    </row>
    <row r="95" spans="1:8" x14ac:dyDescent="0.25">
      <c r="A95" s="1" t="s">
        <v>33</v>
      </c>
      <c r="B95" s="1">
        <v>83092</v>
      </c>
      <c r="C95" s="3">
        <v>106.48</v>
      </c>
      <c r="D95" s="2">
        <v>43668</v>
      </c>
      <c r="E95" s="1" t="str">
        <f>"956450131"</f>
        <v>956450131</v>
      </c>
      <c r="F95" s="1" t="str">
        <f>"INV 956450131"</f>
        <v>INV 956450131</v>
      </c>
      <c r="G95" s="3">
        <v>106.48</v>
      </c>
      <c r="H95" s="1" t="str">
        <f>"INV 956450131"</f>
        <v>INV 956450131</v>
      </c>
    </row>
    <row r="96" spans="1:8" x14ac:dyDescent="0.25">
      <c r="A96" s="1" t="s">
        <v>34</v>
      </c>
      <c r="B96" s="1">
        <v>1060</v>
      </c>
      <c r="C96" s="3">
        <v>3157.5</v>
      </c>
      <c r="D96" s="2">
        <v>43655</v>
      </c>
      <c r="E96" s="1" t="str">
        <f>"201906250088"</f>
        <v>201906250088</v>
      </c>
      <c r="F96" s="1" t="str">
        <f>"16 414"</f>
        <v>16 414</v>
      </c>
      <c r="G96" s="3">
        <v>400</v>
      </c>
      <c r="H96" s="1" t="str">
        <f>"16 414"</f>
        <v>16 414</v>
      </c>
    </row>
    <row r="97" spans="1:8" x14ac:dyDescent="0.25">
      <c r="E97" s="1" t="str">
        <f>"201906270114"</f>
        <v>201906270114</v>
      </c>
      <c r="F97" s="1" t="str">
        <f>"1179-21"</f>
        <v>1179-21</v>
      </c>
      <c r="G97" s="3">
        <v>100</v>
      </c>
      <c r="H97" s="1" t="str">
        <f>"1179-21"</f>
        <v>1179-21</v>
      </c>
    </row>
    <row r="98" spans="1:8" x14ac:dyDescent="0.25">
      <c r="E98" s="1" t="str">
        <f>"201906270115"</f>
        <v>201906270115</v>
      </c>
      <c r="F98" s="1" t="str">
        <f>"16 717"</f>
        <v>16 717</v>
      </c>
      <c r="G98" s="3">
        <v>400</v>
      </c>
      <c r="H98" s="1" t="str">
        <f>"16 717"</f>
        <v>16 717</v>
      </c>
    </row>
    <row r="99" spans="1:8" x14ac:dyDescent="0.25">
      <c r="E99" s="1" t="str">
        <f>"201906270172"</f>
        <v>201906270172</v>
      </c>
      <c r="F99" s="1" t="str">
        <f>"17-18392"</f>
        <v>17-18392</v>
      </c>
      <c r="G99" s="3">
        <v>740</v>
      </c>
      <c r="H99" s="1" t="str">
        <f>"17-18392"</f>
        <v>17-18392</v>
      </c>
    </row>
    <row r="100" spans="1:8" x14ac:dyDescent="0.25">
      <c r="E100" s="1" t="str">
        <f>"201906270173"</f>
        <v>201906270173</v>
      </c>
      <c r="F100" s="1" t="str">
        <f>"18-19240"</f>
        <v>18-19240</v>
      </c>
      <c r="G100" s="3">
        <v>445</v>
      </c>
      <c r="H100" s="1" t="str">
        <f>"18-19240"</f>
        <v>18-19240</v>
      </c>
    </row>
    <row r="101" spans="1:8" x14ac:dyDescent="0.25">
      <c r="E101" s="1" t="str">
        <f>"201906280178"</f>
        <v>201906280178</v>
      </c>
      <c r="F101" s="1" t="str">
        <f>"18-18974"</f>
        <v>18-18974</v>
      </c>
      <c r="G101" s="3">
        <v>347.5</v>
      </c>
      <c r="H101" s="1" t="str">
        <f>"18-18974"</f>
        <v>18-18974</v>
      </c>
    </row>
    <row r="102" spans="1:8" x14ac:dyDescent="0.25">
      <c r="E102" s="1" t="str">
        <f>"201906280179"</f>
        <v>201906280179</v>
      </c>
      <c r="F102" s="1" t="str">
        <f>"18-19190"</f>
        <v>18-19190</v>
      </c>
      <c r="G102" s="3">
        <v>370</v>
      </c>
      <c r="H102" s="1" t="str">
        <f>"18-19190"</f>
        <v>18-19190</v>
      </c>
    </row>
    <row r="103" spans="1:8" x14ac:dyDescent="0.25">
      <c r="E103" s="1" t="str">
        <f>"201906280180"</f>
        <v>201906280180</v>
      </c>
      <c r="F103" s="1" t="str">
        <f>"18-19190"</f>
        <v>18-19190</v>
      </c>
      <c r="G103" s="3">
        <v>355</v>
      </c>
      <c r="H103" s="1" t="str">
        <f>"18-19190"</f>
        <v>18-19190</v>
      </c>
    </row>
    <row r="104" spans="1:8" x14ac:dyDescent="0.25">
      <c r="A104" s="1" t="s">
        <v>34</v>
      </c>
      <c r="B104" s="1">
        <v>1138</v>
      </c>
      <c r="C104" s="3">
        <v>100</v>
      </c>
      <c r="D104" s="2">
        <v>43669</v>
      </c>
      <c r="E104" s="1" t="str">
        <f>"201907150433"</f>
        <v>201907150433</v>
      </c>
      <c r="F104" s="1" t="str">
        <f>"JUVENILE CHILD"</f>
        <v>JUVENILE CHILD</v>
      </c>
      <c r="G104" s="3">
        <v>100</v>
      </c>
      <c r="H104" s="1" t="str">
        <f>"JUVENILE CHILD"</f>
        <v>JUVENILE CHILD</v>
      </c>
    </row>
    <row r="105" spans="1:8" x14ac:dyDescent="0.25">
      <c r="A105" s="1" t="s">
        <v>35</v>
      </c>
      <c r="B105" s="1">
        <v>82859</v>
      </c>
      <c r="C105" s="3">
        <v>251.69</v>
      </c>
      <c r="D105" s="2">
        <v>43654</v>
      </c>
      <c r="E105" s="1" t="str">
        <f>"43T039647"</f>
        <v>43T039647</v>
      </c>
      <c r="F105" s="1" t="str">
        <f>"INV 43T039647"</f>
        <v>INV 43T039647</v>
      </c>
      <c r="G105" s="3">
        <v>251.69</v>
      </c>
      <c r="H105" s="1" t="str">
        <f>"INV 43T039647"</f>
        <v>INV 43T039647</v>
      </c>
    </row>
    <row r="106" spans="1:8" x14ac:dyDescent="0.25">
      <c r="A106" s="1" t="s">
        <v>36</v>
      </c>
      <c r="B106" s="1">
        <v>82860</v>
      </c>
      <c r="C106" s="3">
        <v>176.28</v>
      </c>
      <c r="D106" s="2">
        <v>43654</v>
      </c>
      <c r="E106" s="1" t="str">
        <f>"1906-447521"</f>
        <v>1906-447521</v>
      </c>
      <c r="F106" s="1" t="str">
        <f>"ACCT#3-3053/PCT#2"</f>
        <v>ACCT#3-3053/PCT#2</v>
      </c>
      <c r="G106" s="3">
        <v>176.28</v>
      </c>
      <c r="H106" s="1" t="str">
        <f>"ACCT#3-3053/PCT#2"</f>
        <v>ACCT#3-3053/PCT#2</v>
      </c>
    </row>
    <row r="107" spans="1:8" x14ac:dyDescent="0.25">
      <c r="A107" s="1" t="s">
        <v>37</v>
      </c>
      <c r="B107" s="1">
        <v>82861</v>
      </c>
      <c r="C107" s="3">
        <v>788.68</v>
      </c>
      <c r="D107" s="2">
        <v>43654</v>
      </c>
      <c r="E107" s="1" t="str">
        <f>"201907010221"</f>
        <v>201907010221</v>
      </c>
      <c r="F107" s="1" t="str">
        <f>"ACCT#011474/ELECTIONS"</f>
        <v>ACCT#011474/ELECTIONS</v>
      </c>
      <c r="G107" s="3">
        <v>32.5</v>
      </c>
      <c r="H107" s="1" t="str">
        <f>"ACCT#011474/ELECTIONS"</f>
        <v>ACCT#011474/ELECTIONS</v>
      </c>
    </row>
    <row r="108" spans="1:8" x14ac:dyDescent="0.25">
      <c r="E108" s="1" t="str">
        <f>"201907010222"</f>
        <v>201907010222</v>
      </c>
      <c r="F108" s="1" t="str">
        <f>"ACCT#015476/PURCHASING DEPT"</f>
        <v>ACCT#015476/PURCHASING DEPT</v>
      </c>
      <c r="G108" s="3">
        <v>23.99</v>
      </c>
      <c r="H108" s="1" t="str">
        <f>"ACCT#015476/PURCHASING DEPT"</f>
        <v>ACCT#015476/PURCHASING DEPT</v>
      </c>
    </row>
    <row r="109" spans="1:8" x14ac:dyDescent="0.25">
      <c r="E109" s="1" t="str">
        <f>"201907010223"</f>
        <v>201907010223</v>
      </c>
      <c r="F109" s="1" t="str">
        <f>"ACCT#015199/JP#1"</f>
        <v>ACCT#015199/JP#1</v>
      </c>
      <c r="G109" s="3">
        <v>19.489999999999998</v>
      </c>
      <c r="H109" s="1" t="str">
        <f>"ACCT#015199/JP#1"</f>
        <v>ACCT#015199/JP#1</v>
      </c>
    </row>
    <row r="110" spans="1:8" x14ac:dyDescent="0.25">
      <c r="E110" s="1" t="str">
        <f>"201907010224"</f>
        <v>201907010224</v>
      </c>
      <c r="F110" s="1" t="str">
        <f>"ACCT#015538/EMER. COMM."</f>
        <v>ACCT#015538/EMER. COMM.</v>
      </c>
      <c r="G110" s="3">
        <v>92.99</v>
      </c>
      <c r="H110" s="1" t="str">
        <f>"ACCT#015538/EMER. COMM."</f>
        <v>ACCT#015538/EMER. COMM.</v>
      </c>
    </row>
    <row r="111" spans="1:8" x14ac:dyDescent="0.25">
      <c r="E111" s="1" t="str">
        <f>"201907010225"</f>
        <v>201907010225</v>
      </c>
      <c r="F111" s="1" t="str">
        <f>"ACCT#010311/COUNTY CT AT LAW"</f>
        <v>ACCT#010311/COUNTY CT AT LAW</v>
      </c>
      <c r="G111" s="3">
        <v>45</v>
      </c>
      <c r="H111" s="1" t="str">
        <f>"ACCT#010311/COUNTY CT AT LAW"</f>
        <v>ACCT#010311/COUNTY CT AT LAW</v>
      </c>
    </row>
    <row r="112" spans="1:8" x14ac:dyDescent="0.25">
      <c r="E112" s="1" t="str">
        <f>"201907010226"</f>
        <v>201907010226</v>
      </c>
      <c r="F112" s="1" t="str">
        <f>"ACCT#012231/DIST JUDGE OFFICE"</f>
        <v>ACCT#012231/DIST JUDGE OFFICE</v>
      </c>
      <c r="G112" s="3">
        <v>10</v>
      </c>
      <c r="H112" s="1" t="str">
        <f>"ACCT#012231/DIST JUDGE OFFICE"</f>
        <v>ACCT#012231/DIST JUDGE OFFICE</v>
      </c>
    </row>
    <row r="113" spans="1:8" x14ac:dyDescent="0.25">
      <c r="E113" s="1" t="str">
        <f>"201907010227"</f>
        <v>201907010227</v>
      </c>
      <c r="F113" s="1" t="str">
        <f>"ACCT#011955/DISTRICT JUDGE"</f>
        <v>ACCT#011955/DISTRICT JUDGE</v>
      </c>
      <c r="G113" s="3">
        <v>40.5</v>
      </c>
      <c r="H113" s="1" t="str">
        <f>"ACCT#011955/DISTRICT JUDGE"</f>
        <v>ACCT#011955/DISTRICT JUDGE</v>
      </c>
    </row>
    <row r="114" spans="1:8" x14ac:dyDescent="0.25">
      <c r="E114" s="1" t="str">
        <f>"201907010228"</f>
        <v>201907010228</v>
      </c>
      <c r="F114" s="1" t="str">
        <f>"ACCT#012571/TREASURER"</f>
        <v>ACCT#012571/TREASURER</v>
      </c>
      <c r="G114" s="3">
        <v>16.5</v>
      </c>
      <c r="H114" s="1" t="str">
        <f>"ACCT#012571/TREASURER"</f>
        <v>ACCT#012571/TREASURER</v>
      </c>
    </row>
    <row r="115" spans="1:8" x14ac:dyDescent="0.25">
      <c r="E115" s="1" t="str">
        <f>"201907010229"</f>
        <v>201907010229</v>
      </c>
      <c r="F115" s="1" t="str">
        <f>"ACCT#014737/ANIMAL SERVICE"</f>
        <v>ACCT#014737/ANIMAL SERVICE</v>
      </c>
      <c r="G115" s="3">
        <v>48.99</v>
      </c>
      <c r="H115" s="1" t="str">
        <f>"ACCT#014737/ANIMAL SERVICE"</f>
        <v>ACCT#014737/ANIMAL SERVICE</v>
      </c>
    </row>
    <row r="116" spans="1:8" x14ac:dyDescent="0.25">
      <c r="E116" s="1" t="str">
        <f>"201907020245"</f>
        <v>201907020245</v>
      </c>
      <c r="F116" s="1" t="str">
        <f>"ACCT#014877/INDIGENT HEALTH"</f>
        <v>ACCT#014877/INDIGENT HEALTH</v>
      </c>
      <c r="G116" s="3">
        <v>20.99</v>
      </c>
      <c r="H116" s="1" t="str">
        <f>"ACCT#014877/INDIGENT HEALTH"</f>
        <v>ACCT#014877/INDIGENT HEALTH</v>
      </c>
    </row>
    <row r="117" spans="1:8" x14ac:dyDescent="0.25">
      <c r="E117" s="1" t="str">
        <f>"201907020246"</f>
        <v>201907020246</v>
      </c>
      <c r="F117" s="1" t="str">
        <f>"ACCT#012259/DISTRICT CLERK"</f>
        <v>ACCT#012259/DISTRICT CLERK</v>
      </c>
      <c r="G117" s="3">
        <v>76.5</v>
      </c>
      <c r="H117" s="1" t="str">
        <f>"ACCT#012259/DISTRICT CLERK"</f>
        <v>ACCT#012259/DISTRICT CLERK</v>
      </c>
    </row>
    <row r="118" spans="1:8" x14ac:dyDescent="0.25">
      <c r="E118" s="1" t="str">
        <f>"201907020247"</f>
        <v>201907020247</v>
      </c>
      <c r="F118" s="1" t="str">
        <f>"ACCT#010238/GENERAL SVCS"</f>
        <v>ACCT#010238/GENERAL SVCS</v>
      </c>
      <c r="G118" s="3">
        <v>81.239999999999995</v>
      </c>
      <c r="H118" s="1" t="str">
        <f>"ACCT#010238/GENERAL SVCS"</f>
        <v>ACCT#010238/GENERAL SVCS</v>
      </c>
    </row>
    <row r="119" spans="1:8" x14ac:dyDescent="0.25">
      <c r="E119" s="1" t="str">
        <f>"201907020248"</f>
        <v>201907020248</v>
      </c>
      <c r="F119" s="1" t="str">
        <f>"ACCT#011280/COUNTY CLERK"</f>
        <v>ACCT#011280/COUNTY CLERK</v>
      </c>
      <c r="G119" s="3">
        <v>61.5</v>
      </c>
      <c r="H119" s="1" t="str">
        <f>"ACCT#011280/COUNTY CLERK"</f>
        <v>ACCT#011280/COUNTY CLERK</v>
      </c>
    </row>
    <row r="120" spans="1:8" x14ac:dyDescent="0.25">
      <c r="E120" s="1" t="str">
        <f>"201907020249"</f>
        <v>201907020249</v>
      </c>
      <c r="F120" s="1" t="str">
        <f>"ACCT#010057/AUDITOR"</f>
        <v>ACCT#010057/AUDITOR</v>
      </c>
      <c r="G120" s="3">
        <v>46.5</v>
      </c>
      <c r="H120" s="1" t="str">
        <f>"ACCT#010057/AUDITOR"</f>
        <v>ACCT#010057/AUDITOR</v>
      </c>
    </row>
    <row r="121" spans="1:8" x14ac:dyDescent="0.25">
      <c r="E121" s="1" t="str">
        <f>"201907020250"</f>
        <v>201907020250</v>
      </c>
      <c r="F121" s="1" t="str">
        <f>"ACCT#012260/DISTRICT ATTORNEY"</f>
        <v>ACCT#012260/DISTRICT ATTORNEY</v>
      </c>
      <c r="G121" s="3">
        <v>67.5</v>
      </c>
      <c r="H121" s="1" t="str">
        <f>"ACCT#012260/DISTRICT ATTORNEY"</f>
        <v>ACCT#012260/DISTRICT ATTORNEY</v>
      </c>
    </row>
    <row r="122" spans="1:8" x14ac:dyDescent="0.25">
      <c r="E122" s="1" t="str">
        <f>"201907020258"</f>
        <v>201907020258</v>
      </c>
      <c r="F122" s="1" t="str">
        <f>"ACCT#010602/COMMISSIONER OFFIC"</f>
        <v>ACCT#010602/COMMISSIONER OFFIC</v>
      </c>
      <c r="G122" s="3">
        <v>46.5</v>
      </c>
      <c r="H122" s="1" t="str">
        <f>"ACCT#010602/COMMISSIONER OFFIC"</f>
        <v>ACCT#010602/COMMISSIONER OFFIC</v>
      </c>
    </row>
    <row r="123" spans="1:8" x14ac:dyDescent="0.25">
      <c r="E123" s="1" t="str">
        <f>"201907020261"</f>
        <v>201907020261</v>
      </c>
      <c r="F123" s="1" t="str">
        <f>"ACCT#012803/JUDGE"</f>
        <v>ACCT#012803/JUDGE</v>
      </c>
      <c r="G123" s="3">
        <v>16.5</v>
      </c>
      <c r="H123" s="1" t="str">
        <f>"ACCT#012803/JUDGE"</f>
        <v>ACCT#012803/JUDGE</v>
      </c>
    </row>
    <row r="124" spans="1:8" x14ac:dyDescent="0.25">
      <c r="E124" s="1" t="str">
        <f>"201907020266"</f>
        <v>201907020266</v>
      </c>
      <c r="F124" s="1" t="str">
        <f>"ACCT#010149/AGRI LIFE EXT"</f>
        <v>ACCT#010149/AGRI LIFE EXT</v>
      </c>
      <c r="G124" s="3">
        <v>41.49</v>
      </c>
      <c r="H124" s="1" t="str">
        <f>"ACCT#010149/AGRI LIFE EXT"</f>
        <v>ACCT#010149/AGRI LIFE EXT</v>
      </c>
    </row>
    <row r="125" spans="1:8" x14ac:dyDescent="0.25">
      <c r="A125" s="1" t="s">
        <v>37</v>
      </c>
      <c r="B125" s="1">
        <v>83093</v>
      </c>
      <c r="C125" s="3">
        <v>86.5</v>
      </c>
      <c r="D125" s="2">
        <v>43668</v>
      </c>
      <c r="E125" s="1" t="str">
        <f>"201907090309"</f>
        <v>201907090309</v>
      </c>
      <c r="F125" s="1" t="str">
        <f>"ACCT#013393/HUMAN RESOURCES"</f>
        <v>ACCT#013393/HUMAN RESOURCES</v>
      </c>
      <c r="G125" s="3">
        <v>25</v>
      </c>
      <c r="H125" s="1" t="str">
        <f>"ACCT#013393/HUMAN RESOURCES"</f>
        <v>ACCT#013393/HUMAN RESOURCES</v>
      </c>
    </row>
    <row r="126" spans="1:8" x14ac:dyDescent="0.25">
      <c r="E126" s="1" t="str">
        <f>"201907100396"</f>
        <v>201907100396</v>
      </c>
      <c r="F126" s="1" t="str">
        <f>"ACCT#011033/IT DEPT."</f>
        <v>ACCT#011033/IT DEPT.</v>
      </c>
      <c r="G126" s="3">
        <v>52.5</v>
      </c>
      <c r="H126" s="1" t="str">
        <f>"ACCT#011033/IT DEPT."</f>
        <v>ACCT#011033/IT DEPT.</v>
      </c>
    </row>
    <row r="127" spans="1:8" x14ac:dyDescent="0.25">
      <c r="E127" s="1" t="str">
        <f>"201907170619"</f>
        <v>201907170619</v>
      </c>
      <c r="F127" s="1" t="str">
        <f>"ACCT#010835/PCT#1"</f>
        <v>ACCT#010835/PCT#1</v>
      </c>
      <c r="G127" s="3">
        <v>9</v>
      </c>
      <c r="H127" s="1" t="str">
        <f>"ACCT#010835/PCT#1"</f>
        <v>ACCT#010835/PCT#1</v>
      </c>
    </row>
    <row r="128" spans="1:8" x14ac:dyDescent="0.25">
      <c r="A128" s="1" t="s">
        <v>38</v>
      </c>
      <c r="B128" s="1">
        <v>82846</v>
      </c>
      <c r="C128" s="3">
        <v>56.36</v>
      </c>
      <c r="D128" s="2">
        <v>43649</v>
      </c>
      <c r="E128" s="1" t="str">
        <f>"201907020268"</f>
        <v>201907020268</v>
      </c>
      <c r="F128" s="1" t="str">
        <f>"ACCT#0201855301 / 07052019"</f>
        <v>ACCT#0201855301 / 07052019</v>
      </c>
      <c r="G128" s="3">
        <v>31.08</v>
      </c>
      <c r="H128" s="1" t="str">
        <f>"ACCT#0201855301 / 07052019"</f>
        <v>ACCT#0201855301 / 07052019</v>
      </c>
    </row>
    <row r="129" spans="1:8" x14ac:dyDescent="0.25">
      <c r="E129" s="1" t="str">
        <f>"201907020269"</f>
        <v>201907020269</v>
      </c>
      <c r="F129" s="1" t="str">
        <f>"ACCT#0201891401 / 07052019"</f>
        <v>ACCT#0201891401 / 07052019</v>
      </c>
      <c r="G129" s="3">
        <v>25.28</v>
      </c>
      <c r="H129" s="1" t="str">
        <f>"ACCT#0201891401 / 07052019"</f>
        <v>ACCT#0201891401 / 07052019</v>
      </c>
    </row>
    <row r="130" spans="1:8" x14ac:dyDescent="0.25">
      <c r="A130" s="1" t="s">
        <v>38</v>
      </c>
      <c r="B130" s="1">
        <v>83094</v>
      </c>
      <c r="C130" s="3">
        <v>1937.25</v>
      </c>
      <c r="D130" s="2">
        <v>43668</v>
      </c>
      <c r="E130" s="1" t="str">
        <f>"201907110413"</f>
        <v>201907110413</v>
      </c>
      <c r="F130" s="1" t="str">
        <f>"ACCT#7700010026/MAY-JUNE 2019"</f>
        <v>ACCT#7700010026/MAY-JUNE 2019</v>
      </c>
      <c r="G130" s="3">
        <v>1578.5</v>
      </c>
      <c r="H130" s="1" t="str">
        <f>"ACCT#7700010026/MAY-JUNE 2019"</f>
        <v>ACCT#7700010026/MAY-JUNE 2019</v>
      </c>
    </row>
    <row r="131" spans="1:8" x14ac:dyDescent="0.25">
      <c r="E131" s="1" t="str">
        <f>"201907150426"</f>
        <v>201907150426</v>
      </c>
      <c r="F131" s="1" t="str">
        <f>"ACCT#7700010025/PCT#2"</f>
        <v>ACCT#7700010025/PCT#2</v>
      </c>
      <c r="G131" s="3">
        <v>153.75</v>
      </c>
      <c r="H131" s="1" t="str">
        <f>"ACCT#7700010025/PCT#2"</f>
        <v>ACCT#7700010025/PCT#2</v>
      </c>
    </row>
    <row r="132" spans="1:8" x14ac:dyDescent="0.25">
      <c r="E132" s="1" t="str">
        <f>"201907160484"</f>
        <v>201907160484</v>
      </c>
      <c r="F132" s="1" t="str">
        <f>"ACCT#7700010027/20 LDS WATER"</f>
        <v>ACCT#7700010027/20 LDS WATER</v>
      </c>
      <c r="G132" s="3">
        <v>205</v>
      </c>
      <c r="H132" s="1" t="str">
        <f>"ACCT#7700010027/20 LDS WATER"</f>
        <v>ACCT#7700010027/20 LDS WATER</v>
      </c>
    </row>
    <row r="133" spans="1:8" x14ac:dyDescent="0.25">
      <c r="A133" s="1" t="s">
        <v>38</v>
      </c>
      <c r="B133" s="1">
        <v>83277</v>
      </c>
      <c r="C133" s="3">
        <v>3122.35</v>
      </c>
      <c r="D133" s="2">
        <v>43672</v>
      </c>
      <c r="E133" s="1" t="str">
        <f>"201907260689"</f>
        <v>201907260689</v>
      </c>
      <c r="F133" s="1" t="str">
        <f>"ACCT#0102120801 / 07202019"</f>
        <v>ACCT#0102120801 / 07202019</v>
      </c>
      <c r="G133" s="3">
        <v>1657.49</v>
      </c>
      <c r="H133" s="1" t="str">
        <f>"ACCT#0102120801 / 07202019"</f>
        <v>ACCT#0102120801 / 07202019</v>
      </c>
    </row>
    <row r="134" spans="1:8" x14ac:dyDescent="0.25">
      <c r="E134" s="1" t="str">
        <f>"201907260690"</f>
        <v>201907260690</v>
      </c>
      <c r="F134" s="1" t="str">
        <f>"ACCT#0400785803 / 07202019"</f>
        <v>ACCT#0400785803 / 07202019</v>
      </c>
      <c r="G134" s="3">
        <v>754.88</v>
      </c>
      <c r="H134" s="1" t="str">
        <f>"ACCT#0400785803 / 07202019"</f>
        <v>ACCT#0400785803 / 07202019</v>
      </c>
    </row>
    <row r="135" spans="1:8" x14ac:dyDescent="0.25">
      <c r="E135" s="1" t="str">
        <f>"201907260691"</f>
        <v>201907260691</v>
      </c>
      <c r="F135" s="1" t="str">
        <f>"ACCT#0401408501 / 07202019"</f>
        <v>ACCT#0401408501 / 07202019</v>
      </c>
      <c r="G135" s="3">
        <v>667.68</v>
      </c>
      <c r="H135" s="1" t="str">
        <f>"ACCT#0401408501 / 07202019"</f>
        <v>ACCT#0401408501 / 07202019</v>
      </c>
    </row>
    <row r="136" spans="1:8" x14ac:dyDescent="0.25">
      <c r="E136" s="1" t="str">
        <f>"201907260692"</f>
        <v>201907260692</v>
      </c>
      <c r="F136" s="1" t="str">
        <f>"ACCT#0800042801 / 07202019"</f>
        <v>ACCT#0800042801 / 07202019</v>
      </c>
      <c r="G136" s="3">
        <v>42.3</v>
      </c>
      <c r="H136" s="1" t="str">
        <f>"ACCT#0800042801 / 07202019"</f>
        <v>ACCT#0800042801 / 07202019</v>
      </c>
    </row>
    <row r="137" spans="1:8" x14ac:dyDescent="0.25">
      <c r="A137" s="1" t="s">
        <v>39</v>
      </c>
      <c r="B137" s="1">
        <v>1019</v>
      </c>
      <c r="C137" s="3">
        <v>20683.95</v>
      </c>
      <c r="D137" s="2">
        <v>43655</v>
      </c>
      <c r="E137" s="1" t="str">
        <f>"14879"</f>
        <v>14879</v>
      </c>
      <c r="F137" s="1" t="str">
        <f>"PROJ NAME:BC MAY ADVERTISING"</f>
        <v>PROJ NAME:BC MAY ADVERTISING</v>
      </c>
      <c r="G137" s="3">
        <v>18783.95</v>
      </c>
      <c r="H137" s="1" t="str">
        <f>"PROJ NAME:BC MAY ADVERTISING"</f>
        <v>PROJ NAME:BC MAY ADVERTISING</v>
      </c>
    </row>
    <row r="138" spans="1:8" x14ac:dyDescent="0.25">
      <c r="E138" s="1" t="str">
        <f>"14880"</f>
        <v>14880</v>
      </c>
      <c r="F138" s="1" t="str">
        <f>"PROJ NAME:BC PROSERV MAY"</f>
        <v>PROJ NAME:BC PROSERV MAY</v>
      </c>
      <c r="G138" s="3">
        <v>1900</v>
      </c>
      <c r="H138" s="1" t="str">
        <f>"PROJ NAME:BC PROSERV MAY"</f>
        <v>PROJ NAME:BC PROSERV MAY</v>
      </c>
    </row>
    <row r="139" spans="1:8" x14ac:dyDescent="0.25">
      <c r="A139" s="1" t="s">
        <v>40</v>
      </c>
      <c r="B139" s="1">
        <v>82862</v>
      </c>
      <c r="C139" s="3">
        <v>5451.1</v>
      </c>
      <c r="D139" s="2">
        <v>43654</v>
      </c>
      <c r="E139" s="1" t="str">
        <f>"201906280181"</f>
        <v>201906280181</v>
      </c>
      <c r="F139" s="1" t="str">
        <f>"ACCT#512A49-0048 193 3"</f>
        <v>ACCT#512A49-0048 193 3</v>
      </c>
      <c r="G139" s="3">
        <v>5451.1</v>
      </c>
      <c r="H139" s="1" t="str">
        <f>"ACCT#512A49-0048 193 3"</f>
        <v>ACCT#512A49-0048 193 3</v>
      </c>
    </row>
    <row r="140" spans="1:8" x14ac:dyDescent="0.25">
      <c r="E140" s="1" t="str">
        <f>""</f>
        <v/>
      </c>
      <c r="F140" s="1" t="str">
        <f>""</f>
        <v/>
      </c>
      <c r="H140" s="1" t="str">
        <f>"ACCT#512A49-0048 193 3"</f>
        <v>ACCT#512A49-0048 193 3</v>
      </c>
    </row>
    <row r="141" spans="1:8" x14ac:dyDescent="0.25">
      <c r="E141" s="1" t="str">
        <f>""</f>
        <v/>
      </c>
      <c r="F141" s="1" t="str">
        <f>""</f>
        <v/>
      </c>
      <c r="H141" s="1" t="str">
        <f>"ACCT#512A49-0048 193 3"</f>
        <v>ACCT#512A49-0048 193 3</v>
      </c>
    </row>
    <row r="142" spans="1:8" x14ac:dyDescent="0.25">
      <c r="E142" s="1" t="str">
        <f>""</f>
        <v/>
      </c>
      <c r="F142" s="1" t="str">
        <f>""</f>
        <v/>
      </c>
      <c r="H142" s="1" t="str">
        <f>"ACCT#512A49-0048 193 3"</f>
        <v>ACCT#512A49-0048 193 3</v>
      </c>
    </row>
    <row r="143" spans="1:8" x14ac:dyDescent="0.25">
      <c r="A143" s="1" t="s">
        <v>40</v>
      </c>
      <c r="B143" s="1">
        <v>83095</v>
      </c>
      <c r="C143" s="3">
        <v>429.93</v>
      </c>
      <c r="D143" s="2">
        <v>43668</v>
      </c>
      <c r="E143" s="1" t="str">
        <f>"201907090313"</f>
        <v>201907090313</v>
      </c>
      <c r="F143" s="1" t="str">
        <f>"ACCT#512-308-9870 530 7"</f>
        <v>ACCT#512-308-9870 530 7</v>
      </c>
      <c r="G143" s="3">
        <v>429.93</v>
      </c>
      <c r="H143" s="1" t="str">
        <f>"ACCT#512-308-9870 530 7"</f>
        <v>ACCT#512-308-9870 530 7</v>
      </c>
    </row>
    <row r="144" spans="1:8" x14ac:dyDescent="0.25">
      <c r="A144" s="1" t="s">
        <v>41</v>
      </c>
      <c r="B144" s="1">
        <v>83096</v>
      </c>
      <c r="C144" s="3">
        <v>4559.32</v>
      </c>
      <c r="D144" s="2">
        <v>43668</v>
      </c>
      <c r="E144" s="1" t="str">
        <f>"2402468406"</f>
        <v>2402468406</v>
      </c>
      <c r="F144" s="1" t="str">
        <f>"ACCT#831-000-7919 623"</f>
        <v>ACCT#831-000-7919 623</v>
      </c>
      <c r="G144" s="3">
        <v>2000.38</v>
      </c>
      <c r="H144" s="1" t="str">
        <f>"ACCT#831-000-7919 623"</f>
        <v>ACCT#831-000-7919 623</v>
      </c>
    </row>
    <row r="145" spans="1:8" x14ac:dyDescent="0.25">
      <c r="E145" s="1" t="str">
        <f>"9616268408"</f>
        <v>9616268408</v>
      </c>
      <c r="F145" s="1" t="str">
        <f>"ACCT#831-000-6084 095"</f>
        <v>ACCT#831-000-6084 095</v>
      </c>
      <c r="G145" s="3">
        <v>1684.69</v>
      </c>
      <c r="H145" s="1" t="str">
        <f>"ACCT#831-000-6084 095"</f>
        <v>ACCT#831-000-6084 095</v>
      </c>
    </row>
    <row r="146" spans="1:8" x14ac:dyDescent="0.25">
      <c r="E146" s="1" t="str">
        <f>"9916448403"</f>
        <v>9916448403</v>
      </c>
      <c r="F146" s="1" t="str">
        <f>"ACCT#831-000-7218 923"</f>
        <v>ACCT#831-000-7218 923</v>
      </c>
      <c r="G146" s="3">
        <v>874.25</v>
      </c>
      <c r="H146" s="1" t="str">
        <f>"ACCT#831-000-7218 923"</f>
        <v>ACCT#831-000-7218 923</v>
      </c>
    </row>
    <row r="147" spans="1:8" x14ac:dyDescent="0.25">
      <c r="A147" s="1" t="s">
        <v>41</v>
      </c>
      <c r="B147" s="1">
        <v>83097</v>
      </c>
      <c r="C147" s="3">
        <v>1813.07</v>
      </c>
      <c r="D147" s="2">
        <v>43668</v>
      </c>
      <c r="E147" s="1" t="str">
        <f>"512 303-1080LE/JAI"</f>
        <v>512 303-1080LE/JAI</v>
      </c>
      <c r="F147" s="1" t="str">
        <f>"512 303-1080 238 5"</f>
        <v>512 303-1080 238 5</v>
      </c>
      <c r="G147" s="3">
        <v>1813.07</v>
      </c>
      <c r="H147" s="1" t="str">
        <f>"512 303-1080 LE"</f>
        <v>512 303-1080 LE</v>
      </c>
    </row>
    <row r="148" spans="1:8" x14ac:dyDescent="0.25">
      <c r="E148" s="1" t="str">
        <f>""</f>
        <v/>
      </c>
      <c r="F148" s="1" t="str">
        <f>""</f>
        <v/>
      </c>
      <c r="H148" s="1" t="str">
        <f>"512 303-1080 JAIL"</f>
        <v>512 303-1080 JAIL</v>
      </c>
    </row>
    <row r="149" spans="1:8" x14ac:dyDescent="0.25">
      <c r="A149" s="1" t="s">
        <v>42</v>
      </c>
      <c r="B149" s="1">
        <v>82863</v>
      </c>
      <c r="C149" s="3">
        <v>2662.07</v>
      </c>
      <c r="D149" s="2">
        <v>43654</v>
      </c>
      <c r="E149" s="1" t="str">
        <f>"287290524359X06272"</f>
        <v>287290524359X06272</v>
      </c>
      <c r="F149" s="1" t="str">
        <f>"ACCT#BES07964068/FAN581435538"</f>
        <v>ACCT#BES07964068/FAN581435538</v>
      </c>
      <c r="G149" s="3">
        <v>2662.07</v>
      </c>
      <c r="H149" s="1" t="str">
        <f t="shared" ref="H149:H154" si="4">"ACCT#BES07964068/FAN581435538"</f>
        <v>ACCT#BES07964068/FAN581435538</v>
      </c>
    </row>
    <row r="150" spans="1:8" x14ac:dyDescent="0.25">
      <c r="E150" s="1" t="str">
        <f>""</f>
        <v/>
      </c>
      <c r="F150" s="1" t="str">
        <f>""</f>
        <v/>
      </c>
      <c r="H150" s="1" t="str">
        <f t="shared" si="4"/>
        <v>ACCT#BES07964068/FAN581435538</v>
      </c>
    </row>
    <row r="151" spans="1:8" x14ac:dyDescent="0.25">
      <c r="E151" s="1" t="str">
        <f>""</f>
        <v/>
      </c>
      <c r="F151" s="1" t="str">
        <f>""</f>
        <v/>
      </c>
      <c r="H151" s="1" t="str">
        <f t="shared" si="4"/>
        <v>ACCT#BES07964068/FAN581435538</v>
      </c>
    </row>
    <row r="152" spans="1:8" x14ac:dyDescent="0.25">
      <c r="E152" s="1" t="str">
        <f>""</f>
        <v/>
      </c>
      <c r="F152" s="1" t="str">
        <f>""</f>
        <v/>
      </c>
      <c r="H152" s="1" t="str">
        <f t="shared" si="4"/>
        <v>ACCT#BES07964068/FAN581435538</v>
      </c>
    </row>
    <row r="153" spans="1:8" x14ac:dyDescent="0.25">
      <c r="E153" s="1" t="str">
        <f>""</f>
        <v/>
      </c>
      <c r="F153" s="1" t="str">
        <f>""</f>
        <v/>
      </c>
      <c r="H153" s="1" t="str">
        <f t="shared" si="4"/>
        <v>ACCT#BES07964068/FAN581435538</v>
      </c>
    </row>
    <row r="154" spans="1:8" x14ac:dyDescent="0.25">
      <c r="E154" s="1" t="str">
        <f>""</f>
        <v/>
      </c>
      <c r="F154" s="1" t="str">
        <f>""</f>
        <v/>
      </c>
      <c r="H154" s="1" t="str">
        <f t="shared" si="4"/>
        <v>ACCT#BES07964068/FAN581435538</v>
      </c>
    </row>
    <row r="155" spans="1:8" x14ac:dyDescent="0.25">
      <c r="A155" s="1" t="s">
        <v>43</v>
      </c>
      <c r="B155" s="1">
        <v>83098</v>
      </c>
      <c r="C155" s="3">
        <v>25.29</v>
      </c>
      <c r="D155" s="2">
        <v>43668</v>
      </c>
      <c r="E155" s="1" t="str">
        <f>"0596121789"</f>
        <v>0596121789</v>
      </c>
      <c r="F155" s="1" t="str">
        <f>"CUST#6745989/WKLY PLANNER"</f>
        <v>CUST#6745989/WKLY PLANNER</v>
      </c>
      <c r="G155" s="3">
        <v>25.29</v>
      </c>
      <c r="H155" s="1" t="str">
        <f>"CUST#6745989/WKLY PLANNER"</f>
        <v>CUST#6745989/WKLY PLANNER</v>
      </c>
    </row>
    <row r="156" spans="1:8" x14ac:dyDescent="0.25">
      <c r="A156" s="1" t="s">
        <v>44</v>
      </c>
      <c r="B156" s="1">
        <v>1035</v>
      </c>
      <c r="C156" s="3">
        <v>158.94</v>
      </c>
      <c r="D156" s="2">
        <v>43655</v>
      </c>
      <c r="E156" s="1" t="str">
        <f>"94562"</f>
        <v>94562</v>
      </c>
      <c r="F156" s="1" t="str">
        <f>"WORK ORD#19120/PCT#3"</f>
        <v>WORK ORD#19120/PCT#3</v>
      </c>
      <c r="G156" s="3">
        <v>158.94</v>
      </c>
      <c r="H156" s="1" t="str">
        <f>"WORK ORD#19120/PCT#3"</f>
        <v>WORK ORD#19120/PCT#3</v>
      </c>
    </row>
    <row r="157" spans="1:8" x14ac:dyDescent="0.25">
      <c r="A157" s="1" t="s">
        <v>45</v>
      </c>
      <c r="B157" s="1">
        <v>83099</v>
      </c>
      <c r="C157" s="3">
        <v>1050</v>
      </c>
      <c r="D157" s="2">
        <v>43668</v>
      </c>
      <c r="E157" s="1" t="str">
        <f>"11373"</f>
        <v>11373</v>
      </c>
      <c r="F157" s="1" t="str">
        <f>"4 TON LIMIT/PCT#3"</f>
        <v>4 TON LIMIT/PCT#3</v>
      </c>
      <c r="G157" s="3">
        <v>1050</v>
      </c>
      <c r="H157" s="1" t="str">
        <f>"4 TON LIMIT/PCT#3"</f>
        <v>4 TON LIMIT/PCT#3</v>
      </c>
    </row>
    <row r="158" spans="1:8" x14ac:dyDescent="0.25">
      <c r="A158" s="1" t="s">
        <v>46</v>
      </c>
      <c r="B158" s="1">
        <v>82864</v>
      </c>
      <c r="C158" s="3">
        <v>190</v>
      </c>
      <c r="D158" s="2">
        <v>43654</v>
      </c>
      <c r="E158" s="1" t="str">
        <f>"12846"</f>
        <v>12846</v>
      </c>
      <c r="F158" s="1" t="str">
        <f>"SERVICE 04/04/19"</f>
        <v>SERVICE 04/04/19</v>
      </c>
      <c r="G158" s="3">
        <v>190</v>
      </c>
      <c r="H158" s="1" t="str">
        <f>"SERVICE 04/04/19"</f>
        <v>SERVICE 04/04/19</v>
      </c>
    </row>
    <row r="159" spans="1:8" x14ac:dyDescent="0.25">
      <c r="A159" s="1" t="s">
        <v>47</v>
      </c>
      <c r="B159" s="1">
        <v>83100</v>
      </c>
      <c r="C159" s="3">
        <v>79.62</v>
      </c>
      <c r="D159" s="2">
        <v>43668</v>
      </c>
      <c r="E159" s="1" t="str">
        <f>"201907160565"</f>
        <v>201907160565</v>
      </c>
      <c r="F159" s="1" t="str">
        <f>"INDIGENT HEALTH"</f>
        <v>INDIGENT HEALTH</v>
      </c>
      <c r="G159" s="3">
        <v>79.62</v>
      </c>
      <c r="H159" s="1" t="str">
        <f>"INDIGENT HEALTH"</f>
        <v>INDIGENT HEALTH</v>
      </c>
    </row>
    <row r="160" spans="1:8" x14ac:dyDescent="0.25">
      <c r="A160" s="1" t="s">
        <v>48</v>
      </c>
      <c r="B160" s="1">
        <v>82865</v>
      </c>
      <c r="C160" s="3">
        <v>61</v>
      </c>
      <c r="D160" s="2">
        <v>43654</v>
      </c>
      <c r="E160" s="1" t="str">
        <f>"51523"</f>
        <v>51523</v>
      </c>
      <c r="F160" s="1" t="str">
        <f>"FLAGS/PCT#4"</f>
        <v>FLAGS/PCT#4</v>
      </c>
      <c r="G160" s="3">
        <v>61</v>
      </c>
      <c r="H160" s="1" t="str">
        <f>"FLAGS/PCT#4"</f>
        <v>FLAGS/PCT#4</v>
      </c>
    </row>
    <row r="161" spans="1:9" x14ac:dyDescent="0.25">
      <c r="A161" s="1" t="s">
        <v>49</v>
      </c>
      <c r="B161" s="1">
        <v>1137</v>
      </c>
      <c r="C161" s="3">
        <v>40.270000000000003</v>
      </c>
      <c r="D161" s="2">
        <v>43669</v>
      </c>
      <c r="E161" s="1" t="str">
        <f>"201907160566"</f>
        <v>201907160566</v>
      </c>
      <c r="F161" s="1" t="str">
        <f>"INDIGENT HEALTH"</f>
        <v>INDIGENT HEALTH</v>
      </c>
      <c r="G161" s="3">
        <v>40.270000000000003</v>
      </c>
      <c r="H161" s="1" t="str">
        <f>"INDIGENT HEALTH"</f>
        <v>INDIGENT HEALTH</v>
      </c>
    </row>
    <row r="162" spans="1:9" x14ac:dyDescent="0.25">
      <c r="A162" s="1" t="s">
        <v>50</v>
      </c>
      <c r="B162" s="1">
        <v>83101</v>
      </c>
      <c r="C162" s="3">
        <v>597.70000000000005</v>
      </c>
      <c r="D162" s="2">
        <v>43668</v>
      </c>
      <c r="E162" s="1" t="str">
        <f>"201907160567"</f>
        <v>201907160567</v>
      </c>
      <c r="F162" s="1" t="str">
        <f>"INDIGENT HEALTH"</f>
        <v>INDIGENT HEALTH</v>
      </c>
      <c r="G162" s="3">
        <v>590.75</v>
      </c>
      <c r="H162" s="1" t="str">
        <f>"INDIGENT HEALTH"</f>
        <v>INDIGENT HEALTH</v>
      </c>
    </row>
    <row r="163" spans="1:9" x14ac:dyDescent="0.25">
      <c r="E163" s="1" t="str">
        <f>""</f>
        <v/>
      </c>
      <c r="F163" s="1" t="str">
        <f>""</f>
        <v/>
      </c>
      <c r="H163" s="1" t="str">
        <f>"INDIGENT HEALTH"</f>
        <v>INDIGENT HEALTH</v>
      </c>
    </row>
    <row r="164" spans="1:9" x14ac:dyDescent="0.25">
      <c r="E164" s="1" t="str">
        <f>"4521*98039*4"</f>
        <v>4521*98039*4</v>
      </c>
      <c r="F164" s="1" t="str">
        <f>"JAIL MEDICAL"</f>
        <v>JAIL MEDICAL</v>
      </c>
      <c r="G164" s="3">
        <v>6.95</v>
      </c>
      <c r="H164" s="1" t="str">
        <f>"JAIL MEDICAL"</f>
        <v>JAIL MEDICAL</v>
      </c>
    </row>
    <row r="165" spans="1:9" x14ac:dyDescent="0.25">
      <c r="A165" s="1" t="s">
        <v>51</v>
      </c>
      <c r="B165" s="1">
        <v>83102</v>
      </c>
      <c r="C165" s="3">
        <v>290.14999999999998</v>
      </c>
      <c r="D165" s="2">
        <v>43668</v>
      </c>
      <c r="E165" s="1" t="str">
        <f>"201907160568"</f>
        <v>201907160568</v>
      </c>
      <c r="F165" s="1" t="str">
        <f>"INDIGENT HEALTH"</f>
        <v>INDIGENT HEALTH</v>
      </c>
      <c r="G165" s="3">
        <v>290.14999999999998</v>
      </c>
      <c r="H165" s="1" t="str">
        <f>"INDIGENT HEALTH"</f>
        <v>INDIGENT HEALTH</v>
      </c>
    </row>
    <row r="166" spans="1:9" x14ac:dyDescent="0.25">
      <c r="A166" s="1" t="s">
        <v>52</v>
      </c>
      <c r="B166" s="1">
        <v>82866</v>
      </c>
      <c r="C166" s="3">
        <v>150</v>
      </c>
      <c r="D166" s="2">
        <v>43654</v>
      </c>
      <c r="E166" s="1" t="str">
        <f>"201906250099"</f>
        <v>201906250099</v>
      </c>
      <c r="F166" s="1" t="str">
        <f>"PER DIEM"</f>
        <v>PER DIEM</v>
      </c>
      <c r="G166" s="3">
        <v>150</v>
      </c>
      <c r="H166" s="1" t="str">
        <f>"PER DIEM"</f>
        <v>PER DIEM</v>
      </c>
    </row>
    <row r="167" spans="1:9" x14ac:dyDescent="0.25">
      <c r="A167" s="1" t="s">
        <v>53</v>
      </c>
      <c r="B167" s="1">
        <v>1036</v>
      </c>
      <c r="C167" s="3">
        <v>233</v>
      </c>
      <c r="D167" s="2">
        <v>43655</v>
      </c>
      <c r="E167" s="1" t="str">
        <f>"201907010200"</f>
        <v>201907010200</v>
      </c>
      <c r="F167" s="1" t="str">
        <f>"CUST ID:0010/PCT#2"</f>
        <v>CUST ID:0010/PCT#2</v>
      </c>
      <c r="G167" s="3">
        <v>213</v>
      </c>
      <c r="H167" s="1" t="str">
        <f>"CUST ID:0010/PCT#2"</f>
        <v>CUST ID:0010/PCT#2</v>
      </c>
    </row>
    <row r="168" spans="1:9" x14ac:dyDescent="0.25">
      <c r="E168" s="1" t="str">
        <f>"362041"</f>
        <v>362041</v>
      </c>
      <c r="F168" s="1" t="str">
        <f>"CUST ID:0011/PCT#3"</f>
        <v>CUST ID:0011/PCT#3</v>
      </c>
      <c r="G168" s="3">
        <v>20</v>
      </c>
      <c r="H168" s="1" t="str">
        <f>"CUST ID:0011/PCT#3"</f>
        <v>CUST ID:0011/PCT#3</v>
      </c>
    </row>
    <row r="169" spans="1:9" x14ac:dyDescent="0.25">
      <c r="A169" s="1" t="s">
        <v>53</v>
      </c>
      <c r="B169" s="1">
        <v>1111</v>
      </c>
      <c r="C169" s="3">
        <v>2626.85</v>
      </c>
      <c r="D169" s="2">
        <v>43669</v>
      </c>
      <c r="E169" s="1" t="str">
        <f>"201907100404"</f>
        <v>201907100404</v>
      </c>
      <c r="F169" s="1" t="str">
        <f>"CUST ID:0009/PCT#1"</f>
        <v>CUST ID:0009/PCT#1</v>
      </c>
      <c r="G169" s="3">
        <v>2626.85</v>
      </c>
      <c r="H169" s="1" t="str">
        <f>"CUST ID:0009/PCT#1"</f>
        <v>CUST ID:0009/PCT#1</v>
      </c>
    </row>
    <row r="170" spans="1:9" x14ac:dyDescent="0.25">
      <c r="A170" s="1" t="s">
        <v>54</v>
      </c>
      <c r="B170" s="1">
        <v>82867</v>
      </c>
      <c r="C170" s="3">
        <v>305</v>
      </c>
      <c r="D170" s="2">
        <v>43654</v>
      </c>
      <c r="E170" s="1" t="str">
        <f>"1326"</f>
        <v>1326</v>
      </c>
      <c r="F170" s="1" t="str">
        <f>"INV 1326 / UNIT 126"</f>
        <v>INV 1326 / UNIT 126</v>
      </c>
      <c r="G170" s="3">
        <v>305</v>
      </c>
      <c r="H170" s="1" t="str">
        <f>"INV 1326 / UNIT 126"</f>
        <v>INV 1326 / UNIT 126</v>
      </c>
    </row>
    <row r="171" spans="1:9" x14ac:dyDescent="0.25">
      <c r="A171" s="1" t="s">
        <v>55</v>
      </c>
      <c r="B171" s="1">
        <v>82868</v>
      </c>
      <c r="C171" s="3">
        <v>30</v>
      </c>
      <c r="D171" s="2">
        <v>43654</v>
      </c>
      <c r="E171" s="1" t="str">
        <f>"201907010219"</f>
        <v>201907010219</v>
      </c>
      <c r="F171" s="1" t="str">
        <f>"REFUND BAIL BOND COUPONS"</f>
        <v>REFUND BAIL BOND COUPONS</v>
      </c>
      <c r="G171" s="3">
        <v>30</v>
      </c>
      <c r="H171" s="1" t="str">
        <f>"REFUND BAIL BOND COUPONS"</f>
        <v>REFUND BAIL BOND COUPONS</v>
      </c>
    </row>
    <row r="172" spans="1:9" x14ac:dyDescent="0.25">
      <c r="A172" s="1" t="s">
        <v>56</v>
      </c>
      <c r="B172" s="1">
        <v>82869</v>
      </c>
      <c r="C172" s="3">
        <v>525</v>
      </c>
      <c r="D172" s="2">
        <v>43654</v>
      </c>
      <c r="E172" s="1" t="str">
        <f>"17030"</f>
        <v>17030</v>
      </c>
      <c r="F172" s="1" t="str">
        <f>"BEST LEADERSHIP PROGRAM"</f>
        <v>BEST LEADERSHIP PROGRAM</v>
      </c>
      <c r="G172" s="3">
        <v>525</v>
      </c>
      <c r="H172" s="1" t="str">
        <f>"BEST LEADERSHIP PROGRAM"</f>
        <v>BEST LEADERSHIP PROGRAM</v>
      </c>
    </row>
    <row r="173" spans="1:9" x14ac:dyDescent="0.25">
      <c r="A173" s="1" t="s">
        <v>57</v>
      </c>
      <c r="B173" s="1">
        <v>82870</v>
      </c>
      <c r="C173" s="3">
        <v>6470</v>
      </c>
      <c r="D173" s="2">
        <v>43654</v>
      </c>
      <c r="E173" s="1" t="s">
        <v>58</v>
      </c>
      <c r="F173" s="1" t="s">
        <v>59</v>
      </c>
      <c r="G173" s="3" t="str">
        <f>"SERVICE"</f>
        <v>SERVICE</v>
      </c>
      <c r="H173" s="1" t="str">
        <f>"995-4110"</f>
        <v>995-4110</v>
      </c>
      <c r="I173" s="1" t="str">
        <f>""</f>
        <v/>
      </c>
    </row>
    <row r="174" spans="1:9" x14ac:dyDescent="0.25">
      <c r="E174" s="1" t="str">
        <f>"12205  05/22/19"</f>
        <v>12205  05/22/19</v>
      </c>
      <c r="F174" s="1" t="str">
        <f>"SERVICE  05/22/19"</f>
        <v>SERVICE  05/22/19</v>
      </c>
      <c r="G174" s="3">
        <v>100</v>
      </c>
      <c r="H174" s="1" t="str">
        <f>"SERVICE  05/22/19"</f>
        <v>SERVICE  05/22/19</v>
      </c>
    </row>
    <row r="175" spans="1:9" x14ac:dyDescent="0.25">
      <c r="E175" s="1" t="str">
        <f>"12268"</f>
        <v>12268</v>
      </c>
      <c r="F175" s="1" t="str">
        <f>"SERVICE 04/04/19"</f>
        <v>SERVICE 04/04/19</v>
      </c>
      <c r="G175" s="3">
        <v>325</v>
      </c>
      <c r="H175" s="1" t="str">
        <f>"SERVICE 04/04/19"</f>
        <v>SERVICE 04/04/19</v>
      </c>
    </row>
    <row r="176" spans="1:9" x14ac:dyDescent="0.25">
      <c r="E176" s="1" t="str">
        <f>"12271  06/03/19"</f>
        <v>12271  06/03/19</v>
      </c>
      <c r="F176" s="1" t="str">
        <f>"SERVICE"</f>
        <v>SERVICE</v>
      </c>
      <c r="G176" s="3">
        <v>250</v>
      </c>
      <c r="H176" s="1" t="str">
        <f>"SERVICE"</f>
        <v>SERVICE</v>
      </c>
    </row>
    <row r="177" spans="1:8" x14ac:dyDescent="0.25">
      <c r="E177" s="1" t="str">
        <f>"12632"</f>
        <v>12632</v>
      </c>
      <c r="F177" s="1" t="str">
        <f>"SERVICE  04/04/19"</f>
        <v>SERVICE  04/04/19</v>
      </c>
      <c r="G177" s="3">
        <v>250</v>
      </c>
      <c r="H177" s="1" t="str">
        <f>"SERVICE  04/04/19"</f>
        <v>SERVICE  04/04/19</v>
      </c>
    </row>
    <row r="178" spans="1:8" x14ac:dyDescent="0.25">
      <c r="E178" s="1" t="str">
        <f>"12756"</f>
        <v>12756</v>
      </c>
      <c r="F178" s="1" t="str">
        <f>"SERVICE 04/04/19"</f>
        <v>SERVICE 04/04/19</v>
      </c>
      <c r="G178" s="3">
        <v>400</v>
      </c>
      <c r="H178" s="1" t="str">
        <f>"SERVICE 04/04/19"</f>
        <v>SERVICE 04/04/19</v>
      </c>
    </row>
    <row r="179" spans="1:8" x14ac:dyDescent="0.25">
      <c r="E179" s="1" t="str">
        <f>"12765"</f>
        <v>12765</v>
      </c>
      <c r="F179" s="1" t="str">
        <f>"SERVICE 04/04/19"</f>
        <v>SERVICE 04/04/19</v>
      </c>
      <c r="G179" s="3">
        <v>475</v>
      </c>
      <c r="H179" s="1" t="str">
        <f>"SERVICE 04/04/19"</f>
        <v>SERVICE 04/04/19</v>
      </c>
    </row>
    <row r="180" spans="1:8" x14ac:dyDescent="0.25">
      <c r="E180" s="1" t="str">
        <f>"12846"</f>
        <v>12846</v>
      </c>
      <c r="F180" s="1" t="str">
        <f>"SERVICE 04/04/19"</f>
        <v>SERVICE 04/04/19</v>
      </c>
      <c r="G180" s="3">
        <v>325</v>
      </c>
      <c r="H180" s="1" t="str">
        <f>"SERVICE 04/04/19"</f>
        <v>SERVICE 04/04/19</v>
      </c>
    </row>
    <row r="181" spans="1:8" x14ac:dyDescent="0.25">
      <c r="E181" s="1" t="str">
        <f>"12848"</f>
        <v>12848</v>
      </c>
      <c r="F181" s="1" t="str">
        <f>"SERVICE"</f>
        <v>SERVICE</v>
      </c>
      <c r="G181" s="3">
        <v>475</v>
      </c>
      <c r="H181" s="1" t="str">
        <f>"SERVICE"</f>
        <v>SERVICE</v>
      </c>
    </row>
    <row r="182" spans="1:8" x14ac:dyDescent="0.25">
      <c r="E182" s="1" t="str">
        <f>"12850"</f>
        <v>12850</v>
      </c>
      <c r="F182" s="1" t="str">
        <f t="shared" ref="F182:F188" si="5">"SERVICE 04/04/19"</f>
        <v>SERVICE 04/04/19</v>
      </c>
      <c r="G182" s="3">
        <v>700</v>
      </c>
      <c r="H182" s="1" t="str">
        <f t="shared" ref="H182:H188" si="6">"SERVICE 04/04/19"</f>
        <v>SERVICE 04/04/19</v>
      </c>
    </row>
    <row r="183" spans="1:8" x14ac:dyDescent="0.25">
      <c r="E183" s="1" t="str">
        <f>"12870"</f>
        <v>12870</v>
      </c>
      <c r="F183" s="1" t="str">
        <f t="shared" si="5"/>
        <v>SERVICE 04/04/19</v>
      </c>
      <c r="G183" s="3">
        <v>575</v>
      </c>
      <c r="H183" s="1" t="str">
        <f t="shared" si="6"/>
        <v>SERVICE 04/04/19</v>
      </c>
    </row>
    <row r="184" spans="1:8" x14ac:dyDescent="0.25">
      <c r="E184" s="1" t="str">
        <f>"12871"</f>
        <v>12871</v>
      </c>
      <c r="F184" s="1" t="str">
        <f t="shared" si="5"/>
        <v>SERVICE 04/04/19</v>
      </c>
      <c r="G184" s="3">
        <v>325</v>
      </c>
      <c r="H184" s="1" t="str">
        <f t="shared" si="6"/>
        <v>SERVICE 04/04/19</v>
      </c>
    </row>
    <row r="185" spans="1:8" x14ac:dyDescent="0.25">
      <c r="E185" s="1" t="str">
        <f>"12907"</f>
        <v>12907</v>
      </c>
      <c r="F185" s="1" t="str">
        <f t="shared" si="5"/>
        <v>SERVICE 04/04/19</v>
      </c>
      <c r="G185" s="3">
        <v>325</v>
      </c>
      <c r="H185" s="1" t="str">
        <f t="shared" si="6"/>
        <v>SERVICE 04/04/19</v>
      </c>
    </row>
    <row r="186" spans="1:8" x14ac:dyDescent="0.25">
      <c r="E186" s="1" t="str">
        <f>"12909"</f>
        <v>12909</v>
      </c>
      <c r="F186" s="1" t="str">
        <f t="shared" si="5"/>
        <v>SERVICE 04/04/19</v>
      </c>
      <c r="G186" s="3">
        <v>325</v>
      </c>
      <c r="H186" s="1" t="str">
        <f t="shared" si="6"/>
        <v>SERVICE 04/04/19</v>
      </c>
    </row>
    <row r="187" spans="1:8" x14ac:dyDescent="0.25">
      <c r="E187" s="1" t="str">
        <f>"12932"</f>
        <v>12932</v>
      </c>
      <c r="F187" s="1" t="str">
        <f t="shared" si="5"/>
        <v>SERVICE 04/04/19</v>
      </c>
      <c r="G187" s="3">
        <v>400</v>
      </c>
      <c r="H187" s="1" t="str">
        <f t="shared" si="6"/>
        <v>SERVICE 04/04/19</v>
      </c>
    </row>
    <row r="188" spans="1:8" x14ac:dyDescent="0.25">
      <c r="E188" s="1" t="str">
        <f>"12933"</f>
        <v>12933</v>
      </c>
      <c r="F188" s="1" t="str">
        <f t="shared" si="5"/>
        <v>SERVICE 04/04/19</v>
      </c>
      <c r="G188" s="3">
        <v>325</v>
      </c>
      <c r="H188" s="1" t="str">
        <f t="shared" si="6"/>
        <v>SERVICE 04/04/19</v>
      </c>
    </row>
    <row r="189" spans="1:8" x14ac:dyDescent="0.25">
      <c r="E189" s="1" t="str">
        <f>"12993  05/30/19"</f>
        <v>12993  05/30/19</v>
      </c>
      <c r="F189" s="1" t="str">
        <f t="shared" ref="F189:F199" si="7">"SERVICE"</f>
        <v>SERVICE</v>
      </c>
      <c r="G189" s="3">
        <v>20</v>
      </c>
      <c r="H189" s="1" t="str">
        <f t="shared" ref="H189:H199" si="8">"SERVICE"</f>
        <v>SERVICE</v>
      </c>
    </row>
    <row r="190" spans="1:8" x14ac:dyDescent="0.25">
      <c r="E190" s="1" t="str">
        <f>"13053"</f>
        <v>13053</v>
      </c>
      <c r="F190" s="1" t="str">
        <f t="shared" si="7"/>
        <v>SERVICE</v>
      </c>
      <c r="G190" s="3">
        <v>475</v>
      </c>
      <c r="H190" s="1" t="str">
        <f t="shared" si="8"/>
        <v>SERVICE</v>
      </c>
    </row>
    <row r="191" spans="1:8" x14ac:dyDescent="0.25">
      <c r="E191" s="1" t="str">
        <f>"13115"</f>
        <v>13115</v>
      </c>
      <c r="F191" s="1" t="str">
        <f t="shared" si="7"/>
        <v>SERVICE</v>
      </c>
      <c r="G191" s="3">
        <v>150</v>
      </c>
      <c r="H191" s="1" t="str">
        <f t="shared" si="8"/>
        <v>SERVICE</v>
      </c>
    </row>
    <row r="192" spans="1:8" x14ac:dyDescent="0.25">
      <c r="A192" s="1" t="s">
        <v>57</v>
      </c>
      <c r="B192" s="1">
        <v>83103</v>
      </c>
      <c r="C192" s="3">
        <v>2225</v>
      </c>
      <c r="D192" s="2">
        <v>43668</v>
      </c>
      <c r="E192" s="1" t="str">
        <f>"12439"</f>
        <v>12439</v>
      </c>
      <c r="F192" s="1" t="str">
        <f t="shared" si="7"/>
        <v>SERVICE</v>
      </c>
      <c r="G192" s="3">
        <v>75</v>
      </c>
      <c r="H192" s="1" t="str">
        <f t="shared" si="8"/>
        <v>SERVICE</v>
      </c>
    </row>
    <row r="193" spans="1:8" x14ac:dyDescent="0.25">
      <c r="E193" s="1" t="str">
        <f>"12613  06/24/19"</f>
        <v>12613  06/24/19</v>
      </c>
      <c r="F193" s="1" t="str">
        <f t="shared" si="7"/>
        <v>SERVICE</v>
      </c>
      <c r="G193" s="3">
        <v>250</v>
      </c>
      <c r="H193" s="1" t="str">
        <f t="shared" si="8"/>
        <v>SERVICE</v>
      </c>
    </row>
    <row r="194" spans="1:8" x14ac:dyDescent="0.25">
      <c r="E194" s="1" t="str">
        <f>"12656"</f>
        <v>12656</v>
      </c>
      <c r="F194" s="1" t="str">
        <f t="shared" si="7"/>
        <v>SERVICE</v>
      </c>
      <c r="G194" s="3">
        <v>225</v>
      </c>
      <c r="H194" s="1" t="str">
        <f t="shared" si="8"/>
        <v>SERVICE</v>
      </c>
    </row>
    <row r="195" spans="1:8" x14ac:dyDescent="0.25">
      <c r="E195" s="1" t="str">
        <f>"12733"</f>
        <v>12733</v>
      </c>
      <c r="F195" s="1" t="str">
        <f t="shared" si="7"/>
        <v>SERVICE</v>
      </c>
      <c r="G195" s="3">
        <v>850</v>
      </c>
      <c r="H195" s="1" t="str">
        <f t="shared" si="8"/>
        <v>SERVICE</v>
      </c>
    </row>
    <row r="196" spans="1:8" x14ac:dyDescent="0.25">
      <c r="E196" s="1" t="str">
        <f>"13185"</f>
        <v>13185</v>
      </c>
      <c r="F196" s="1" t="str">
        <f t="shared" si="7"/>
        <v>SERVICE</v>
      </c>
      <c r="G196" s="3">
        <v>75</v>
      </c>
      <c r="H196" s="1" t="str">
        <f t="shared" si="8"/>
        <v>SERVICE</v>
      </c>
    </row>
    <row r="197" spans="1:8" x14ac:dyDescent="0.25">
      <c r="E197" s="1" t="str">
        <f>"13198"</f>
        <v>13198</v>
      </c>
      <c r="F197" s="1" t="str">
        <f t="shared" si="7"/>
        <v>SERVICE</v>
      </c>
      <c r="G197" s="3">
        <v>450</v>
      </c>
      <c r="H197" s="1" t="str">
        <f t="shared" si="8"/>
        <v>SERVICE</v>
      </c>
    </row>
    <row r="198" spans="1:8" x14ac:dyDescent="0.25">
      <c r="E198" s="1" t="str">
        <f>"13210"</f>
        <v>13210</v>
      </c>
      <c r="F198" s="1" t="str">
        <f t="shared" si="7"/>
        <v>SERVICE</v>
      </c>
      <c r="G198" s="3">
        <v>150</v>
      </c>
      <c r="H198" s="1" t="str">
        <f t="shared" si="8"/>
        <v>SERVICE</v>
      </c>
    </row>
    <row r="199" spans="1:8" x14ac:dyDescent="0.25">
      <c r="E199" s="1" t="str">
        <f>"13214"</f>
        <v>13214</v>
      </c>
      <c r="F199" s="1" t="str">
        <f t="shared" si="7"/>
        <v>SERVICE</v>
      </c>
      <c r="G199" s="3">
        <v>150</v>
      </c>
      <c r="H199" s="1" t="str">
        <f t="shared" si="8"/>
        <v>SERVICE</v>
      </c>
    </row>
    <row r="200" spans="1:8" x14ac:dyDescent="0.25">
      <c r="A200" s="1" t="s">
        <v>60</v>
      </c>
      <c r="B200" s="1">
        <v>83104</v>
      </c>
      <c r="C200" s="3">
        <v>217.43</v>
      </c>
      <c r="D200" s="2">
        <v>43668</v>
      </c>
      <c r="E200" s="1" t="str">
        <f>"201907090311"</f>
        <v>201907090311</v>
      </c>
      <c r="F200" s="1" t="str">
        <f>"ACCT#BC01"</f>
        <v>ACCT#BC01</v>
      </c>
      <c r="G200" s="3">
        <v>217.43</v>
      </c>
      <c r="H200" s="1" t="str">
        <f>"ACCT#BC01"</f>
        <v>ACCT#BC01</v>
      </c>
    </row>
    <row r="201" spans="1:8" x14ac:dyDescent="0.25">
      <c r="E201" s="1" t="str">
        <f>""</f>
        <v/>
      </c>
      <c r="F201" s="1" t="str">
        <f>""</f>
        <v/>
      </c>
      <c r="H201" s="1" t="str">
        <f>"ACCT#BC01"</f>
        <v>ACCT#BC01</v>
      </c>
    </row>
    <row r="202" spans="1:8" x14ac:dyDescent="0.25">
      <c r="E202" s="1" t="str">
        <f>""</f>
        <v/>
      </c>
      <c r="F202" s="1" t="str">
        <f>""</f>
        <v/>
      </c>
      <c r="H202" s="1" t="str">
        <f>"ACCT#BC01"</f>
        <v>ACCT#BC01</v>
      </c>
    </row>
    <row r="203" spans="1:8" x14ac:dyDescent="0.25">
      <c r="E203" s="1" t="str">
        <f>""</f>
        <v/>
      </c>
      <c r="F203" s="1" t="str">
        <f>""</f>
        <v/>
      </c>
      <c r="H203" s="1" t="str">
        <f>"ACCT#BC01"</f>
        <v>ACCT#BC01</v>
      </c>
    </row>
    <row r="204" spans="1:8" x14ac:dyDescent="0.25">
      <c r="A204" s="1" t="s">
        <v>61</v>
      </c>
      <c r="B204" s="1">
        <v>1100</v>
      </c>
      <c r="C204" s="3">
        <v>24586.720000000001</v>
      </c>
      <c r="D204" s="2">
        <v>43669</v>
      </c>
      <c r="E204" s="1" t="str">
        <f>"201907090312"</f>
        <v>201907090312</v>
      </c>
      <c r="F204" s="1" t="str">
        <f>"GRANT REIMBURSEMENT"</f>
        <v>GRANT REIMBURSEMENT</v>
      </c>
      <c r="G204" s="3">
        <v>10905.12</v>
      </c>
      <c r="H204" s="1" t="str">
        <f>"GRANT REIMBURSEMENT"</f>
        <v>GRANT REIMBURSEMENT</v>
      </c>
    </row>
    <row r="205" spans="1:8" x14ac:dyDescent="0.25">
      <c r="E205" s="1" t="str">
        <f>"201907120419"</f>
        <v>201907120419</v>
      </c>
      <c r="F205" s="1" t="str">
        <f>"GRANT REIMBURSEMENT"</f>
        <v>GRANT REIMBURSEMENT</v>
      </c>
      <c r="G205" s="3">
        <v>13681.6</v>
      </c>
      <c r="H205" s="1" t="str">
        <f>"GRANT REIMBURSEMENT"</f>
        <v>GRANT REIMBURSEMENT</v>
      </c>
    </row>
    <row r="206" spans="1:8" x14ac:dyDescent="0.25">
      <c r="A206" s="1" t="s">
        <v>62</v>
      </c>
      <c r="B206" s="1">
        <v>1131</v>
      </c>
      <c r="C206" s="3">
        <v>78.680000000000007</v>
      </c>
      <c r="D206" s="2">
        <v>43669</v>
      </c>
      <c r="E206" s="1" t="str">
        <f>"201907160569"</f>
        <v>201907160569</v>
      </c>
      <c r="F206" s="1" t="str">
        <f>"INDIGENT HEALTH"</f>
        <v>INDIGENT HEALTH</v>
      </c>
      <c r="G206" s="3">
        <v>78.680000000000007</v>
      </c>
      <c r="H206" s="1" t="str">
        <f>"INDIGENT HEALTH"</f>
        <v>INDIGENT HEALTH</v>
      </c>
    </row>
    <row r="207" spans="1:8" x14ac:dyDescent="0.25">
      <c r="A207" s="1" t="s">
        <v>63</v>
      </c>
      <c r="B207" s="1">
        <v>1077</v>
      </c>
      <c r="C207" s="3">
        <v>1875</v>
      </c>
      <c r="D207" s="2">
        <v>43669</v>
      </c>
      <c r="E207" s="1" t="str">
        <f>"2019063"</f>
        <v>2019063</v>
      </c>
      <c r="F207" s="1" t="str">
        <f>"TRANSPORT-M. MENDOZA"</f>
        <v>TRANSPORT-M. MENDOZA</v>
      </c>
      <c r="G207" s="3">
        <v>495</v>
      </c>
      <c r="H207" s="1" t="str">
        <f>"TRANSPORT-M. MENDOZA"</f>
        <v>TRANSPORT-M. MENDOZA</v>
      </c>
    </row>
    <row r="208" spans="1:8" x14ac:dyDescent="0.25">
      <c r="E208" s="1" t="str">
        <f>"2019065"</f>
        <v>2019065</v>
      </c>
      <c r="F208" s="1" t="str">
        <f>"TRANSPORT-M. REYES"</f>
        <v>TRANSPORT-M. REYES</v>
      </c>
      <c r="G208" s="3">
        <v>390</v>
      </c>
      <c r="H208" s="1" t="str">
        <f>"TRANSPORT-M. REYES"</f>
        <v>TRANSPORT-M. REYES</v>
      </c>
    </row>
    <row r="209" spans="1:8" x14ac:dyDescent="0.25">
      <c r="E209" s="1" t="str">
        <f>"2019069"</f>
        <v>2019069</v>
      </c>
      <c r="F209" s="1" t="str">
        <f>"TRANSPORT-M. CERVANTEZ"</f>
        <v>TRANSPORT-M. CERVANTEZ</v>
      </c>
      <c r="G209" s="3">
        <v>495</v>
      </c>
      <c r="H209" s="1" t="str">
        <f>"TRANSPORT-M. CERVANTEZ"</f>
        <v>TRANSPORT-M. CERVANTEZ</v>
      </c>
    </row>
    <row r="210" spans="1:8" x14ac:dyDescent="0.25">
      <c r="E210" s="1" t="str">
        <f>"2019072"</f>
        <v>2019072</v>
      </c>
      <c r="F210" s="1" t="str">
        <f>"TRANSPORT-L. LUNA"</f>
        <v>TRANSPORT-L. LUNA</v>
      </c>
      <c r="G210" s="3">
        <v>495</v>
      </c>
      <c r="H210" s="1" t="str">
        <f>"TRANSPORT-L. LUNA"</f>
        <v>TRANSPORT-L. LUNA</v>
      </c>
    </row>
    <row r="211" spans="1:8" x14ac:dyDescent="0.25">
      <c r="A211" s="1" t="s">
        <v>64</v>
      </c>
      <c r="B211" s="1">
        <v>82871</v>
      </c>
      <c r="C211" s="3">
        <v>2879</v>
      </c>
      <c r="D211" s="2">
        <v>43654</v>
      </c>
      <c r="E211" s="1" t="str">
        <f>"6400"</f>
        <v>6400</v>
      </c>
      <c r="F211" s="1" t="str">
        <f>"PARK SIGNS/GENERAL SVCS"</f>
        <v>PARK SIGNS/GENERAL SVCS</v>
      </c>
      <c r="G211" s="3">
        <v>2879</v>
      </c>
      <c r="H211" s="1" t="str">
        <f>"PARK SIGNS/GENERAL SVCS"</f>
        <v>PARK SIGNS/GENERAL SVCS</v>
      </c>
    </row>
    <row r="212" spans="1:8" x14ac:dyDescent="0.25">
      <c r="A212" s="1" t="s">
        <v>65</v>
      </c>
      <c r="B212" s="1">
        <v>1009</v>
      </c>
      <c r="C212" s="3">
        <v>3125</v>
      </c>
      <c r="D212" s="2">
        <v>43655</v>
      </c>
      <c r="E212" s="1" t="str">
        <f>"5548R"</f>
        <v>5548R</v>
      </c>
      <c r="F212" s="1" t="str">
        <f>"inv# 5548R"</f>
        <v>inv# 5548R</v>
      </c>
      <c r="G212" s="3">
        <v>1500</v>
      </c>
      <c r="H212" s="1" t="str">
        <f>"inv# 5548R"</f>
        <v>inv# 5548R</v>
      </c>
    </row>
    <row r="213" spans="1:8" x14ac:dyDescent="0.25">
      <c r="E213" s="1" t="str">
        <f>"5549R"</f>
        <v>5549R</v>
      </c>
      <c r="F213" s="1" t="str">
        <f>"inv# 5549R"</f>
        <v>inv# 5549R</v>
      </c>
      <c r="G213" s="3">
        <v>825</v>
      </c>
      <c r="H213" s="1" t="str">
        <f>"inv# 5549R"</f>
        <v>inv# 5549R</v>
      </c>
    </row>
    <row r="214" spans="1:8" x14ac:dyDescent="0.25">
      <c r="E214" s="1" t="str">
        <f>"5551R"</f>
        <v>5551R</v>
      </c>
      <c r="F214" s="1" t="str">
        <f>"inv# 5551R"</f>
        <v>inv# 5551R</v>
      </c>
      <c r="G214" s="3">
        <v>800</v>
      </c>
      <c r="H214" s="1" t="str">
        <f>"inv# 5551R"</f>
        <v>inv# 5551R</v>
      </c>
    </row>
    <row r="215" spans="1:8" x14ac:dyDescent="0.25">
      <c r="A215" s="1" t="s">
        <v>66</v>
      </c>
      <c r="B215" s="1">
        <v>1072</v>
      </c>
      <c r="C215" s="3">
        <v>3369.46</v>
      </c>
      <c r="D215" s="2">
        <v>43669</v>
      </c>
      <c r="E215" s="1" t="str">
        <f>"201907170598"</f>
        <v>201907170598</v>
      </c>
      <c r="F215" s="1" t="str">
        <f>"JUNE INVOICE"</f>
        <v>JUNE INVOICE</v>
      </c>
      <c r="G215" s="3">
        <v>3369.46</v>
      </c>
      <c r="H215" s="1" t="str">
        <f>"JUNE INVOICE - LE"</f>
        <v>JUNE INVOICE - LE</v>
      </c>
    </row>
    <row r="216" spans="1:8" x14ac:dyDescent="0.25">
      <c r="E216" s="1" t="str">
        <f>""</f>
        <v/>
      </c>
      <c r="F216" s="1" t="str">
        <f>""</f>
        <v/>
      </c>
      <c r="H216" s="1" t="str">
        <f>"JUNE INVOICE - JAIL"</f>
        <v>JUNE INVOICE - JAIL</v>
      </c>
    </row>
    <row r="217" spans="1:8" x14ac:dyDescent="0.25">
      <c r="A217" s="1" t="s">
        <v>67</v>
      </c>
      <c r="B217" s="1">
        <v>82872</v>
      </c>
      <c r="C217" s="3">
        <v>140</v>
      </c>
      <c r="D217" s="2">
        <v>43654</v>
      </c>
      <c r="E217" s="1" t="str">
        <f>"12632"</f>
        <v>12632</v>
      </c>
      <c r="F217" s="1" t="str">
        <f>"SERVICE  04/04/19"</f>
        <v>SERVICE  04/04/19</v>
      </c>
      <c r="G217" s="3">
        <v>140</v>
      </c>
      <c r="H217" s="1" t="str">
        <f>"SERVICE  04/04/19"</f>
        <v>SERVICE  04/04/19</v>
      </c>
    </row>
    <row r="218" spans="1:8" x14ac:dyDescent="0.25">
      <c r="A218" s="1" t="s">
        <v>68</v>
      </c>
      <c r="B218" s="1">
        <v>82873</v>
      </c>
      <c r="C218" s="3">
        <v>1373.54</v>
      </c>
      <c r="D218" s="2">
        <v>43654</v>
      </c>
      <c r="E218" s="1" t="str">
        <f>"75132492 75140913"</f>
        <v>75132492 75140913</v>
      </c>
      <c r="F218" s="1" t="str">
        <f>"INV 75132492"</f>
        <v>INV 75132492</v>
      </c>
      <c r="G218" s="3">
        <v>1373.54</v>
      </c>
      <c r="H218" s="1" t="str">
        <f>"INV 75132492"</f>
        <v>INV 75132492</v>
      </c>
    </row>
    <row r="219" spans="1:8" x14ac:dyDescent="0.25">
      <c r="E219" s="1" t="str">
        <f>""</f>
        <v/>
      </c>
      <c r="F219" s="1" t="str">
        <f>""</f>
        <v/>
      </c>
      <c r="H219" s="1" t="str">
        <f>"INV 75140913"</f>
        <v>INV 75140913</v>
      </c>
    </row>
    <row r="220" spans="1:8" x14ac:dyDescent="0.25">
      <c r="A220" s="1" t="s">
        <v>68</v>
      </c>
      <c r="B220" s="1">
        <v>83105</v>
      </c>
      <c r="C220" s="3">
        <v>1279.22</v>
      </c>
      <c r="D220" s="2">
        <v>43668</v>
      </c>
      <c r="E220" s="1" t="str">
        <f>"75147837/75157065"</f>
        <v>75147837/75157065</v>
      </c>
      <c r="F220" s="1" t="str">
        <f>"INV 75147837"</f>
        <v>INV 75147837</v>
      </c>
      <c r="G220" s="3">
        <v>1279.22</v>
      </c>
      <c r="H220" s="1" t="str">
        <f>"INV 75147837"</f>
        <v>INV 75147837</v>
      </c>
    </row>
    <row r="221" spans="1:8" x14ac:dyDescent="0.25">
      <c r="E221" s="1" t="str">
        <f>""</f>
        <v/>
      </c>
      <c r="F221" s="1" t="str">
        <f>""</f>
        <v/>
      </c>
      <c r="H221" s="1" t="str">
        <f>"INV 75157065"</f>
        <v>INV 75157065</v>
      </c>
    </row>
    <row r="222" spans="1:8" x14ac:dyDescent="0.25">
      <c r="A222" s="1" t="s">
        <v>69</v>
      </c>
      <c r="B222" s="1">
        <v>82874</v>
      </c>
      <c r="C222" s="3">
        <v>69.989999999999995</v>
      </c>
      <c r="D222" s="2">
        <v>43654</v>
      </c>
      <c r="E222" s="1" t="str">
        <f>"3885557"</f>
        <v>3885557</v>
      </c>
      <c r="F222" s="1" t="str">
        <f>"inv# 3885557"</f>
        <v>inv# 3885557</v>
      </c>
      <c r="G222" s="3">
        <v>69.989999999999995</v>
      </c>
      <c r="H222" s="1" t="str">
        <f>"inv# 3885557"</f>
        <v>inv# 3885557</v>
      </c>
    </row>
    <row r="223" spans="1:8" x14ac:dyDescent="0.25">
      <c r="A223" s="1" t="s">
        <v>70</v>
      </c>
      <c r="B223" s="1">
        <v>1051</v>
      </c>
      <c r="C223" s="3">
        <v>3326.4</v>
      </c>
      <c r="D223" s="2">
        <v>43655</v>
      </c>
      <c r="E223" s="1" t="str">
        <f>"24253"</f>
        <v>24253</v>
      </c>
      <c r="F223" s="1" t="str">
        <f>"INV 24253"</f>
        <v>INV 24253</v>
      </c>
      <c r="G223" s="3">
        <v>3326.4</v>
      </c>
      <c r="H223" s="1" t="str">
        <f>"INV 24253"</f>
        <v>INV 24253</v>
      </c>
    </row>
    <row r="224" spans="1:8" x14ac:dyDescent="0.25">
      <c r="A224" s="1" t="s">
        <v>70</v>
      </c>
      <c r="B224" s="1">
        <v>1126</v>
      </c>
      <c r="C224" s="3">
        <v>3040.72</v>
      </c>
      <c r="D224" s="2">
        <v>43669</v>
      </c>
      <c r="E224" s="1" t="str">
        <f>"24313"</f>
        <v>24313</v>
      </c>
      <c r="F224" s="1" t="str">
        <f>"INV 24313"</f>
        <v>INV 24313</v>
      </c>
      <c r="G224" s="3">
        <v>3040.72</v>
      </c>
      <c r="H224" s="1" t="str">
        <f>"INV 24313"</f>
        <v>INV 24313</v>
      </c>
    </row>
    <row r="225" spans="1:9" x14ac:dyDescent="0.25">
      <c r="A225" s="1" t="s">
        <v>71</v>
      </c>
      <c r="B225" s="1">
        <v>83106</v>
      </c>
      <c r="C225" s="3">
        <v>50</v>
      </c>
      <c r="D225" s="2">
        <v>43668</v>
      </c>
      <c r="E225" s="1" t="s">
        <v>58</v>
      </c>
      <c r="F225" s="1" t="s">
        <v>72</v>
      </c>
      <c r="G225" s="3" t="str">
        <f>"RESTITUTION - J. RICHARDSON"</f>
        <v>RESTITUTION - J. RICHARDSON</v>
      </c>
      <c r="H225" s="1" t="str">
        <f>"210-0000"</f>
        <v>210-0000</v>
      </c>
      <c r="I225" s="1" t="str">
        <f>""</f>
        <v/>
      </c>
    </row>
    <row r="226" spans="1:9" x14ac:dyDescent="0.25">
      <c r="A226" s="1" t="s">
        <v>73</v>
      </c>
      <c r="B226" s="1">
        <v>1073</v>
      </c>
      <c r="C226" s="3">
        <v>383.06</v>
      </c>
      <c r="D226" s="2">
        <v>43669</v>
      </c>
      <c r="E226" s="1" t="str">
        <f>"201907090302"</f>
        <v>201907090302</v>
      </c>
      <c r="F226" s="1" t="str">
        <f>"16 126  16 740"</f>
        <v>16 126  16 740</v>
      </c>
      <c r="G226" s="3">
        <v>383.06</v>
      </c>
      <c r="H226" s="1" t="str">
        <f>"16 126  16 740"</f>
        <v>16 126  16 740</v>
      </c>
    </row>
    <row r="227" spans="1:9" x14ac:dyDescent="0.25">
      <c r="A227" s="1" t="s">
        <v>74</v>
      </c>
      <c r="B227" s="1">
        <v>1129</v>
      </c>
      <c r="C227" s="3">
        <v>387.81</v>
      </c>
      <c r="D227" s="2">
        <v>43669</v>
      </c>
      <c r="E227" s="1" t="str">
        <f>"39228"</f>
        <v>39228</v>
      </c>
      <c r="F227" s="1" t="str">
        <f>"2003 FRHT REPAIRS/PCT#1"</f>
        <v>2003 FRHT REPAIRS/PCT#1</v>
      </c>
      <c r="G227" s="3">
        <v>387.81</v>
      </c>
      <c r="H227" s="1" t="str">
        <f>"2003 FRHT REPAIRS/PCT#1"</f>
        <v>2003 FRHT REPAIRS/PCT#1</v>
      </c>
    </row>
    <row r="228" spans="1:9" x14ac:dyDescent="0.25">
      <c r="A228" s="1" t="s">
        <v>75</v>
      </c>
      <c r="B228" s="1">
        <v>82875</v>
      </c>
      <c r="C228" s="3">
        <v>597.46</v>
      </c>
      <c r="D228" s="2">
        <v>43654</v>
      </c>
      <c r="E228" s="1" t="str">
        <f>"84078902057 840789"</f>
        <v>84078902057 840789</v>
      </c>
      <c r="F228" s="1" t="str">
        <f>"INV 84078902057"</f>
        <v>INV 84078902057</v>
      </c>
      <c r="G228" s="3">
        <v>597.46</v>
      </c>
      <c r="H228" s="1" t="str">
        <f>"INV 84078902057"</f>
        <v>INV 84078902057</v>
      </c>
    </row>
    <row r="229" spans="1:9" x14ac:dyDescent="0.25">
      <c r="E229" s="1" t="str">
        <f>""</f>
        <v/>
      </c>
      <c r="F229" s="1" t="str">
        <f>""</f>
        <v/>
      </c>
      <c r="H229" s="1" t="str">
        <f>"INV 84078902128"</f>
        <v>INV 84078902128</v>
      </c>
    </row>
    <row r="230" spans="1:9" x14ac:dyDescent="0.25">
      <c r="A230" s="1" t="s">
        <v>75</v>
      </c>
      <c r="B230" s="1">
        <v>83107</v>
      </c>
      <c r="C230" s="3">
        <v>549.74</v>
      </c>
      <c r="D230" s="2">
        <v>43668</v>
      </c>
      <c r="E230" s="1" t="str">
        <f>"84078902215 840789"</f>
        <v>84078902215 840789</v>
      </c>
      <c r="F230" s="1" t="str">
        <f>"INV 84078902215"</f>
        <v>INV 84078902215</v>
      </c>
      <c r="G230" s="3">
        <v>549.74</v>
      </c>
      <c r="H230" s="1" t="str">
        <f>"INV 84078902215"</f>
        <v>INV 84078902215</v>
      </c>
    </row>
    <row r="231" spans="1:9" x14ac:dyDescent="0.25">
      <c r="E231" s="1" t="str">
        <f>""</f>
        <v/>
      </c>
      <c r="F231" s="1" t="str">
        <f>""</f>
        <v/>
      </c>
      <c r="H231" s="1" t="str">
        <f>"INV 84078902305"</f>
        <v>INV 84078902305</v>
      </c>
    </row>
    <row r="232" spans="1:9" x14ac:dyDescent="0.25">
      <c r="A232" s="1" t="s">
        <v>76</v>
      </c>
      <c r="B232" s="1">
        <v>1020</v>
      </c>
      <c r="C232" s="3">
        <v>100</v>
      </c>
      <c r="D232" s="2">
        <v>43655</v>
      </c>
      <c r="E232" s="1" t="str">
        <f>"201906280176"</f>
        <v>201906280176</v>
      </c>
      <c r="F232" s="1" t="str">
        <f>"423-4499"</f>
        <v>423-4499</v>
      </c>
      <c r="G232" s="3">
        <v>100</v>
      </c>
      <c r="H232" s="1" t="str">
        <f>"423-4499"</f>
        <v>423-4499</v>
      </c>
    </row>
    <row r="233" spans="1:9" x14ac:dyDescent="0.25">
      <c r="A233" s="1" t="s">
        <v>76</v>
      </c>
      <c r="B233" s="1">
        <v>1087</v>
      </c>
      <c r="C233" s="3">
        <v>1125</v>
      </c>
      <c r="D233" s="2">
        <v>43669</v>
      </c>
      <c r="E233" s="1" t="str">
        <f>"201907150458"</f>
        <v>201907150458</v>
      </c>
      <c r="F233" s="1" t="str">
        <f>"302272019B  925352-1767A001 19"</f>
        <v>302272019B  925352-1767A001 19</v>
      </c>
      <c r="G233" s="3">
        <v>250</v>
      </c>
      <c r="H233" s="1" t="str">
        <f>"302272019B  925352-1767A001 19"</f>
        <v>302272019B  925352-1767A001 19</v>
      </c>
    </row>
    <row r="234" spans="1:9" x14ac:dyDescent="0.25">
      <c r="E234" s="1" t="str">
        <f>"201907150459"</f>
        <v>201907150459</v>
      </c>
      <c r="F234" s="1" t="str">
        <f>"02-02196/929-3520760A001/19-S-"</f>
        <v>02-02196/929-3520760A001/19-S-</v>
      </c>
      <c r="G234" s="3">
        <v>250</v>
      </c>
      <c r="H234" s="1" t="str">
        <f>"02-02196/929-3520760A001/19-S-"</f>
        <v>02-02196/929-3520760A001/19-S-</v>
      </c>
    </row>
    <row r="235" spans="1:9" x14ac:dyDescent="0.25">
      <c r="E235" s="1" t="str">
        <f>"201907150460"</f>
        <v>201907150460</v>
      </c>
      <c r="F235" s="1" t="str">
        <f>"02-0223-1/925-352-1392A001/19-"</f>
        <v>02-0223-1/925-352-1392A001/19-</v>
      </c>
      <c r="G235" s="3">
        <v>250</v>
      </c>
      <c r="H235" s="1" t="str">
        <f>"02-0223-1/925-352-1392A001/19-"</f>
        <v>02-0223-1/925-352-1392A001/19-</v>
      </c>
    </row>
    <row r="236" spans="1:9" x14ac:dyDescent="0.25">
      <c r="E236" s="1" t="str">
        <f>"201907150461"</f>
        <v>201907150461</v>
      </c>
      <c r="F236" s="1" t="str">
        <f>"56 367/40311S-14/925-3486007A0"</f>
        <v>56 367/40311S-14/925-3486007A0</v>
      </c>
      <c r="G236" s="3">
        <v>375</v>
      </c>
      <c r="H236" s="1" t="str">
        <f>"56 367/40311S-14/925-3486007A0"</f>
        <v>56 367/40311S-14/925-3486007A0</v>
      </c>
    </row>
    <row r="237" spans="1:9" x14ac:dyDescent="0.25">
      <c r="A237" s="1" t="s">
        <v>77</v>
      </c>
      <c r="B237" s="1">
        <v>83108</v>
      </c>
      <c r="C237" s="3">
        <v>295.64</v>
      </c>
      <c r="D237" s="2">
        <v>43668</v>
      </c>
      <c r="E237" s="1" t="str">
        <f>"201907100399"</f>
        <v>201907100399</v>
      </c>
      <c r="F237" s="1" t="str">
        <f>"CRIMESTOPPER FEES - JUNE 2019"</f>
        <v>CRIMESTOPPER FEES - JUNE 2019</v>
      </c>
      <c r="G237" s="3">
        <v>295.64</v>
      </c>
      <c r="H237" s="1" t="str">
        <f>"CRIMESTOPPER FEES - JUNE 2019"</f>
        <v>CRIMESTOPPER FEES - JUNE 2019</v>
      </c>
    </row>
    <row r="238" spans="1:9" x14ac:dyDescent="0.25">
      <c r="A238" s="1" t="s">
        <v>78</v>
      </c>
      <c r="B238" s="1">
        <v>83020</v>
      </c>
      <c r="C238" s="3">
        <v>3522.55</v>
      </c>
      <c r="D238" s="2">
        <v>43662</v>
      </c>
      <c r="E238" s="1" t="str">
        <f>"201907160485"</f>
        <v>201907160485</v>
      </c>
      <c r="F238" s="1" t="str">
        <f>"ACCT#5000057374 / 07062019"</f>
        <v>ACCT#5000057374 / 07062019</v>
      </c>
      <c r="G238" s="3">
        <v>3522.55</v>
      </c>
      <c r="H238" s="1" t="str">
        <f>"ACCT#5000057374 / 07062019"</f>
        <v>ACCT#5000057374 / 07062019</v>
      </c>
    </row>
    <row r="239" spans="1:9" x14ac:dyDescent="0.25">
      <c r="E239" s="1" t="str">
        <f>""</f>
        <v/>
      </c>
      <c r="F239" s="1" t="str">
        <f>""</f>
        <v/>
      </c>
      <c r="H239" s="1" t="str">
        <f>"ACCT#5000057374 / 07062019"</f>
        <v>ACCT#5000057374 / 07062019</v>
      </c>
    </row>
    <row r="240" spans="1:9" x14ac:dyDescent="0.25">
      <c r="E240" s="1" t="str">
        <f>""</f>
        <v/>
      </c>
      <c r="F240" s="1" t="str">
        <f>""</f>
        <v/>
      </c>
      <c r="H240" s="1" t="str">
        <f>"ACCT#5000057374 / 07062019"</f>
        <v>ACCT#5000057374 / 07062019</v>
      </c>
    </row>
    <row r="241" spans="1:8" x14ac:dyDescent="0.25">
      <c r="E241" s="1" t="str">
        <f>""</f>
        <v/>
      </c>
      <c r="F241" s="1" t="str">
        <f>""</f>
        <v/>
      </c>
      <c r="H241" s="1" t="str">
        <f>"ACCT#5000057374 / 07062019"</f>
        <v>ACCT#5000057374 / 07062019</v>
      </c>
    </row>
    <row r="242" spans="1:8" x14ac:dyDescent="0.25">
      <c r="A242" s="1" t="s">
        <v>79</v>
      </c>
      <c r="B242" s="1">
        <v>1059</v>
      </c>
      <c r="C242" s="3">
        <v>1225</v>
      </c>
      <c r="D242" s="2">
        <v>43655</v>
      </c>
      <c r="E242" s="1" t="str">
        <f>"25062019"</f>
        <v>25062019</v>
      </c>
      <c r="F242" s="1" t="str">
        <f>"INV 25062019"</f>
        <v>INV 25062019</v>
      </c>
      <c r="G242" s="3">
        <v>1225</v>
      </c>
      <c r="H242" s="1" t="str">
        <f>"INV 25062019"</f>
        <v>INV 25062019</v>
      </c>
    </row>
    <row r="243" spans="1:8" x14ac:dyDescent="0.25">
      <c r="A243" s="1" t="s">
        <v>79</v>
      </c>
      <c r="B243" s="1">
        <v>1135</v>
      </c>
      <c r="C243" s="3">
        <v>16371.15</v>
      </c>
      <c r="D243" s="2">
        <v>43669</v>
      </c>
      <c r="E243" s="1" t="str">
        <f>"201907120418"</f>
        <v>201907120418</v>
      </c>
      <c r="F243" s="1" t="str">
        <f>"GRANT REIMBURSEMENT"</f>
        <v>GRANT REIMBURSEMENT</v>
      </c>
      <c r="G243" s="3">
        <v>16371.15</v>
      </c>
      <c r="H243" s="1" t="str">
        <f>"GRANT REIMBURSEMENT"</f>
        <v>GRANT REIMBURSEMENT</v>
      </c>
    </row>
    <row r="244" spans="1:8" x14ac:dyDescent="0.25">
      <c r="A244" s="1" t="s">
        <v>80</v>
      </c>
      <c r="B244" s="1">
        <v>83109</v>
      </c>
      <c r="C244" s="3">
        <v>1643.26</v>
      </c>
      <c r="D244" s="2">
        <v>43668</v>
      </c>
      <c r="E244" s="1" t="str">
        <f>"UT1000499917/50234"</f>
        <v>UT1000499917/50234</v>
      </c>
      <c r="F244" s="1" t="str">
        <f>"INV UT1000499917"</f>
        <v>INV UT1000499917</v>
      </c>
      <c r="G244" s="3">
        <v>902.78</v>
      </c>
      <c r="H244" s="1" t="str">
        <f>"INV UT1000499917"</f>
        <v>INV UT1000499917</v>
      </c>
    </row>
    <row r="245" spans="1:8" x14ac:dyDescent="0.25">
      <c r="E245" s="1" t="str">
        <f>""</f>
        <v/>
      </c>
      <c r="F245" s="1" t="str">
        <f>""</f>
        <v/>
      </c>
      <c r="H245" s="1" t="str">
        <f>"INV UT1000502340"</f>
        <v>INV UT1000502340</v>
      </c>
    </row>
    <row r="246" spans="1:8" x14ac:dyDescent="0.25">
      <c r="E246" s="1" t="str">
        <f>"UT1000501084"</f>
        <v>UT1000501084</v>
      </c>
      <c r="F246" s="1" t="str">
        <f>"INV UT1000501084"</f>
        <v>INV UT1000501084</v>
      </c>
      <c r="G246" s="3">
        <v>499.95</v>
      </c>
      <c r="H246" s="1" t="str">
        <f>"INV UT1000501084"</f>
        <v>INV UT1000501084</v>
      </c>
    </row>
    <row r="247" spans="1:8" x14ac:dyDescent="0.25">
      <c r="E247" s="1" t="str">
        <f>"UT1000501552"</f>
        <v>UT1000501552</v>
      </c>
      <c r="F247" s="1" t="str">
        <f>"INV UT1000501552"</f>
        <v>INV UT1000501552</v>
      </c>
      <c r="G247" s="3">
        <v>32.93</v>
      </c>
      <c r="H247" s="1" t="str">
        <f>"INV UT1000501552"</f>
        <v>INV UT1000501552</v>
      </c>
    </row>
    <row r="248" spans="1:8" x14ac:dyDescent="0.25">
      <c r="E248" s="1" t="str">
        <f>"UT1000501807"</f>
        <v>UT1000501807</v>
      </c>
      <c r="F248" s="1" t="str">
        <f>"INV UT1000501807"</f>
        <v>INV UT1000501807</v>
      </c>
      <c r="G248" s="3">
        <v>207.6</v>
      </c>
      <c r="H248" s="1" t="str">
        <f>"INV UT1000501807"</f>
        <v>INV UT1000501807</v>
      </c>
    </row>
    <row r="249" spans="1:8" x14ac:dyDescent="0.25">
      <c r="A249" s="1" t="s">
        <v>81</v>
      </c>
      <c r="B249" s="1">
        <v>82876</v>
      </c>
      <c r="C249" s="3">
        <v>1512.11</v>
      </c>
      <c r="D249" s="2">
        <v>43654</v>
      </c>
      <c r="E249" s="1" t="str">
        <f>"102350"</f>
        <v>102350</v>
      </c>
      <c r="F249" s="1" t="str">
        <f>"ACCT#1268/PCT#3"</f>
        <v>ACCT#1268/PCT#3</v>
      </c>
      <c r="G249" s="3">
        <v>747.18</v>
      </c>
      <c r="H249" s="1" t="str">
        <f>"ACCT#1268/PCT#3"</f>
        <v>ACCT#1268/PCT#3</v>
      </c>
    </row>
    <row r="250" spans="1:8" x14ac:dyDescent="0.25">
      <c r="E250" s="1" t="str">
        <f>"102530"</f>
        <v>102530</v>
      </c>
      <c r="F250" s="1" t="str">
        <f>"ACCT#1268/PCT#3"</f>
        <v>ACCT#1268/PCT#3</v>
      </c>
      <c r="G250" s="3">
        <v>764.93</v>
      </c>
      <c r="H250" s="1" t="str">
        <f>"ACCT#1268/PCT#3"</f>
        <v>ACCT#1268/PCT#3</v>
      </c>
    </row>
    <row r="251" spans="1:8" x14ac:dyDescent="0.25">
      <c r="A251" s="1" t="s">
        <v>81</v>
      </c>
      <c r="B251" s="1">
        <v>83110</v>
      </c>
      <c r="C251" s="3">
        <v>378.56</v>
      </c>
      <c r="D251" s="2">
        <v>43668</v>
      </c>
      <c r="E251" s="1" t="str">
        <f>"102673"</f>
        <v>102673</v>
      </c>
      <c r="F251" s="1" t="str">
        <f>"ACCT#1268/PCT#3"</f>
        <v>ACCT#1268/PCT#3</v>
      </c>
      <c r="G251" s="3">
        <v>378.56</v>
      </c>
      <c r="H251" s="1" t="str">
        <f>"ACCT#1268/PCT#3"</f>
        <v>ACCT#1268/PCT#3</v>
      </c>
    </row>
    <row r="252" spans="1:8" x14ac:dyDescent="0.25">
      <c r="A252" s="1" t="s">
        <v>82</v>
      </c>
      <c r="B252" s="1">
        <v>82877</v>
      </c>
      <c r="C252" s="3">
        <v>150</v>
      </c>
      <c r="D252" s="2">
        <v>43654</v>
      </c>
      <c r="E252" s="1" t="str">
        <f>"12846"</f>
        <v>12846</v>
      </c>
      <c r="F252" s="1" t="str">
        <f>"SERVICE 04/04/19"</f>
        <v>SERVICE 04/04/19</v>
      </c>
      <c r="G252" s="3">
        <v>150</v>
      </c>
      <c r="H252" s="1" t="str">
        <f>"SERVICE 04/04/19"</f>
        <v>SERVICE 04/04/19</v>
      </c>
    </row>
    <row r="253" spans="1:8" x14ac:dyDescent="0.25">
      <c r="A253" s="1" t="s">
        <v>82</v>
      </c>
      <c r="B253" s="1">
        <v>83111</v>
      </c>
      <c r="C253" s="3">
        <v>75</v>
      </c>
      <c r="D253" s="2">
        <v>43668</v>
      </c>
      <c r="E253" s="1" t="str">
        <f>"12733"</f>
        <v>12733</v>
      </c>
      <c r="F253" s="1" t="str">
        <f>"SERVICE"</f>
        <v>SERVICE</v>
      </c>
      <c r="G253" s="3">
        <v>75</v>
      </c>
      <c r="H253" s="1" t="str">
        <f>"SERVICE"</f>
        <v>SERVICE</v>
      </c>
    </row>
    <row r="254" spans="1:8" x14ac:dyDescent="0.25">
      <c r="A254" s="1" t="s">
        <v>83</v>
      </c>
      <c r="B254" s="1">
        <v>1063</v>
      </c>
      <c r="C254" s="3">
        <v>1250</v>
      </c>
      <c r="D254" s="2">
        <v>43655</v>
      </c>
      <c r="E254" s="1" t="str">
        <f>"201906270140"</f>
        <v>201906270140</v>
      </c>
      <c r="F254" s="1" t="str">
        <f>"56 878"</f>
        <v>56 878</v>
      </c>
      <c r="G254" s="3">
        <v>250</v>
      </c>
      <c r="H254" s="1" t="str">
        <f>"56 878"</f>
        <v>56 878</v>
      </c>
    </row>
    <row r="255" spans="1:8" x14ac:dyDescent="0.25">
      <c r="E255" s="1" t="str">
        <f>"201906270141"</f>
        <v>201906270141</v>
      </c>
      <c r="F255" s="1" t="str">
        <f>"103112019F"</f>
        <v>103112019F</v>
      </c>
      <c r="G255" s="3">
        <v>250</v>
      </c>
      <c r="H255" s="1" t="str">
        <f>"103112019F"</f>
        <v>103112019F</v>
      </c>
    </row>
    <row r="256" spans="1:8" x14ac:dyDescent="0.25">
      <c r="E256" s="1" t="str">
        <f>"201906270142"</f>
        <v>201906270142</v>
      </c>
      <c r="F256" s="1" t="str">
        <f>"CH-20170111-A"</f>
        <v>CH-20170111-A</v>
      </c>
      <c r="G256" s="3">
        <v>250</v>
      </c>
      <c r="H256" s="1" t="str">
        <f>"CH-20170111-A"</f>
        <v>CH-20170111-A</v>
      </c>
    </row>
    <row r="257" spans="1:8" x14ac:dyDescent="0.25">
      <c r="E257" s="1" t="str">
        <f>"201906270143"</f>
        <v>201906270143</v>
      </c>
      <c r="F257" s="1" t="str">
        <f>"AC-2019-0128"</f>
        <v>AC-2019-0128</v>
      </c>
      <c r="G257" s="3">
        <v>250</v>
      </c>
      <c r="H257" s="1" t="str">
        <f>"AC-2019-0128"</f>
        <v>AC-2019-0128</v>
      </c>
    </row>
    <row r="258" spans="1:8" x14ac:dyDescent="0.25">
      <c r="E258" s="1" t="str">
        <f>"201906270144"</f>
        <v>201906270144</v>
      </c>
      <c r="F258" s="1" t="str">
        <f>"1.5115A"</f>
        <v>1.5115A</v>
      </c>
      <c r="G258" s="3">
        <v>250</v>
      </c>
      <c r="H258" s="1" t="str">
        <f>"1.5115A"</f>
        <v>1.5115A</v>
      </c>
    </row>
    <row r="259" spans="1:8" x14ac:dyDescent="0.25">
      <c r="A259" s="1" t="s">
        <v>84</v>
      </c>
      <c r="B259" s="1">
        <v>82878</v>
      </c>
      <c r="C259" s="3">
        <v>30</v>
      </c>
      <c r="D259" s="2">
        <v>43654</v>
      </c>
      <c r="E259" s="1" t="str">
        <f>"19-19714"</f>
        <v>19-19714</v>
      </c>
      <c r="F259" s="1" t="str">
        <f>"CENTRAL ADOPTION REGISTRY FUND"</f>
        <v>CENTRAL ADOPTION REGISTRY FUND</v>
      </c>
      <c r="G259" s="3">
        <v>15</v>
      </c>
      <c r="H259" s="1" t="str">
        <f>"CENTRAL ADOPTION REGISTRY FUND"</f>
        <v>CENTRAL ADOPTION REGISTRY FUND</v>
      </c>
    </row>
    <row r="260" spans="1:8" x14ac:dyDescent="0.25">
      <c r="E260" s="1" t="str">
        <f>"19-19722"</f>
        <v>19-19722</v>
      </c>
      <c r="F260" s="1" t="str">
        <f>"CENTRAL ADOPTION REGISTRY FUND"</f>
        <v>CENTRAL ADOPTION REGISTRY FUND</v>
      </c>
      <c r="G260" s="3">
        <v>15</v>
      </c>
      <c r="H260" s="1" t="str">
        <f>"CENTRAL ADOPTION REGISTRY FUND"</f>
        <v>CENTRAL ADOPTION REGISTRY FUND</v>
      </c>
    </row>
    <row r="261" spans="1:8" x14ac:dyDescent="0.25">
      <c r="A261" s="1" t="s">
        <v>84</v>
      </c>
      <c r="B261" s="1">
        <v>83112</v>
      </c>
      <c r="C261" s="3">
        <v>30</v>
      </c>
      <c r="D261" s="2">
        <v>43668</v>
      </c>
      <c r="E261" s="1" t="str">
        <f>"19-19730"</f>
        <v>19-19730</v>
      </c>
      <c r="F261" s="1" t="str">
        <f>"CENTRAL ADOPTION REGISTRY FUND"</f>
        <v>CENTRAL ADOPTION REGISTRY FUND</v>
      </c>
      <c r="G261" s="3">
        <v>15</v>
      </c>
      <c r="H261" s="1" t="str">
        <f>"CENTRAL ADOPTION REGISTRY FUND"</f>
        <v>CENTRAL ADOPTION REGISTRY FUND</v>
      </c>
    </row>
    <row r="262" spans="1:8" x14ac:dyDescent="0.25">
      <c r="E262" s="1" t="str">
        <f>"19-19748"</f>
        <v>19-19748</v>
      </c>
      <c r="F262" s="1" t="str">
        <f>"CAR FUND"</f>
        <v>CAR FUND</v>
      </c>
      <c r="G262" s="3">
        <v>15</v>
      </c>
      <c r="H262" s="1" t="str">
        <f>"CAR FUND"</f>
        <v>CAR FUND</v>
      </c>
    </row>
    <row r="263" spans="1:8" x14ac:dyDescent="0.25">
      <c r="A263" s="1" t="s">
        <v>85</v>
      </c>
      <c r="B263" s="1">
        <v>82879</v>
      </c>
      <c r="C263" s="3">
        <v>150</v>
      </c>
      <c r="D263" s="2">
        <v>43654</v>
      </c>
      <c r="E263" s="1" t="str">
        <f>"12933"</f>
        <v>12933</v>
      </c>
      <c r="F263" s="1" t="str">
        <f>"SERVICE 04/04/19"</f>
        <v>SERVICE 04/04/19</v>
      </c>
      <c r="G263" s="3">
        <v>150</v>
      </c>
      <c r="H263" s="1" t="str">
        <f>"SERVICE 04/04/19"</f>
        <v>SERVICE 04/04/19</v>
      </c>
    </row>
    <row r="264" spans="1:8" x14ac:dyDescent="0.25">
      <c r="A264" s="1" t="s">
        <v>86</v>
      </c>
      <c r="B264" s="1">
        <v>83113</v>
      </c>
      <c r="C264" s="3">
        <v>625.16</v>
      </c>
      <c r="D264" s="2">
        <v>43668</v>
      </c>
      <c r="E264" s="1" t="str">
        <f>"CAPQ50376"</f>
        <v>CAPQ50376</v>
      </c>
      <c r="F264" s="1" t="str">
        <f>"Dane Baker"</f>
        <v>Dane Baker</v>
      </c>
      <c r="G264" s="3">
        <v>625.16</v>
      </c>
      <c r="H264" s="1" t="str">
        <f>"Light Bar"</f>
        <v>Light Bar</v>
      </c>
    </row>
    <row r="265" spans="1:8" x14ac:dyDescent="0.25">
      <c r="E265" s="1" t="str">
        <f>""</f>
        <v/>
      </c>
      <c r="F265" s="1" t="str">
        <f>""</f>
        <v/>
      </c>
      <c r="H265" s="1" t="str">
        <f>"Shipping"</f>
        <v>Shipping</v>
      </c>
    </row>
    <row r="266" spans="1:8" x14ac:dyDescent="0.25">
      <c r="A266" s="1" t="s">
        <v>87</v>
      </c>
      <c r="B266" s="1">
        <v>82880</v>
      </c>
      <c r="C266" s="3">
        <v>505</v>
      </c>
      <c r="D266" s="2">
        <v>43654</v>
      </c>
      <c r="E266" s="1" t="str">
        <f>"26504-J. GROVER"</f>
        <v>26504-J. GROVER</v>
      </c>
      <c r="F266" s="1" t="str">
        <f>"INV 26504 / J. GROVER"</f>
        <v>INV 26504 / J. GROVER</v>
      </c>
      <c r="G266" s="3">
        <v>145</v>
      </c>
      <c r="H266" s="1" t="str">
        <f>"INV 26504 / J. GROVER"</f>
        <v>INV 26504 / J. GROVER</v>
      </c>
    </row>
    <row r="267" spans="1:8" x14ac:dyDescent="0.25">
      <c r="E267" s="1" t="str">
        <f>"26505-E.SANCHEZ"</f>
        <v>26505-E.SANCHEZ</v>
      </c>
      <c r="F267" s="1" t="str">
        <f>"INV 26505 / E. SANCHEZ"</f>
        <v>INV 26505 / E. SANCHEZ</v>
      </c>
      <c r="G267" s="3">
        <v>360</v>
      </c>
      <c r="H267" s="1" t="str">
        <f>"INV 26505 / E. SANCHEZ"</f>
        <v>INV 26505 / E. SANCHEZ</v>
      </c>
    </row>
    <row r="268" spans="1:8" x14ac:dyDescent="0.25">
      <c r="A268" s="1" t="s">
        <v>87</v>
      </c>
      <c r="B268" s="1">
        <v>83114</v>
      </c>
      <c r="C268" s="3">
        <v>45</v>
      </c>
      <c r="D268" s="2">
        <v>43668</v>
      </c>
      <c r="E268" s="1" t="str">
        <f>"26644"</f>
        <v>26644</v>
      </c>
      <c r="F268" s="1" t="str">
        <f>"INV 26644"</f>
        <v>INV 26644</v>
      </c>
      <c r="G268" s="3">
        <v>45</v>
      </c>
      <c r="H268" s="1" t="str">
        <f>"INV 26644"</f>
        <v>INV 26644</v>
      </c>
    </row>
    <row r="269" spans="1:8" x14ac:dyDescent="0.25">
      <c r="A269" s="1" t="s">
        <v>88</v>
      </c>
      <c r="B269" s="1">
        <v>174</v>
      </c>
      <c r="C269" s="3">
        <v>11633.88</v>
      </c>
      <c r="D269" s="2">
        <v>43668</v>
      </c>
      <c r="E269" s="1" t="str">
        <f>"201907170618"</f>
        <v>201907170618</v>
      </c>
      <c r="F269" s="1" t="str">
        <f>"acct# 0058"</f>
        <v>acct# 0058</v>
      </c>
      <c r="G269" s="3">
        <v>11633.88</v>
      </c>
      <c r="H269" s="1" t="str">
        <f>"TCDRS"</f>
        <v>TCDRS</v>
      </c>
    </row>
    <row r="270" spans="1:8" x14ac:dyDescent="0.25">
      <c r="E270" s="1" t="str">
        <f>""</f>
        <v/>
      </c>
      <c r="F270" s="1" t="str">
        <f>""</f>
        <v/>
      </c>
      <c r="H270" s="1" t="str">
        <f>"TCDRS"</f>
        <v>TCDRS</v>
      </c>
    </row>
    <row r="271" spans="1:8" x14ac:dyDescent="0.25">
      <c r="E271" s="1" t="str">
        <f>""</f>
        <v/>
      </c>
      <c r="F271" s="1" t="str">
        <f>""</f>
        <v/>
      </c>
      <c r="H271" s="1" t="str">
        <f>"TCDRS"</f>
        <v>TCDRS</v>
      </c>
    </row>
    <row r="272" spans="1:8" x14ac:dyDescent="0.25">
      <c r="E272" s="1" t="str">
        <f>""</f>
        <v/>
      </c>
      <c r="F272" s="1" t="str">
        <f>""</f>
        <v/>
      </c>
      <c r="H272" s="1" t="str">
        <f>"Fred"</f>
        <v>Fred</v>
      </c>
    </row>
    <row r="273" spans="5:8" x14ac:dyDescent="0.25">
      <c r="E273" s="1" t="str">
        <f>""</f>
        <v/>
      </c>
      <c r="F273" s="1" t="str">
        <f>""</f>
        <v/>
      </c>
      <c r="H273" s="1" t="str">
        <f>"DIY"</f>
        <v>DIY</v>
      </c>
    </row>
    <row r="274" spans="5:8" x14ac:dyDescent="0.25">
      <c r="E274" s="1" t="str">
        <f>""</f>
        <v/>
      </c>
      <c r="F274" s="1" t="str">
        <f>""</f>
        <v/>
      </c>
      <c r="H274" s="1" t="str">
        <f>"TDCAA"</f>
        <v>TDCAA</v>
      </c>
    </row>
    <row r="275" spans="5:8" x14ac:dyDescent="0.25">
      <c r="E275" s="1" t="str">
        <f>""</f>
        <v/>
      </c>
      <c r="F275" s="1" t="str">
        <f>""</f>
        <v/>
      </c>
      <c r="H275" s="1" t="str">
        <f>"TDCAA"</f>
        <v>TDCAA</v>
      </c>
    </row>
    <row r="276" spans="5:8" x14ac:dyDescent="0.25">
      <c r="E276" s="1" t="str">
        <f>""</f>
        <v/>
      </c>
      <c r="F276" s="1" t="str">
        <f>""</f>
        <v/>
      </c>
      <c r="H276" s="1" t="str">
        <f>"Harbor Freight"</f>
        <v>Harbor Freight</v>
      </c>
    </row>
    <row r="277" spans="5:8" x14ac:dyDescent="0.25">
      <c r="E277" s="1" t="str">
        <f>""</f>
        <v/>
      </c>
      <c r="F277" s="1" t="str">
        <f>""</f>
        <v/>
      </c>
      <c r="H277" s="1" t="str">
        <f>"testing"</f>
        <v>testing</v>
      </c>
    </row>
    <row r="278" spans="5:8" x14ac:dyDescent="0.25">
      <c r="E278" s="1" t="str">
        <f>""</f>
        <v/>
      </c>
      <c r="F278" s="1" t="str">
        <f>""</f>
        <v/>
      </c>
      <c r="H278" s="1" t="str">
        <f>"Google"</f>
        <v>Google</v>
      </c>
    </row>
    <row r="279" spans="5:8" x14ac:dyDescent="0.25">
      <c r="E279" s="1" t="str">
        <f>""</f>
        <v/>
      </c>
      <c r="F279" s="1" t="str">
        <f>""</f>
        <v/>
      </c>
      <c r="H279" s="1" t="str">
        <f>"DropBox"</f>
        <v>DropBox</v>
      </c>
    </row>
    <row r="280" spans="5:8" x14ac:dyDescent="0.25">
      <c r="E280" s="1" t="str">
        <f>""</f>
        <v/>
      </c>
      <c r="F280" s="1" t="str">
        <f>""</f>
        <v/>
      </c>
      <c r="H280" s="1" t="str">
        <f>"Ipad"</f>
        <v>Ipad</v>
      </c>
    </row>
    <row r="281" spans="5:8" x14ac:dyDescent="0.25">
      <c r="E281" s="1" t="str">
        <f>""</f>
        <v/>
      </c>
      <c r="F281" s="1" t="str">
        <f>""</f>
        <v/>
      </c>
      <c r="H281" s="1" t="str">
        <f>"Harbor Freight"</f>
        <v>Harbor Freight</v>
      </c>
    </row>
    <row r="282" spans="5:8" x14ac:dyDescent="0.25">
      <c r="E282" s="1" t="str">
        <f>""</f>
        <v/>
      </c>
      <c r="F282" s="1" t="str">
        <f>""</f>
        <v/>
      </c>
      <c r="H282" s="1" t="str">
        <f>"Harbor Freight"</f>
        <v>Harbor Freight</v>
      </c>
    </row>
    <row r="283" spans="5:8" x14ac:dyDescent="0.25">
      <c r="E283" s="1" t="str">
        <f>""</f>
        <v/>
      </c>
      <c r="F283" s="1" t="str">
        <f>""</f>
        <v/>
      </c>
      <c r="H283" s="1" t="str">
        <f>"AED Land"</f>
        <v>AED Land</v>
      </c>
    </row>
    <row r="284" spans="5:8" x14ac:dyDescent="0.25">
      <c r="E284" s="1" t="str">
        <f>""</f>
        <v/>
      </c>
      <c r="F284" s="1" t="str">
        <f>""</f>
        <v/>
      </c>
      <c r="H284" s="1" t="str">
        <f>"Hearsmart"</f>
        <v>Hearsmart</v>
      </c>
    </row>
    <row r="285" spans="5:8" x14ac:dyDescent="0.25">
      <c r="E285" s="1" t="str">
        <f>""</f>
        <v/>
      </c>
      <c r="F285" s="1" t="str">
        <f>""</f>
        <v/>
      </c>
      <c r="H285" s="1" t="str">
        <f>"TxTag"</f>
        <v>TxTag</v>
      </c>
    </row>
    <row r="286" spans="5:8" x14ac:dyDescent="0.25">
      <c r="E286" s="1" t="str">
        <f>""</f>
        <v/>
      </c>
      <c r="F286" s="1" t="str">
        <f>""</f>
        <v/>
      </c>
      <c r="H286" s="1" t="str">
        <f>"TxTag"</f>
        <v>TxTag</v>
      </c>
    </row>
    <row r="287" spans="5:8" x14ac:dyDescent="0.25">
      <c r="E287" s="1" t="str">
        <f>""</f>
        <v/>
      </c>
      <c r="F287" s="1" t="str">
        <f>""</f>
        <v/>
      </c>
      <c r="H287" s="1" t="str">
        <f>"Jacks Tire"</f>
        <v>Jacks Tire</v>
      </c>
    </row>
    <row r="288" spans="5:8" x14ac:dyDescent="0.25">
      <c r="E288" s="1" t="str">
        <f>""</f>
        <v/>
      </c>
      <c r="F288" s="1" t="str">
        <f>""</f>
        <v/>
      </c>
      <c r="H288" s="1" t="str">
        <f>"Edgehill Towing"</f>
        <v>Edgehill Towing</v>
      </c>
    </row>
    <row r="289" spans="5:8" x14ac:dyDescent="0.25">
      <c r="E289" s="1" t="str">
        <f>""</f>
        <v/>
      </c>
      <c r="F289" s="1" t="str">
        <f>""</f>
        <v/>
      </c>
      <c r="H289" s="1" t="str">
        <f>"Erika Dejesus"</f>
        <v>Erika Dejesus</v>
      </c>
    </row>
    <row r="290" spans="5:8" x14ac:dyDescent="0.25">
      <c r="E290" s="1" t="str">
        <f>""</f>
        <v/>
      </c>
      <c r="F290" s="1" t="str">
        <f>""</f>
        <v/>
      </c>
      <c r="H290" s="1" t="str">
        <f>"Rosanna Garza"</f>
        <v>Rosanna Garza</v>
      </c>
    </row>
    <row r="291" spans="5:8" x14ac:dyDescent="0.25">
      <c r="E291" s="1" t="str">
        <f>""</f>
        <v/>
      </c>
      <c r="F291" s="1" t="str">
        <f>""</f>
        <v/>
      </c>
      <c r="H291" s="1" t="str">
        <f>"Robert Bennett"</f>
        <v>Robert Bennett</v>
      </c>
    </row>
    <row r="292" spans="5:8" x14ac:dyDescent="0.25">
      <c r="E292" s="1" t="str">
        <f>""</f>
        <v/>
      </c>
      <c r="F292" s="1" t="str">
        <f>""</f>
        <v/>
      </c>
      <c r="H292" s="1" t="str">
        <f>"Annette Murley"</f>
        <v>Annette Murley</v>
      </c>
    </row>
    <row r="293" spans="5:8" x14ac:dyDescent="0.25">
      <c r="E293" s="1" t="str">
        <f>""</f>
        <v/>
      </c>
      <c r="F293" s="1" t="str">
        <f>""</f>
        <v/>
      </c>
      <c r="H293" s="1" t="str">
        <f>"Kenneth Leatherwood"</f>
        <v>Kenneth Leatherwood</v>
      </c>
    </row>
    <row r="294" spans="5:8" x14ac:dyDescent="0.25">
      <c r="E294" s="1" t="str">
        <f>""</f>
        <v/>
      </c>
      <c r="F294" s="1" t="str">
        <f>""</f>
        <v/>
      </c>
      <c r="H294" s="1" t="str">
        <f>"TxTag"</f>
        <v>TxTag</v>
      </c>
    </row>
    <row r="295" spans="5:8" x14ac:dyDescent="0.25">
      <c r="E295" s="1" t="str">
        <f>""</f>
        <v/>
      </c>
      <c r="F295" s="1" t="str">
        <f>""</f>
        <v/>
      </c>
      <c r="H295" s="1" t="str">
        <f>"IKEA"</f>
        <v>IKEA</v>
      </c>
    </row>
    <row r="296" spans="5:8" x14ac:dyDescent="0.25">
      <c r="E296" s="1" t="str">
        <f>""</f>
        <v/>
      </c>
      <c r="F296" s="1" t="str">
        <f>""</f>
        <v/>
      </c>
      <c r="H296" s="1" t="str">
        <f>"Walmart"</f>
        <v>Walmart</v>
      </c>
    </row>
    <row r="297" spans="5:8" x14ac:dyDescent="0.25">
      <c r="E297" s="1" t="str">
        <f>""</f>
        <v/>
      </c>
      <c r="F297" s="1" t="str">
        <f>""</f>
        <v/>
      </c>
      <c r="H297" s="1" t="str">
        <f>"Southwest"</f>
        <v>Southwest</v>
      </c>
    </row>
    <row r="298" spans="5:8" x14ac:dyDescent="0.25">
      <c r="E298" s="1" t="str">
        <f>""</f>
        <v/>
      </c>
      <c r="F298" s="1" t="str">
        <f>""</f>
        <v/>
      </c>
      <c r="H298" s="1" t="str">
        <f>"Hyatt"</f>
        <v>Hyatt</v>
      </c>
    </row>
    <row r="299" spans="5:8" x14ac:dyDescent="0.25">
      <c r="E299" s="1" t="str">
        <f>""</f>
        <v/>
      </c>
      <c r="F299" s="1" t="str">
        <f>""</f>
        <v/>
      </c>
      <c r="H299" s="1" t="str">
        <f>"Texas secretary of"</f>
        <v>Texas secretary of</v>
      </c>
    </row>
    <row r="300" spans="5:8" x14ac:dyDescent="0.25">
      <c r="E300" s="1" t="str">
        <f>""</f>
        <v/>
      </c>
      <c r="F300" s="1" t="str">
        <f>""</f>
        <v/>
      </c>
      <c r="H300" s="1" t="str">
        <f>"TxTag"</f>
        <v>TxTag</v>
      </c>
    </row>
    <row r="301" spans="5:8" x14ac:dyDescent="0.25">
      <c r="E301" s="1" t="str">
        <f>""</f>
        <v/>
      </c>
      <c r="F301" s="1" t="str">
        <f>""</f>
        <v/>
      </c>
      <c r="H301" s="1" t="str">
        <f>"USPS"</f>
        <v>USPS</v>
      </c>
    </row>
    <row r="302" spans="5:8" x14ac:dyDescent="0.25">
      <c r="E302" s="1" t="str">
        <f>""</f>
        <v/>
      </c>
      <c r="F302" s="1" t="str">
        <f>""</f>
        <v/>
      </c>
      <c r="H302" s="1" t="str">
        <f>"TDCAA"</f>
        <v>TDCAA</v>
      </c>
    </row>
    <row r="303" spans="5:8" x14ac:dyDescent="0.25">
      <c r="E303" s="1" t="str">
        <f>""</f>
        <v/>
      </c>
      <c r="F303" s="1" t="str">
        <f>""</f>
        <v/>
      </c>
      <c r="H303" s="1" t="str">
        <f>"interest"</f>
        <v>interest</v>
      </c>
    </row>
    <row r="304" spans="5:8" x14ac:dyDescent="0.25">
      <c r="E304" s="1" t="str">
        <f>""</f>
        <v/>
      </c>
      <c r="F304" s="1" t="str">
        <f>""</f>
        <v/>
      </c>
      <c r="H304" s="1" t="str">
        <f>"All State"</f>
        <v>All State</v>
      </c>
    </row>
    <row r="305" spans="1:8" x14ac:dyDescent="0.25">
      <c r="E305" s="1" t="str">
        <f>""</f>
        <v/>
      </c>
      <c r="F305" s="1" t="str">
        <f>""</f>
        <v/>
      </c>
      <c r="H305" s="1" t="str">
        <f>"All Stat"</f>
        <v>All Stat</v>
      </c>
    </row>
    <row r="306" spans="1:8" x14ac:dyDescent="0.25">
      <c r="E306" s="1" t="str">
        <f>""</f>
        <v/>
      </c>
      <c r="F306" s="1" t="str">
        <f>""</f>
        <v/>
      </c>
      <c r="H306" s="1" t="str">
        <f>"Harbor Freight"</f>
        <v>Harbor Freight</v>
      </c>
    </row>
    <row r="307" spans="1:8" x14ac:dyDescent="0.25">
      <c r="E307" s="1" t="str">
        <f>""</f>
        <v/>
      </c>
      <c r="F307" s="1" t="str">
        <f>""</f>
        <v/>
      </c>
      <c r="H307" s="1" t="str">
        <f>"TxTag"</f>
        <v>TxTag</v>
      </c>
    </row>
    <row r="308" spans="1:8" x14ac:dyDescent="0.25">
      <c r="E308" s="1" t="str">
        <f>""</f>
        <v/>
      </c>
      <c r="F308" s="1" t="str">
        <f>""</f>
        <v/>
      </c>
      <c r="H308" s="1" t="str">
        <f>"TxTag"</f>
        <v>TxTag</v>
      </c>
    </row>
    <row r="309" spans="1:8" x14ac:dyDescent="0.25">
      <c r="E309" s="1" t="str">
        <f>""</f>
        <v/>
      </c>
      <c r="F309" s="1" t="str">
        <f>""</f>
        <v/>
      </c>
      <c r="H309" s="1" t="str">
        <f>"RMA"</f>
        <v>RMA</v>
      </c>
    </row>
    <row r="310" spans="1:8" x14ac:dyDescent="0.25">
      <c r="E310" s="1" t="str">
        <f>""</f>
        <v/>
      </c>
      <c r="F310" s="1" t="str">
        <f>""</f>
        <v/>
      </c>
      <c r="H310" s="1" t="str">
        <f>"RMA"</f>
        <v>RMA</v>
      </c>
    </row>
    <row r="311" spans="1:8" x14ac:dyDescent="0.25">
      <c r="E311" s="1" t="str">
        <f>""</f>
        <v/>
      </c>
      <c r="F311" s="1" t="str">
        <f>""</f>
        <v/>
      </c>
      <c r="H311" s="1" t="str">
        <f>"TxTag"</f>
        <v>TxTag</v>
      </c>
    </row>
    <row r="312" spans="1:8" x14ac:dyDescent="0.25">
      <c r="E312" s="1" t="str">
        <f>""</f>
        <v/>
      </c>
      <c r="F312" s="1" t="str">
        <f>""</f>
        <v/>
      </c>
      <c r="H312" s="1" t="str">
        <f>"Rush Truck"</f>
        <v>Rush Truck</v>
      </c>
    </row>
    <row r="313" spans="1:8" x14ac:dyDescent="0.25">
      <c r="A313" s="1" t="s">
        <v>88</v>
      </c>
      <c r="B313" s="1">
        <v>168</v>
      </c>
      <c r="C313" s="3">
        <v>433.39</v>
      </c>
      <c r="D313" s="2">
        <v>43654</v>
      </c>
      <c r="E313" s="1" t="str">
        <f>"201907020267"</f>
        <v>201907020267</v>
      </c>
      <c r="F313" s="1" t="str">
        <f>"STATEMENT 0574"</f>
        <v>STATEMENT 0574</v>
      </c>
      <c r="G313" s="3">
        <v>433.39</v>
      </c>
      <c r="H313" s="1" t="str">
        <f>"HYATT PLACE - WOLF"</f>
        <v>HYATT PLACE - WOLF</v>
      </c>
    </row>
    <row r="314" spans="1:8" x14ac:dyDescent="0.25">
      <c r="E314" s="1" t="str">
        <f>""</f>
        <v/>
      </c>
      <c r="F314" s="1" t="str">
        <f>""</f>
        <v/>
      </c>
      <c r="H314" s="1" t="str">
        <f>"HYATT PLACE - OWENS"</f>
        <v>HYATT PLACE - OWENS</v>
      </c>
    </row>
    <row r="315" spans="1:8" x14ac:dyDescent="0.25">
      <c r="E315" s="1" t="str">
        <f>""</f>
        <v/>
      </c>
      <c r="F315" s="1" t="str">
        <f>""</f>
        <v/>
      </c>
      <c r="H315" s="1" t="str">
        <f>"HYATT PLACE - STEIN"</f>
        <v>HYATT PLACE - STEIN</v>
      </c>
    </row>
    <row r="316" spans="1:8" x14ac:dyDescent="0.25">
      <c r="E316" s="1" t="str">
        <f>""</f>
        <v/>
      </c>
      <c r="F316" s="1" t="str">
        <f>""</f>
        <v/>
      </c>
      <c r="H316" s="1" t="str">
        <f>"INTEREST"</f>
        <v>INTEREST</v>
      </c>
    </row>
    <row r="317" spans="1:8" x14ac:dyDescent="0.25">
      <c r="A317" s="1" t="s">
        <v>89</v>
      </c>
      <c r="B317" s="1">
        <v>1056</v>
      </c>
      <c r="C317" s="3">
        <v>779.2</v>
      </c>
      <c r="D317" s="2">
        <v>43655</v>
      </c>
      <c r="E317" s="1" t="str">
        <f>"STT2008"</f>
        <v>STT2008</v>
      </c>
      <c r="F317" s="1" t="str">
        <f>"Tripp Lite Cables &amp; Adapt"</f>
        <v>Tripp Lite Cables &amp; Adapt</v>
      </c>
      <c r="G317" s="3">
        <v>779.2</v>
      </c>
      <c r="H317" s="1" t="str">
        <f>"Part#: P580-025"</f>
        <v>Part#: P580-025</v>
      </c>
    </row>
    <row r="318" spans="1:8" x14ac:dyDescent="0.25">
      <c r="E318" s="1" t="str">
        <f>""</f>
        <v/>
      </c>
      <c r="F318" s="1" t="str">
        <f>""</f>
        <v/>
      </c>
      <c r="H318" s="1" t="str">
        <f>"Mfg. Part#: P139-06N"</f>
        <v>Mfg. Part#: P139-06N</v>
      </c>
    </row>
    <row r="319" spans="1:8" x14ac:dyDescent="0.25">
      <c r="A319" s="1" t="s">
        <v>90</v>
      </c>
      <c r="B319" s="1">
        <v>1038</v>
      </c>
      <c r="C319" s="3">
        <v>22</v>
      </c>
      <c r="D319" s="2">
        <v>43655</v>
      </c>
      <c r="E319" s="1" t="str">
        <f>"23362"</f>
        <v>23362</v>
      </c>
      <c r="F319" s="1" t="str">
        <f>"PARTS/PCT#2"</f>
        <v>PARTS/PCT#2</v>
      </c>
      <c r="G319" s="3">
        <v>22</v>
      </c>
      <c r="H319" s="1" t="str">
        <f>"PARTS/PCT#2"</f>
        <v>PARTS/PCT#2</v>
      </c>
    </row>
    <row r="320" spans="1:8" x14ac:dyDescent="0.25">
      <c r="A320" s="1" t="s">
        <v>90</v>
      </c>
      <c r="B320" s="1">
        <v>1114</v>
      </c>
      <c r="C320" s="3">
        <v>63</v>
      </c>
      <c r="D320" s="2">
        <v>43669</v>
      </c>
      <c r="E320" s="1" t="str">
        <f>"23411"</f>
        <v>23411</v>
      </c>
      <c r="F320" s="1" t="str">
        <f>"PARTS/PCT#2"</f>
        <v>PARTS/PCT#2</v>
      </c>
      <c r="G320" s="3">
        <v>63</v>
      </c>
      <c r="H320" s="1" t="str">
        <f>"PARTS/PCT#2"</f>
        <v>PARTS/PCT#2</v>
      </c>
    </row>
    <row r="321" spans="1:8" x14ac:dyDescent="0.25">
      <c r="A321" s="1" t="s">
        <v>91</v>
      </c>
      <c r="B321" s="1">
        <v>82881</v>
      </c>
      <c r="C321" s="3">
        <v>375</v>
      </c>
      <c r="D321" s="2">
        <v>43654</v>
      </c>
      <c r="E321" s="1" t="str">
        <f>"201906270163"</f>
        <v>201906270163</v>
      </c>
      <c r="F321" s="1" t="str">
        <f>"02-0122-1  02-0122-2"</f>
        <v>02-0122-1  02-0122-2</v>
      </c>
      <c r="G321" s="3">
        <v>375</v>
      </c>
      <c r="H321" s="1" t="str">
        <f>"02-0122-1  02-0122-2"</f>
        <v>02-0122-1  02-0122-2</v>
      </c>
    </row>
    <row r="322" spans="1:8" x14ac:dyDescent="0.25">
      <c r="A322" s="1" t="s">
        <v>91</v>
      </c>
      <c r="B322" s="1">
        <v>83115</v>
      </c>
      <c r="C322" s="3">
        <v>1050</v>
      </c>
      <c r="D322" s="2">
        <v>43668</v>
      </c>
      <c r="E322" s="1" t="str">
        <f>"201907150445"</f>
        <v>201907150445</v>
      </c>
      <c r="F322" s="1" t="str">
        <f>"19-19632"</f>
        <v>19-19632</v>
      </c>
      <c r="G322" s="3">
        <v>100</v>
      </c>
      <c r="H322" s="1" t="str">
        <f>"19-19632"</f>
        <v>19-19632</v>
      </c>
    </row>
    <row r="323" spans="1:8" x14ac:dyDescent="0.25">
      <c r="E323" s="1" t="str">
        <f>"201907150446"</f>
        <v>201907150446</v>
      </c>
      <c r="F323" s="1" t="str">
        <f>"19-19704"</f>
        <v>19-19704</v>
      </c>
      <c r="G323" s="3">
        <v>100</v>
      </c>
      <c r="H323" s="1" t="str">
        <f>"19-19704"</f>
        <v>19-19704</v>
      </c>
    </row>
    <row r="324" spans="1:8" x14ac:dyDescent="0.25">
      <c r="E324" s="1" t="str">
        <f>"201907150447"</f>
        <v>201907150447</v>
      </c>
      <c r="F324" s="1" t="str">
        <f>"18-18941"</f>
        <v>18-18941</v>
      </c>
      <c r="G324" s="3">
        <v>100</v>
      </c>
      <c r="H324" s="1" t="str">
        <f>"18-18941"</f>
        <v>18-18941</v>
      </c>
    </row>
    <row r="325" spans="1:8" x14ac:dyDescent="0.25">
      <c r="E325" s="1" t="str">
        <f>"201907150457"</f>
        <v>201907150457</v>
      </c>
      <c r="F325" s="1" t="str">
        <f>"405039-5"</f>
        <v>405039-5</v>
      </c>
      <c r="G325" s="3">
        <v>250</v>
      </c>
      <c r="H325" s="1" t="str">
        <f>"405039-5"</f>
        <v>405039-5</v>
      </c>
    </row>
    <row r="326" spans="1:8" x14ac:dyDescent="0.25">
      <c r="E326" s="1" t="str">
        <f>"201907160462"</f>
        <v>201907160462</v>
      </c>
      <c r="F326" s="1" t="str">
        <f>"403109-4"</f>
        <v>403109-4</v>
      </c>
      <c r="G326" s="3">
        <v>250</v>
      </c>
      <c r="H326" s="1" t="str">
        <f>"403109-4"</f>
        <v>403109-4</v>
      </c>
    </row>
    <row r="327" spans="1:8" x14ac:dyDescent="0.25">
      <c r="E327" s="1" t="str">
        <f>"201907160555"</f>
        <v>201907160555</v>
      </c>
      <c r="F327" s="1" t="str">
        <f>"404309-4"</f>
        <v>404309-4</v>
      </c>
      <c r="G327" s="3">
        <v>250</v>
      </c>
      <c r="H327" s="1" t="str">
        <f>"404309-4"</f>
        <v>404309-4</v>
      </c>
    </row>
    <row r="328" spans="1:8" x14ac:dyDescent="0.25">
      <c r="A328" s="1" t="s">
        <v>92</v>
      </c>
      <c r="B328" s="1">
        <v>82882</v>
      </c>
      <c r="C328" s="3">
        <v>570</v>
      </c>
      <c r="D328" s="2">
        <v>43654</v>
      </c>
      <c r="E328" s="1" t="str">
        <f>"201907010209"</f>
        <v>201907010209</v>
      </c>
      <c r="F328" s="1" t="str">
        <f>"RENTAL-UNIT 190"</f>
        <v>RENTAL-UNIT 190</v>
      </c>
      <c r="G328" s="3">
        <v>570</v>
      </c>
      <c r="H328" s="1" t="str">
        <f>"RENTAL-UNIT 190"</f>
        <v>RENTAL-UNIT 190</v>
      </c>
    </row>
    <row r="329" spans="1:8" x14ac:dyDescent="0.25">
      <c r="A329" s="1" t="s">
        <v>93</v>
      </c>
      <c r="B329" s="1">
        <v>1062</v>
      </c>
      <c r="C329" s="3">
        <v>1000</v>
      </c>
      <c r="D329" s="2">
        <v>43655</v>
      </c>
      <c r="E329" s="1" t="str">
        <f>"201906270116"</f>
        <v>201906270116</v>
      </c>
      <c r="F329" s="1" t="str">
        <f>"309262017F"</f>
        <v>309262017F</v>
      </c>
      <c r="G329" s="3">
        <v>400</v>
      </c>
      <c r="H329" s="1" t="str">
        <f>"309262017F"</f>
        <v>309262017F</v>
      </c>
    </row>
    <row r="330" spans="1:8" x14ac:dyDescent="0.25">
      <c r="E330" s="1" t="str">
        <f>"201906270153"</f>
        <v>201906270153</v>
      </c>
      <c r="F330" s="1" t="str">
        <f>"310102018D"</f>
        <v>310102018D</v>
      </c>
      <c r="G330" s="3">
        <v>250</v>
      </c>
      <c r="H330" s="1" t="str">
        <f>"310102018D"</f>
        <v>310102018D</v>
      </c>
    </row>
    <row r="331" spans="1:8" x14ac:dyDescent="0.25">
      <c r="E331" s="1" t="str">
        <f>"201906270154"</f>
        <v>201906270154</v>
      </c>
      <c r="F331" s="1" t="str">
        <f>"309262017G"</f>
        <v>309262017G</v>
      </c>
      <c r="G331" s="3">
        <v>250</v>
      </c>
      <c r="H331" s="1" t="str">
        <f>"309262017G"</f>
        <v>309262017G</v>
      </c>
    </row>
    <row r="332" spans="1:8" x14ac:dyDescent="0.25">
      <c r="E332" s="1" t="str">
        <f>"201907020241"</f>
        <v>201907020241</v>
      </c>
      <c r="F332" s="1" t="str">
        <f>"19-19703"</f>
        <v>19-19703</v>
      </c>
      <c r="G332" s="3">
        <v>100</v>
      </c>
      <c r="H332" s="1" t="str">
        <f>"19-19703"</f>
        <v>19-19703</v>
      </c>
    </row>
    <row r="333" spans="1:8" x14ac:dyDescent="0.25">
      <c r="A333" s="1" t="s">
        <v>93</v>
      </c>
      <c r="B333" s="1">
        <v>1141</v>
      </c>
      <c r="C333" s="3">
        <v>1900</v>
      </c>
      <c r="D333" s="2">
        <v>43669</v>
      </c>
      <c r="E333" s="1" t="str">
        <f>"201907090301"</f>
        <v>201907090301</v>
      </c>
      <c r="F333" s="1" t="str">
        <f>"16 740"</f>
        <v>16 740</v>
      </c>
      <c r="G333" s="3">
        <v>400</v>
      </c>
      <c r="H333" s="1" t="str">
        <f>"16 740"</f>
        <v>16 740</v>
      </c>
    </row>
    <row r="334" spans="1:8" x14ac:dyDescent="0.25">
      <c r="E334" s="1" t="str">
        <f>"201907120416"</f>
        <v>201907120416</v>
      </c>
      <c r="F334" s="1" t="str">
        <f>"CH201302200"</f>
        <v>CH201302200</v>
      </c>
      <c r="G334" s="3">
        <v>400</v>
      </c>
      <c r="H334" s="1" t="str">
        <f>"CH201302200"</f>
        <v>CH201302200</v>
      </c>
    </row>
    <row r="335" spans="1:8" x14ac:dyDescent="0.25">
      <c r="E335" s="1" t="str">
        <f>"201907150452"</f>
        <v>201907150452</v>
      </c>
      <c r="F335" s="1" t="str">
        <f>"19-19627"</f>
        <v>19-19627</v>
      </c>
      <c r="G335" s="3">
        <v>100</v>
      </c>
      <c r="H335" s="1" t="str">
        <f>"19-19627"</f>
        <v>19-19627</v>
      </c>
    </row>
    <row r="336" spans="1:8" x14ac:dyDescent="0.25">
      <c r="E336" s="1" t="str">
        <f>"201907160478"</f>
        <v>201907160478</v>
      </c>
      <c r="F336" s="1" t="str">
        <f>"02.0515.2"</f>
        <v>02.0515.2</v>
      </c>
      <c r="G336" s="3">
        <v>250</v>
      </c>
      <c r="H336" s="1" t="str">
        <f>"02.0515.2"</f>
        <v>02.0515.2</v>
      </c>
    </row>
    <row r="337" spans="1:8" x14ac:dyDescent="0.25">
      <c r="E337" s="1" t="str">
        <f>"201907160479"</f>
        <v>201907160479</v>
      </c>
      <c r="F337" s="1" t="str">
        <f>"AC20170116A"</f>
        <v>AC20170116A</v>
      </c>
      <c r="G337" s="3">
        <v>250</v>
      </c>
      <c r="H337" s="1" t="str">
        <f>"AC20170116A"</f>
        <v>AC20170116A</v>
      </c>
    </row>
    <row r="338" spans="1:8" x14ac:dyDescent="0.25">
      <c r="E338" s="1" t="str">
        <f>"201907160480"</f>
        <v>201907160480</v>
      </c>
      <c r="F338" s="1" t="str">
        <f>"20170263"</f>
        <v>20170263</v>
      </c>
      <c r="G338" s="3">
        <v>250</v>
      </c>
      <c r="H338" s="1" t="str">
        <f>"20170263"</f>
        <v>20170263</v>
      </c>
    </row>
    <row r="339" spans="1:8" x14ac:dyDescent="0.25">
      <c r="E339" s="1" t="str">
        <f>"201907160481"</f>
        <v>201907160481</v>
      </c>
      <c r="F339" s="1" t="str">
        <f>"201703091A"</f>
        <v>201703091A</v>
      </c>
      <c r="G339" s="3">
        <v>250</v>
      </c>
      <c r="H339" s="1" t="str">
        <f>"201703091A"</f>
        <v>201703091A</v>
      </c>
    </row>
    <row r="340" spans="1:8" x14ac:dyDescent="0.25">
      <c r="A340" s="1" t="s">
        <v>94</v>
      </c>
      <c r="B340" s="1">
        <v>83116</v>
      </c>
      <c r="C340" s="3">
        <v>208.24</v>
      </c>
      <c r="D340" s="2">
        <v>43668</v>
      </c>
      <c r="E340" s="1" t="str">
        <f>"5014036085"</f>
        <v>5014036085</v>
      </c>
      <c r="F340" s="1" t="str">
        <f>"CUST#0011167190/PCT#1"</f>
        <v>CUST#0011167190/PCT#1</v>
      </c>
      <c r="G340" s="3">
        <v>108.24</v>
      </c>
      <c r="H340" s="1" t="str">
        <f>"CUST#0011167190/PCT#1"</f>
        <v>CUST#0011167190/PCT#1</v>
      </c>
    </row>
    <row r="341" spans="1:8" x14ac:dyDescent="0.25">
      <c r="E341" s="1" t="str">
        <f>"9055585555"</f>
        <v>9055585555</v>
      </c>
      <c r="F341" s="1" t="str">
        <f>"INV 9055585555"</f>
        <v>INV 9055585555</v>
      </c>
      <c r="G341" s="3">
        <v>100</v>
      </c>
      <c r="H341" s="1" t="str">
        <f>"INV 9055585555"</f>
        <v>INV 9055585555</v>
      </c>
    </row>
    <row r="342" spans="1:8" x14ac:dyDescent="0.25">
      <c r="A342" s="1" t="s">
        <v>95</v>
      </c>
      <c r="B342" s="1">
        <v>82883</v>
      </c>
      <c r="C342" s="3">
        <v>425.01</v>
      </c>
      <c r="D342" s="2">
        <v>43654</v>
      </c>
      <c r="E342" s="1" t="str">
        <f>"8404186622"</f>
        <v>8404186622</v>
      </c>
      <c r="F342" s="1" t="str">
        <f>"PAYER#10377368/PCT#3"</f>
        <v>PAYER#10377368/PCT#3</v>
      </c>
      <c r="G342" s="3">
        <v>425.01</v>
      </c>
      <c r="H342" s="1" t="str">
        <f>"PAYER#10377368/PCT#3"</f>
        <v>PAYER#10377368/PCT#3</v>
      </c>
    </row>
    <row r="343" spans="1:8" x14ac:dyDescent="0.25">
      <c r="A343" s="1" t="s">
        <v>96</v>
      </c>
      <c r="B343" s="1">
        <v>83117</v>
      </c>
      <c r="C343" s="3">
        <v>5378.73</v>
      </c>
      <c r="D343" s="2">
        <v>43668</v>
      </c>
      <c r="E343" s="1" t="str">
        <f>"201907090310"</f>
        <v>201907090310</v>
      </c>
      <c r="F343" s="1" t="str">
        <f>"PAYER#14108463/ANIMAL SHELTER"</f>
        <v>PAYER#14108463/ANIMAL SHELTER</v>
      </c>
      <c r="G343" s="3">
        <v>256</v>
      </c>
      <c r="H343" s="1" t="str">
        <f>"PAYER#14108463/ANIMAL SHELTER"</f>
        <v>PAYER#14108463/ANIMAL SHELTER</v>
      </c>
    </row>
    <row r="344" spans="1:8" x14ac:dyDescent="0.25">
      <c r="E344" s="1" t="str">
        <f>"201907090318"</f>
        <v>201907090318</v>
      </c>
      <c r="F344" s="1" t="str">
        <f>"PAYER#14108375/GEN SVCS"</f>
        <v>PAYER#14108375/GEN SVCS</v>
      </c>
      <c r="G344" s="3">
        <v>1343.05</v>
      </c>
      <c r="H344" s="1" t="str">
        <f>"PAYER#14108375/GEN SVCS"</f>
        <v>PAYER#14108375/GEN SVCS</v>
      </c>
    </row>
    <row r="345" spans="1:8" x14ac:dyDescent="0.25">
      <c r="E345" s="1" t="str">
        <f>"201907090323"</f>
        <v>201907090323</v>
      </c>
      <c r="F345" s="1" t="str">
        <f>"PAYER#1108431"</f>
        <v>PAYER#1108431</v>
      </c>
      <c r="G345" s="3">
        <v>55.56</v>
      </c>
      <c r="H345" s="1" t="str">
        <f>"PAYER#1108431"</f>
        <v>PAYER#1108431</v>
      </c>
    </row>
    <row r="346" spans="1:8" x14ac:dyDescent="0.25">
      <c r="E346" s="1" t="str">
        <f>"201907100390"</f>
        <v>201907100390</v>
      </c>
      <c r="F346" s="1" t="str">
        <f>"PAYER#1108431/PCT#1"</f>
        <v>PAYER#1108431/PCT#1</v>
      </c>
      <c r="G346" s="3">
        <v>639.4</v>
      </c>
      <c r="H346" s="1" t="str">
        <f>"PAYER#1108431/PCT#1"</f>
        <v>PAYER#1108431/PCT#1</v>
      </c>
    </row>
    <row r="347" spans="1:8" x14ac:dyDescent="0.25">
      <c r="E347" s="1" t="str">
        <f>"201907100392"</f>
        <v>201907100392</v>
      </c>
      <c r="F347" s="1" t="str">
        <f>"PAYER#14108367/PCT#2"</f>
        <v>PAYER#14108367/PCT#2</v>
      </c>
      <c r="G347" s="3">
        <v>691.24</v>
      </c>
      <c r="H347" s="1" t="str">
        <f>"PAYER#14108367/PCT#2"</f>
        <v>PAYER#14108367/PCT#2</v>
      </c>
    </row>
    <row r="348" spans="1:8" x14ac:dyDescent="0.25">
      <c r="E348" s="1" t="str">
        <f>"201907100395"</f>
        <v>201907100395</v>
      </c>
      <c r="F348" s="1" t="str">
        <f>"PAYER#14108430/PCT#4"</f>
        <v>PAYER#14108430/PCT#4</v>
      </c>
      <c r="G348" s="3">
        <v>1223.07</v>
      </c>
      <c r="H348" s="1" t="str">
        <f>"PAYER#14108430/PCT#4"</f>
        <v>PAYER#14108430/PCT#4</v>
      </c>
    </row>
    <row r="349" spans="1:8" x14ac:dyDescent="0.25">
      <c r="E349" s="1" t="str">
        <f>"201907160491"</f>
        <v>201907160491</v>
      </c>
      <c r="F349" s="1" t="str">
        <f>"PAYER#13229945/GEN SVCS"</f>
        <v>PAYER#13229945/GEN SVCS</v>
      </c>
      <c r="G349" s="3">
        <v>1170.4100000000001</v>
      </c>
      <c r="H349" s="1" t="str">
        <f>"PAYER#13229945/GEN SVCS"</f>
        <v>PAYER#13229945/GEN SVCS</v>
      </c>
    </row>
    <row r="350" spans="1:8" x14ac:dyDescent="0.25">
      <c r="A350" s="1" t="s">
        <v>97</v>
      </c>
      <c r="B350" s="1">
        <v>83019</v>
      </c>
      <c r="C350" s="3">
        <v>56283.63</v>
      </c>
      <c r="D350" s="2">
        <v>43656</v>
      </c>
      <c r="E350" s="1" t="str">
        <f>"201907090319"</f>
        <v>201907090319</v>
      </c>
      <c r="F350" s="1" t="str">
        <f>"ACCT#02-2083-04 / 06292019"</f>
        <v>ACCT#02-2083-04 / 06292019</v>
      </c>
      <c r="G350" s="3">
        <v>6006.08</v>
      </c>
      <c r="H350" s="1" t="str">
        <f>"ACCT#02-2083-04 / 06292019"</f>
        <v>ACCT#02-2083-04 / 06292019</v>
      </c>
    </row>
    <row r="351" spans="1:8" x14ac:dyDescent="0.25">
      <c r="E351" s="1" t="str">
        <f>"201907090320"</f>
        <v>201907090320</v>
      </c>
      <c r="F351" s="1" t="str">
        <f>"COUNTY DEV CTR / 06292019"</f>
        <v>COUNTY DEV CTR / 06292019</v>
      </c>
      <c r="G351" s="3">
        <v>4002.81</v>
      </c>
      <c r="H351" s="1" t="str">
        <f>"COUNTY DEV CTR / 06292019"</f>
        <v>COUNTY DEV CTR / 06292019</v>
      </c>
    </row>
    <row r="352" spans="1:8" x14ac:dyDescent="0.25">
      <c r="E352" s="1" t="str">
        <f>"201907090321"</f>
        <v>201907090321</v>
      </c>
      <c r="F352" s="1" t="str">
        <f>"COUNTY LAW ENF CTR / 06292019"</f>
        <v>COUNTY LAW ENF CTR / 06292019</v>
      </c>
      <c r="G352" s="3">
        <v>30075.32</v>
      </c>
      <c r="H352" s="1" t="str">
        <f>"COUNTY LAW ENF CTR / 06292019"</f>
        <v>COUNTY LAW ENF CTR / 06292019</v>
      </c>
    </row>
    <row r="353" spans="1:8" x14ac:dyDescent="0.25">
      <c r="E353" s="1" t="str">
        <f>"201907090322"</f>
        <v>201907090322</v>
      </c>
      <c r="F353" s="1" t="str">
        <f>"BASTROP COURTHOUSE / 06292019"</f>
        <v>BASTROP COURTHOUSE / 06292019</v>
      </c>
      <c r="G353" s="3">
        <v>16199.42</v>
      </c>
      <c r="H353" s="1" t="str">
        <f>"BASTROP COURTHOUSE / 06292019"</f>
        <v>BASTROP COURTHOUSE / 06292019</v>
      </c>
    </row>
    <row r="354" spans="1:8" x14ac:dyDescent="0.25">
      <c r="A354" s="1" t="s">
        <v>97</v>
      </c>
      <c r="B354" s="1">
        <v>83118</v>
      </c>
      <c r="C354" s="3">
        <v>750</v>
      </c>
      <c r="D354" s="2">
        <v>43668</v>
      </c>
      <c r="E354" s="1" t="str">
        <f>"201907100402"</f>
        <v>201907100402</v>
      </c>
      <c r="F354" s="1" t="str">
        <f>"RENTAL-PARKING LOT"</f>
        <v>RENTAL-PARKING LOT</v>
      </c>
      <c r="G354" s="3">
        <v>750</v>
      </c>
      <c r="H354" s="1" t="str">
        <f>"RENTAL-PARKING LOT"</f>
        <v>RENTAL-PARKING LOT</v>
      </c>
    </row>
    <row r="355" spans="1:8" x14ac:dyDescent="0.25">
      <c r="A355" s="1" t="s">
        <v>98</v>
      </c>
      <c r="B355" s="1">
        <v>82848</v>
      </c>
      <c r="C355" s="3">
        <v>1850.98</v>
      </c>
      <c r="D355" s="2">
        <v>43649</v>
      </c>
      <c r="E355" s="1" t="str">
        <f>"201907020278"</f>
        <v>201907020278</v>
      </c>
      <c r="F355" s="1" t="str">
        <f>"ACCT#007-0000388-000/06262019"</f>
        <v>ACCT#007-0000388-000/06262019</v>
      </c>
      <c r="G355" s="3">
        <v>737.36</v>
      </c>
      <c r="H355" s="1" t="str">
        <f>"ACCT#007-0000388-000/06262019"</f>
        <v>ACCT#007-0000388-000/06262019</v>
      </c>
    </row>
    <row r="356" spans="1:8" x14ac:dyDescent="0.25">
      <c r="E356" s="1" t="str">
        <f>"201907020279"</f>
        <v>201907020279</v>
      </c>
      <c r="F356" s="1" t="str">
        <f>"ACCT#007-0000389-000/06262019"</f>
        <v>ACCT#007-0000389-000/06262019</v>
      </c>
      <c r="G356" s="3">
        <v>53.86</v>
      </c>
      <c r="H356" s="1" t="str">
        <f>"ACCT#007-0000389-000/06262019"</f>
        <v>ACCT#007-0000389-000/06262019</v>
      </c>
    </row>
    <row r="357" spans="1:8" x14ac:dyDescent="0.25">
      <c r="E357" s="1" t="str">
        <f>"201907020280"</f>
        <v>201907020280</v>
      </c>
      <c r="F357" s="1" t="str">
        <f>"ACCT#044-0001240-000/06262019"</f>
        <v>ACCT#044-0001240-000/06262019</v>
      </c>
      <c r="G357" s="3">
        <v>421.15</v>
      </c>
      <c r="H357" s="1" t="str">
        <f>"ACCT#044-0001240-000/06262019"</f>
        <v>ACCT#044-0001240-000/06262019</v>
      </c>
    </row>
    <row r="358" spans="1:8" x14ac:dyDescent="0.25">
      <c r="E358" s="1" t="str">
        <f>"201907020281"</f>
        <v>201907020281</v>
      </c>
      <c r="F358" s="1" t="str">
        <f>"ACCT#044-0001250-000/06262019"</f>
        <v>ACCT#044-0001250-000/06262019</v>
      </c>
      <c r="G358" s="3">
        <v>84.23</v>
      </c>
      <c r="H358" s="1" t="str">
        <f>"ACCT#044-0001250-000/06262019"</f>
        <v>ACCT#044-0001250-000/06262019</v>
      </c>
    </row>
    <row r="359" spans="1:8" x14ac:dyDescent="0.25">
      <c r="E359" s="1" t="str">
        <f>"201907020282"</f>
        <v>201907020282</v>
      </c>
      <c r="F359" s="1" t="str">
        <f>"ACCT#044-0001252-000/06262019"</f>
        <v>ACCT#044-0001252-000/06262019</v>
      </c>
      <c r="G359" s="3">
        <v>490.12</v>
      </c>
      <c r="H359" s="1" t="str">
        <f>"ACCT#044-0001252-000/06262019"</f>
        <v>ACCT#044-0001252-000/06262019</v>
      </c>
    </row>
    <row r="360" spans="1:8" x14ac:dyDescent="0.25">
      <c r="E360" s="1" t="str">
        <f>"201907020283"</f>
        <v>201907020283</v>
      </c>
      <c r="F360" s="1" t="str">
        <f>"ACCT#044-0001253-000/06262019"</f>
        <v>ACCT#044-0001253-000/06262019</v>
      </c>
      <c r="G360" s="3">
        <v>64.260000000000005</v>
      </c>
      <c r="H360" s="1" t="str">
        <f>"ACCT#044-0001253-000/06262019"</f>
        <v>ACCT#044-0001253-000/06262019</v>
      </c>
    </row>
    <row r="361" spans="1:8" x14ac:dyDescent="0.25">
      <c r="A361" s="1" t="s">
        <v>99</v>
      </c>
      <c r="B361" s="1">
        <v>1014</v>
      </c>
      <c r="C361" s="3">
        <v>315</v>
      </c>
      <c r="D361" s="2">
        <v>43655</v>
      </c>
      <c r="E361" s="1" t="str">
        <f>"PMA-0052114"</f>
        <v>PMA-0052114</v>
      </c>
      <c r="F361" s="1" t="str">
        <f>"ACCT#0020272/MAINT SVC AGREEME"</f>
        <v>ACCT#0020272/MAINT SVC AGREEME</v>
      </c>
      <c r="G361" s="3">
        <v>100</v>
      </c>
      <c r="H361" s="1" t="str">
        <f>"ACCT#0020272/MAINT SVC AGREEME"</f>
        <v>ACCT#0020272/MAINT SVC AGREEME</v>
      </c>
    </row>
    <row r="362" spans="1:8" x14ac:dyDescent="0.25">
      <c r="E362" s="1" t="str">
        <f>"PMA-0052115"</f>
        <v>PMA-0052115</v>
      </c>
      <c r="F362" s="1" t="str">
        <f>"CUST#0020272/MAINT SVC AGREEME"</f>
        <v>CUST#0020272/MAINT SVC AGREEME</v>
      </c>
      <c r="G362" s="3">
        <v>100</v>
      </c>
      <c r="H362" s="1" t="str">
        <f>"CUST#0020272/MAINT SVC AGREEME"</f>
        <v>CUST#0020272/MAINT SVC AGREEME</v>
      </c>
    </row>
    <row r="363" spans="1:8" x14ac:dyDescent="0.25">
      <c r="E363" s="1" t="str">
        <f>"PMA-0052116"</f>
        <v>PMA-0052116</v>
      </c>
      <c r="F363" s="1" t="str">
        <f>"CUST#0020272/MAINT SVC AGREEME"</f>
        <v>CUST#0020272/MAINT SVC AGREEME</v>
      </c>
      <c r="G363" s="3">
        <v>115</v>
      </c>
      <c r="H363" s="1" t="str">
        <f>"CUST#0020272/MAINT SVC AGREEME"</f>
        <v>CUST#0020272/MAINT SVC AGREEME</v>
      </c>
    </row>
    <row r="364" spans="1:8" x14ac:dyDescent="0.25">
      <c r="A364" s="1" t="s">
        <v>99</v>
      </c>
      <c r="B364" s="1">
        <v>1078</v>
      </c>
      <c r="C364" s="3">
        <v>5145</v>
      </c>
      <c r="D364" s="2">
        <v>43669</v>
      </c>
      <c r="E364" s="1" t="str">
        <f>"PMA-0052389"</f>
        <v>PMA-0052389</v>
      </c>
      <c r="F364" s="1" t="str">
        <f>"INV PMA-0052389"</f>
        <v>INV PMA-0052389</v>
      </c>
      <c r="G364" s="3">
        <v>749</v>
      </c>
      <c r="H364" s="1" t="str">
        <f>"INV PMA-0052389"</f>
        <v>INV PMA-0052389</v>
      </c>
    </row>
    <row r="365" spans="1:8" x14ac:dyDescent="0.25">
      <c r="E365" s="1" t="str">
        <f>"PMA-0052390"</f>
        <v>PMA-0052390</v>
      </c>
      <c r="F365" s="1" t="str">
        <f>"AGREEEMENT#PMA-013606/GEN SVCS"</f>
        <v>AGREEEMENT#PMA-013606/GEN SVCS</v>
      </c>
      <c r="G365" s="3">
        <v>4396</v>
      </c>
      <c r="H365" s="1" t="str">
        <f>"AGREEEMENT#PMA-013606/GEN SVCS"</f>
        <v>AGREEEMENT#PMA-013606/GEN SVCS</v>
      </c>
    </row>
    <row r="366" spans="1:8" x14ac:dyDescent="0.25">
      <c r="A366" s="1" t="s">
        <v>100</v>
      </c>
      <c r="B366" s="1">
        <v>1113</v>
      </c>
      <c r="C366" s="3">
        <v>384.49</v>
      </c>
      <c r="D366" s="2">
        <v>43669</v>
      </c>
      <c r="E366" s="1" t="str">
        <f>"201906-0"</f>
        <v>201906-0</v>
      </c>
      <c r="F366" s="1" t="str">
        <f>"INV 201906-0"</f>
        <v>INV 201906-0</v>
      </c>
      <c r="G366" s="3">
        <v>147.05000000000001</v>
      </c>
      <c r="H366" s="1" t="str">
        <f>"INV 201906-0"</f>
        <v>INV 201906-0</v>
      </c>
    </row>
    <row r="367" spans="1:8" x14ac:dyDescent="0.25">
      <c r="E367" s="1" t="str">
        <f>"201907160571"</f>
        <v>201907160571</v>
      </c>
      <c r="F367" s="1" t="str">
        <f>"INDIGENT HEALTH"</f>
        <v>INDIGENT HEALTH</v>
      </c>
      <c r="G367" s="3">
        <v>237.44</v>
      </c>
      <c r="H367" s="1" t="str">
        <f>"INDIGENT HEALTH"</f>
        <v>INDIGENT HEALTH</v>
      </c>
    </row>
    <row r="368" spans="1:8" x14ac:dyDescent="0.25">
      <c r="A368" s="1" t="s">
        <v>101</v>
      </c>
      <c r="B368" s="1">
        <v>83119</v>
      </c>
      <c r="C368" s="3">
        <v>350</v>
      </c>
      <c r="D368" s="2">
        <v>43668</v>
      </c>
      <c r="E368" s="1" t="str">
        <f>"201907160563"</f>
        <v>201907160563</v>
      </c>
      <c r="F368" s="1" t="str">
        <f>"BOND#13748237-BENTON ESKEW"</f>
        <v>BOND#13748237-BENTON ESKEW</v>
      </c>
      <c r="G368" s="3">
        <v>350</v>
      </c>
      <c r="H368" s="1" t="str">
        <f>"BOND#13748237-BENTON ESKEW"</f>
        <v>BOND#13748237-BENTON ESKEW</v>
      </c>
    </row>
    <row r="369" spans="1:9" x14ac:dyDescent="0.25">
      <c r="A369" s="1" t="s">
        <v>102</v>
      </c>
      <c r="B369" s="1">
        <v>82884</v>
      </c>
      <c r="C369" s="3">
        <v>290</v>
      </c>
      <c r="D369" s="2">
        <v>43654</v>
      </c>
      <c r="E369" s="1" t="str">
        <f>"12268"</f>
        <v>12268</v>
      </c>
      <c r="F369" s="1" t="str">
        <f>"SERVICE 04/04/19"</f>
        <v>SERVICE 04/04/19</v>
      </c>
      <c r="G369" s="3">
        <v>290</v>
      </c>
      <c r="H369" s="1" t="str">
        <f>"SERVICE 04/04/19"</f>
        <v>SERVICE 04/04/19</v>
      </c>
    </row>
    <row r="370" spans="1:9" x14ac:dyDescent="0.25">
      <c r="A370" s="1" t="s">
        <v>103</v>
      </c>
      <c r="B370" s="1">
        <v>83120</v>
      </c>
      <c r="C370" s="3">
        <v>145</v>
      </c>
      <c r="D370" s="2">
        <v>43668</v>
      </c>
      <c r="E370" s="1" t="str">
        <f>"190710BCED"</f>
        <v>190710BCED</v>
      </c>
      <c r="F370" s="1" t="str">
        <f>"INTERPRETING SERVICES"</f>
        <v>INTERPRETING SERVICES</v>
      </c>
      <c r="G370" s="3">
        <v>145</v>
      </c>
      <c r="H370" s="1" t="str">
        <f>"INTERPRETING SERVICES"</f>
        <v>INTERPRETING SERVICES</v>
      </c>
    </row>
    <row r="371" spans="1:9" x14ac:dyDescent="0.25">
      <c r="A371" s="1" t="s">
        <v>104</v>
      </c>
      <c r="B371" s="1">
        <v>1080</v>
      </c>
      <c r="C371" s="3">
        <v>210</v>
      </c>
      <c r="D371" s="2">
        <v>43669</v>
      </c>
      <c r="E371" s="1" t="str">
        <f>"12457918301"</f>
        <v>12457918301</v>
      </c>
      <c r="F371" s="1" t="str">
        <f>"INV 12457918301"</f>
        <v>INV 12457918301</v>
      </c>
      <c r="G371" s="3">
        <v>210</v>
      </c>
      <c r="H371" s="1" t="str">
        <f>"INV 12457918301"</f>
        <v>INV 12457918301</v>
      </c>
    </row>
    <row r="372" spans="1:9" x14ac:dyDescent="0.25">
      <c r="A372" s="1" t="s">
        <v>105</v>
      </c>
      <c r="B372" s="1">
        <v>1090</v>
      </c>
      <c r="C372" s="3">
        <v>206.69</v>
      </c>
      <c r="D372" s="2">
        <v>43669</v>
      </c>
      <c r="E372" s="1" t="str">
        <f>"201907160572"</f>
        <v>201907160572</v>
      </c>
      <c r="F372" s="1" t="str">
        <f>"INDIGENT HEALTH"</f>
        <v>INDIGENT HEALTH</v>
      </c>
      <c r="G372" s="3">
        <v>206.69</v>
      </c>
      <c r="H372" s="1" t="str">
        <f>"INDIGENT HEALTH"</f>
        <v>INDIGENT HEALTH</v>
      </c>
    </row>
    <row r="373" spans="1:9" x14ac:dyDescent="0.25">
      <c r="E373" s="1" t="str">
        <f>""</f>
        <v/>
      </c>
      <c r="F373" s="1" t="str">
        <f>""</f>
        <v/>
      </c>
      <c r="H373" s="1" t="str">
        <f>"INDIGENT HEALTH"</f>
        <v>INDIGENT HEALTH</v>
      </c>
    </row>
    <row r="374" spans="1:9" x14ac:dyDescent="0.25">
      <c r="A374" s="1" t="s">
        <v>106</v>
      </c>
      <c r="B374" s="1">
        <v>82885</v>
      </c>
      <c r="C374" s="3">
        <v>46.17</v>
      </c>
      <c r="D374" s="2">
        <v>43654</v>
      </c>
      <c r="E374" s="1" t="str">
        <f>"201906250096"</f>
        <v>201906250096</v>
      </c>
      <c r="F374" s="1" t="str">
        <f>"MILEAGE REIMBURSEMENT"</f>
        <v>MILEAGE REIMBURSEMENT</v>
      </c>
      <c r="G374" s="3">
        <v>46.17</v>
      </c>
      <c r="H374" s="1" t="str">
        <f>"MILEAGE REIMBURSEMENT"</f>
        <v>MILEAGE REIMBURSEMENT</v>
      </c>
    </row>
    <row r="375" spans="1:9" x14ac:dyDescent="0.25">
      <c r="A375" s="1" t="s">
        <v>107</v>
      </c>
      <c r="B375" s="1">
        <v>83121</v>
      </c>
      <c r="C375" s="3">
        <v>25</v>
      </c>
      <c r="D375" s="2">
        <v>43668</v>
      </c>
      <c r="E375" s="1" t="s">
        <v>108</v>
      </c>
      <c r="F375" s="1" t="s">
        <v>109</v>
      </c>
      <c r="G375" s="3" t="str">
        <f>"RESTITUTION - K. PURCELL"</f>
        <v>RESTITUTION - K. PURCELL</v>
      </c>
      <c r="H375" s="1" t="str">
        <f>"210-0000"</f>
        <v>210-0000</v>
      </c>
      <c r="I375" s="1" t="str">
        <f>""</f>
        <v/>
      </c>
    </row>
    <row r="376" spans="1:9" x14ac:dyDescent="0.25">
      <c r="A376" s="1" t="s">
        <v>110</v>
      </c>
      <c r="B376" s="1">
        <v>82886</v>
      </c>
      <c r="C376" s="3">
        <v>10971.64</v>
      </c>
      <c r="D376" s="2">
        <v>43654</v>
      </c>
      <c r="E376" s="1" t="str">
        <f>"18614845"</f>
        <v>18614845</v>
      </c>
      <c r="F376" s="1" t="str">
        <f>"ACCT#434304/PCT#2"</f>
        <v>ACCT#434304/PCT#2</v>
      </c>
      <c r="G376" s="3">
        <v>8376.6</v>
      </c>
      <c r="H376" s="1" t="str">
        <f>"ACCT#434304/PCT#2"</f>
        <v>ACCT#434304/PCT#2</v>
      </c>
    </row>
    <row r="377" spans="1:9" x14ac:dyDescent="0.25">
      <c r="E377" s="1" t="str">
        <f>"18631390"</f>
        <v>18631390</v>
      </c>
      <c r="F377" s="1" t="str">
        <f>"ACCT#434304/PCT#4"</f>
        <v>ACCT#434304/PCT#4</v>
      </c>
      <c r="G377" s="3">
        <v>2595.04</v>
      </c>
      <c r="H377" s="1" t="str">
        <f>"ACCT#434304/PCT#4"</f>
        <v>ACCT#434304/PCT#4</v>
      </c>
    </row>
    <row r="378" spans="1:9" x14ac:dyDescent="0.25">
      <c r="A378" s="1" t="s">
        <v>110</v>
      </c>
      <c r="B378" s="1">
        <v>83122</v>
      </c>
      <c r="C378" s="3">
        <v>331.2</v>
      </c>
      <c r="D378" s="2">
        <v>43668</v>
      </c>
      <c r="E378" s="1" t="str">
        <f>"18743195"</f>
        <v>18743195</v>
      </c>
      <c r="F378" s="1" t="str">
        <f>"ACCT#434304/PCT#4"</f>
        <v>ACCT#434304/PCT#4</v>
      </c>
      <c r="G378" s="3">
        <v>331.2</v>
      </c>
      <c r="H378" s="1" t="str">
        <f>"ACCT#434304/PCT#4"</f>
        <v>ACCT#434304/PCT#4</v>
      </c>
    </row>
    <row r="379" spans="1:9" x14ac:dyDescent="0.25">
      <c r="A379" s="1" t="s">
        <v>111</v>
      </c>
      <c r="B379" s="1">
        <v>82887</v>
      </c>
      <c r="C379" s="3">
        <v>4250</v>
      </c>
      <c r="D379" s="2">
        <v>43654</v>
      </c>
      <c r="E379" s="1" t="str">
        <f>"20038"</f>
        <v>20038</v>
      </c>
      <c r="F379" s="1" t="str">
        <f>"PROJECT-20038 DH PCT 1 BARN"</f>
        <v>PROJECT-20038 DH PCT 1 BARN</v>
      </c>
      <c r="G379" s="3">
        <v>4250</v>
      </c>
      <c r="H379" s="1" t="str">
        <f>"PROJECT-20038 DH PCT 1 BARN"</f>
        <v>PROJECT-20038 DH PCT 1 BARN</v>
      </c>
    </row>
    <row r="380" spans="1:9" x14ac:dyDescent="0.25">
      <c r="A380" s="1" t="s">
        <v>112</v>
      </c>
      <c r="B380" s="1">
        <v>1037</v>
      </c>
      <c r="C380" s="3">
        <v>3242.96</v>
      </c>
      <c r="D380" s="2">
        <v>43655</v>
      </c>
      <c r="E380" s="1" t="str">
        <f>"IN49329"</f>
        <v>IN49329</v>
      </c>
      <c r="F380" s="1" t="str">
        <f>"ACCT#353/PART CHARGE/PCT#1"</f>
        <v>ACCT#353/PART CHARGE/PCT#1</v>
      </c>
      <c r="G380" s="3">
        <v>924.15</v>
      </c>
      <c r="H380" s="1" t="str">
        <f>"ACCT#353/PART CHARGE/PCT#1"</f>
        <v>ACCT#353/PART CHARGE/PCT#1</v>
      </c>
    </row>
    <row r="381" spans="1:9" x14ac:dyDescent="0.25">
      <c r="E381" s="1" t="str">
        <f>"IN49376"</f>
        <v>IN49376</v>
      </c>
      <c r="F381" s="1" t="str">
        <f>"ACCT#353/PARTS/PCT#3"</f>
        <v>ACCT#353/PARTS/PCT#3</v>
      </c>
      <c r="G381" s="3">
        <v>676.49</v>
      </c>
      <c r="H381" s="1" t="str">
        <f>"ACCT#353/PARTS/PCT#3"</f>
        <v>ACCT#353/PARTS/PCT#3</v>
      </c>
    </row>
    <row r="382" spans="1:9" x14ac:dyDescent="0.25">
      <c r="E382" s="1" t="str">
        <f>"IN49400"</f>
        <v>IN49400</v>
      </c>
      <c r="F382" s="1" t="str">
        <f>"ACCT#353/FAN MOTOR/PCT#1"</f>
        <v>ACCT#353/FAN MOTOR/PCT#1</v>
      </c>
      <c r="G382" s="3">
        <v>545.6</v>
      </c>
      <c r="H382" s="1" t="str">
        <f>"ACCT#353/FAN MOTOR/PCT#1"</f>
        <v>ACCT#353/FAN MOTOR/PCT#1</v>
      </c>
    </row>
    <row r="383" spans="1:9" x14ac:dyDescent="0.25">
      <c r="E383" s="1" t="str">
        <f>"IN49445"</f>
        <v>IN49445</v>
      </c>
      <c r="F383" s="1" t="str">
        <f>"ACCT#353/PART CHARGE/PCT#1"</f>
        <v>ACCT#353/PART CHARGE/PCT#1</v>
      </c>
      <c r="G383" s="3">
        <v>1096.72</v>
      </c>
      <c r="H383" s="1" t="str">
        <f>"ACCT#353/PART CHARGE/PCT#1"</f>
        <v>ACCT#353/PART CHARGE/PCT#1</v>
      </c>
    </row>
    <row r="384" spans="1:9" x14ac:dyDescent="0.25">
      <c r="A384" s="1" t="s">
        <v>112</v>
      </c>
      <c r="B384" s="1">
        <v>1112</v>
      </c>
      <c r="C384" s="3">
        <v>514.25</v>
      </c>
      <c r="D384" s="2">
        <v>43669</v>
      </c>
      <c r="E384" s="1" t="str">
        <f>"WG00550"</f>
        <v>WG00550</v>
      </c>
      <c r="F384" s="1" t="str">
        <f>"ACCT#353/PCT#4"</f>
        <v>ACCT#353/PCT#4</v>
      </c>
      <c r="G384" s="3">
        <v>514.25</v>
      </c>
      <c r="H384" s="1" t="str">
        <f>"ACCT#353/PCT#4"</f>
        <v>ACCT#353/PCT#4</v>
      </c>
    </row>
    <row r="385" spans="1:8" x14ac:dyDescent="0.25">
      <c r="A385" s="1" t="s">
        <v>113</v>
      </c>
      <c r="B385" s="1">
        <v>82888</v>
      </c>
      <c r="C385" s="3">
        <v>225</v>
      </c>
      <c r="D385" s="2">
        <v>43654</v>
      </c>
      <c r="E385" s="1" t="str">
        <f>"12846"</f>
        <v>12846</v>
      </c>
      <c r="F385" s="1" t="str">
        <f>"SERVICE 04/04/19"</f>
        <v>SERVICE 04/04/19</v>
      </c>
      <c r="G385" s="3">
        <v>75</v>
      </c>
      <c r="H385" s="1" t="str">
        <f>"SERVICE 04/04/19"</f>
        <v>SERVICE 04/04/19</v>
      </c>
    </row>
    <row r="386" spans="1:8" x14ac:dyDescent="0.25">
      <c r="E386" s="1" t="str">
        <f>"12848"</f>
        <v>12848</v>
      </c>
      <c r="F386" s="1" t="str">
        <f>"SERVICE"</f>
        <v>SERVICE</v>
      </c>
      <c r="G386" s="3">
        <v>75</v>
      </c>
      <c r="H386" s="1" t="str">
        <f>"SERVICE"</f>
        <v>SERVICE</v>
      </c>
    </row>
    <row r="387" spans="1:8" x14ac:dyDescent="0.25">
      <c r="E387" s="1" t="str">
        <f>"13053"</f>
        <v>13053</v>
      </c>
      <c r="F387" s="1" t="str">
        <f>"SERVICE"</f>
        <v>SERVICE</v>
      </c>
      <c r="G387" s="3">
        <v>75</v>
      </c>
      <c r="H387" s="1" t="str">
        <f>"SERVICE"</f>
        <v>SERVICE</v>
      </c>
    </row>
    <row r="388" spans="1:8" x14ac:dyDescent="0.25">
      <c r="A388" s="1" t="s">
        <v>113</v>
      </c>
      <c r="B388" s="1">
        <v>83123</v>
      </c>
      <c r="C388" s="3">
        <v>375</v>
      </c>
      <c r="D388" s="2">
        <v>43668</v>
      </c>
      <c r="E388" s="1" t="str">
        <f>"12733"</f>
        <v>12733</v>
      </c>
      <c r="F388" s="1" t="str">
        <f>"SERVICE"</f>
        <v>SERVICE</v>
      </c>
      <c r="G388" s="3">
        <v>300</v>
      </c>
      <c r="H388" s="1" t="str">
        <f>"SERVICE"</f>
        <v>SERVICE</v>
      </c>
    </row>
    <row r="389" spans="1:8" x14ac:dyDescent="0.25">
      <c r="E389" s="1" t="str">
        <f>"13185"</f>
        <v>13185</v>
      </c>
      <c r="F389" s="1" t="str">
        <f>"SERVICE"</f>
        <v>SERVICE</v>
      </c>
      <c r="G389" s="3">
        <v>75</v>
      </c>
      <c r="H389" s="1" t="str">
        <f>"SERVICE"</f>
        <v>SERVICE</v>
      </c>
    </row>
    <row r="390" spans="1:8" x14ac:dyDescent="0.25">
      <c r="A390" s="1" t="s">
        <v>114</v>
      </c>
      <c r="B390" s="1">
        <v>82889</v>
      </c>
      <c r="C390" s="3">
        <v>1250</v>
      </c>
      <c r="D390" s="2">
        <v>43654</v>
      </c>
      <c r="E390" s="1" t="str">
        <f>"201907010236"</f>
        <v>201907010236</v>
      </c>
      <c r="F390" s="1" t="str">
        <f>"MAY INVOICE"</f>
        <v>MAY INVOICE</v>
      </c>
      <c r="G390" s="3">
        <v>1250</v>
      </c>
      <c r="H390" s="1" t="str">
        <f>"MAY INVOICE"</f>
        <v>MAY INVOICE</v>
      </c>
    </row>
    <row r="391" spans="1:8" x14ac:dyDescent="0.25">
      <c r="A391" s="1" t="s">
        <v>115</v>
      </c>
      <c r="B391" s="1">
        <v>1109</v>
      </c>
      <c r="C391" s="3">
        <v>119.85</v>
      </c>
      <c r="D391" s="2">
        <v>43669</v>
      </c>
      <c r="E391" s="1" t="str">
        <f>"87-8653"</f>
        <v>87-8653</v>
      </c>
      <c r="F391" s="1" t="str">
        <f>"CUST#57687/BELT/PCT#3"</f>
        <v>CUST#57687/BELT/PCT#3</v>
      </c>
      <c r="G391" s="3">
        <v>119.85</v>
      </c>
      <c r="H391" s="1" t="str">
        <f>"CUST#57687/BELT/PCT#3"</f>
        <v>CUST#57687/BELT/PCT#3</v>
      </c>
    </row>
    <row r="392" spans="1:8" x14ac:dyDescent="0.25">
      <c r="A392" s="1" t="s">
        <v>116</v>
      </c>
      <c r="B392" s="1">
        <v>82890</v>
      </c>
      <c r="C392" s="3">
        <v>1897.34</v>
      </c>
      <c r="D392" s="2">
        <v>43654</v>
      </c>
      <c r="E392" s="1" t="str">
        <f>"321271"</f>
        <v>321271</v>
      </c>
      <c r="F392" s="1" t="str">
        <f>"CUSTOM PRODUCTS CORPORATION"</f>
        <v>CUSTOM PRODUCTS CORPORATION</v>
      </c>
      <c r="G392" s="3">
        <v>1897.34</v>
      </c>
      <c r="H392" s="1" t="str">
        <f>"Epoxy Kit"</f>
        <v>Epoxy Kit</v>
      </c>
    </row>
    <row r="393" spans="1:8" x14ac:dyDescent="0.25">
      <c r="E393" s="1" t="str">
        <f>""</f>
        <v/>
      </c>
      <c r="F393" s="1" t="str">
        <f>""</f>
        <v/>
      </c>
      <c r="H393" s="1" t="str">
        <f>"Rumble Strop"</f>
        <v>Rumble Strop</v>
      </c>
    </row>
    <row r="394" spans="1:8" x14ac:dyDescent="0.25">
      <c r="E394" s="1" t="str">
        <f>""</f>
        <v/>
      </c>
      <c r="F394" s="1" t="str">
        <f>""</f>
        <v/>
      </c>
      <c r="H394" s="1" t="str">
        <f>"Freight"</f>
        <v>Freight</v>
      </c>
    </row>
    <row r="395" spans="1:8" x14ac:dyDescent="0.25">
      <c r="A395" s="1" t="s">
        <v>117</v>
      </c>
      <c r="B395" s="1">
        <v>82891</v>
      </c>
      <c r="C395" s="3">
        <v>510</v>
      </c>
      <c r="D395" s="2">
        <v>43654</v>
      </c>
      <c r="E395" s="1" t="str">
        <f>"12632"</f>
        <v>12632</v>
      </c>
      <c r="F395" s="1" t="str">
        <f>"SERVICE  04/04/19"</f>
        <v>SERVICE  04/04/19</v>
      </c>
      <c r="G395" s="3">
        <v>160</v>
      </c>
      <c r="H395" s="1" t="str">
        <f>"SERVICE  04/04/19"</f>
        <v>SERVICE  04/04/19</v>
      </c>
    </row>
    <row r="396" spans="1:8" x14ac:dyDescent="0.25">
      <c r="E396" s="1" t="str">
        <f>"12848"</f>
        <v>12848</v>
      </c>
      <c r="F396" s="1" t="str">
        <f>"SERVICE"</f>
        <v>SERVICE</v>
      </c>
      <c r="G396" s="3">
        <v>160</v>
      </c>
      <c r="H396" s="1" t="str">
        <f>"SERVICE"</f>
        <v>SERVICE</v>
      </c>
    </row>
    <row r="397" spans="1:8" x14ac:dyDescent="0.25">
      <c r="E397" s="1" t="str">
        <f>"12870"</f>
        <v>12870</v>
      </c>
      <c r="F397" s="1" t="str">
        <f>"SERVICE 04/04/19"</f>
        <v>SERVICE 04/04/19</v>
      </c>
      <c r="G397" s="3">
        <v>80</v>
      </c>
      <c r="H397" s="1" t="str">
        <f>"SERVICE 04/04/19"</f>
        <v>SERVICE 04/04/19</v>
      </c>
    </row>
    <row r="398" spans="1:8" x14ac:dyDescent="0.25">
      <c r="E398" s="1" t="str">
        <f>"12993  05/30/19"</f>
        <v>12993  05/30/19</v>
      </c>
      <c r="F398" s="1" t="str">
        <f>"SERVICE"</f>
        <v>SERVICE</v>
      </c>
      <c r="G398" s="3">
        <v>30</v>
      </c>
      <c r="H398" s="1" t="str">
        <f>"SERVICE"</f>
        <v>SERVICE</v>
      </c>
    </row>
    <row r="399" spans="1:8" x14ac:dyDescent="0.25">
      <c r="E399" s="1" t="str">
        <f>"13115"</f>
        <v>13115</v>
      </c>
      <c r="F399" s="1" t="str">
        <f>"SERVICE"</f>
        <v>SERVICE</v>
      </c>
      <c r="G399" s="3">
        <v>80</v>
      </c>
      <c r="H399" s="1" t="str">
        <f>"SERVICE"</f>
        <v>SERVICE</v>
      </c>
    </row>
    <row r="400" spans="1:8" x14ac:dyDescent="0.25">
      <c r="A400" s="1" t="s">
        <v>117</v>
      </c>
      <c r="B400" s="1">
        <v>83124</v>
      </c>
      <c r="C400" s="3">
        <v>80</v>
      </c>
      <c r="D400" s="2">
        <v>43668</v>
      </c>
      <c r="E400" s="1" t="str">
        <f>"12733"</f>
        <v>12733</v>
      </c>
      <c r="F400" s="1" t="str">
        <f>"SERVICE"</f>
        <v>SERVICE</v>
      </c>
      <c r="G400" s="3">
        <v>80</v>
      </c>
      <c r="H400" s="1" t="str">
        <f>"SERVICE"</f>
        <v>SERVICE</v>
      </c>
    </row>
    <row r="401" spans="1:8" x14ac:dyDescent="0.25">
      <c r="A401" s="1" t="s">
        <v>118</v>
      </c>
      <c r="B401" s="1">
        <v>83125</v>
      </c>
      <c r="C401" s="3">
        <v>100</v>
      </c>
      <c r="D401" s="2">
        <v>43668</v>
      </c>
      <c r="E401" s="1" t="str">
        <f>"201907090305"</f>
        <v>201907090305</v>
      </c>
      <c r="F401" s="1" t="str">
        <f>"LEGAL CONSULT SVCS-JUNE 2019"</f>
        <v>LEGAL CONSULT SVCS-JUNE 2019</v>
      </c>
      <c r="G401" s="3">
        <v>100</v>
      </c>
      <c r="H401" s="1" t="str">
        <f>"LEGAL CONSULT SVCS-JUNE 2019"</f>
        <v>LEGAL CONSULT SVCS-JUNE 2019</v>
      </c>
    </row>
    <row r="402" spans="1:8" x14ac:dyDescent="0.25">
      <c r="A402" s="1" t="s">
        <v>119</v>
      </c>
      <c r="B402" s="1">
        <v>83126</v>
      </c>
      <c r="C402" s="3">
        <v>166.06</v>
      </c>
      <c r="D402" s="2">
        <v>43668</v>
      </c>
      <c r="E402" s="1" t="str">
        <f>"201907160573"</f>
        <v>201907160573</v>
      </c>
      <c r="F402" s="1" t="str">
        <f>"INDIGENT HEALTH"</f>
        <v>INDIGENT HEALTH</v>
      </c>
      <c r="G402" s="3">
        <v>166.06</v>
      </c>
      <c r="H402" s="1" t="str">
        <f>"INDIGENT HEALTH"</f>
        <v>INDIGENT HEALTH</v>
      </c>
    </row>
    <row r="403" spans="1:8" x14ac:dyDescent="0.25">
      <c r="A403" s="1" t="s">
        <v>120</v>
      </c>
      <c r="B403" s="1">
        <v>1102</v>
      </c>
      <c r="C403" s="3">
        <v>2850</v>
      </c>
      <c r="D403" s="2">
        <v>43669</v>
      </c>
      <c r="E403" s="1" t="str">
        <f>"394560"</f>
        <v>394560</v>
      </c>
      <c r="F403" s="1" t="str">
        <f>"inv# 394560"</f>
        <v>inv# 394560</v>
      </c>
      <c r="G403" s="3">
        <v>2850</v>
      </c>
      <c r="H403" s="1" t="str">
        <f>"total"</f>
        <v>total</v>
      </c>
    </row>
    <row r="404" spans="1:8" x14ac:dyDescent="0.25">
      <c r="A404" s="1" t="s">
        <v>121</v>
      </c>
      <c r="B404" s="1">
        <v>1083</v>
      </c>
      <c r="C404" s="3">
        <v>1385</v>
      </c>
      <c r="D404" s="2">
        <v>43669</v>
      </c>
      <c r="E404" s="1" t="str">
        <f>"201907150436"</f>
        <v>201907150436</v>
      </c>
      <c r="F404" s="1" t="str">
        <f>"17-18754"</f>
        <v>17-18754</v>
      </c>
      <c r="G404" s="3">
        <v>392.5</v>
      </c>
      <c r="H404" s="1" t="str">
        <f>"17-18754"</f>
        <v>17-18754</v>
      </c>
    </row>
    <row r="405" spans="1:8" x14ac:dyDescent="0.25">
      <c r="E405" s="1" t="str">
        <f>"201907150437"</f>
        <v>201907150437</v>
      </c>
      <c r="F405" s="1" t="str">
        <f>"18-19392"</f>
        <v>18-19392</v>
      </c>
      <c r="G405" s="3">
        <v>180</v>
      </c>
      <c r="H405" s="1" t="str">
        <f>"18-19392"</f>
        <v>18-19392</v>
      </c>
    </row>
    <row r="406" spans="1:8" x14ac:dyDescent="0.25">
      <c r="E406" s="1" t="str">
        <f>"201907150438"</f>
        <v>201907150438</v>
      </c>
      <c r="F406" s="1" t="str">
        <f>"19-19445"</f>
        <v>19-19445</v>
      </c>
      <c r="G406" s="3">
        <v>165</v>
      </c>
      <c r="H406" s="1" t="str">
        <f>"19-19445"</f>
        <v>19-19445</v>
      </c>
    </row>
    <row r="407" spans="1:8" x14ac:dyDescent="0.25">
      <c r="E407" s="1" t="str">
        <f>"201907150439"</f>
        <v>201907150439</v>
      </c>
      <c r="F407" s="1" t="str">
        <f>"18-18941"</f>
        <v>18-18941</v>
      </c>
      <c r="G407" s="3">
        <v>475</v>
      </c>
      <c r="H407" s="1" t="str">
        <f>"18-18941"</f>
        <v>18-18941</v>
      </c>
    </row>
    <row r="408" spans="1:8" x14ac:dyDescent="0.25">
      <c r="E408" s="1" t="str">
        <f>"201907150441"</f>
        <v>201907150441</v>
      </c>
      <c r="F408" s="1" t="str">
        <f>"19-19641"</f>
        <v>19-19641</v>
      </c>
      <c r="G408" s="3">
        <v>172.5</v>
      </c>
      <c r="H408" s="1" t="str">
        <f>"19-19641"</f>
        <v>19-19641</v>
      </c>
    </row>
    <row r="409" spans="1:8" x14ac:dyDescent="0.25">
      <c r="A409" s="1" t="s">
        <v>122</v>
      </c>
      <c r="B409" s="1">
        <v>82892</v>
      </c>
      <c r="C409" s="3">
        <v>2989.29</v>
      </c>
      <c r="D409" s="2">
        <v>43654</v>
      </c>
      <c r="E409" s="1" t="str">
        <f>"10321959238"</f>
        <v>10321959238</v>
      </c>
      <c r="F409" s="1" t="str">
        <f>"Computer for Jim Allen"</f>
        <v>Computer for Jim Allen</v>
      </c>
      <c r="G409" s="3">
        <v>1186.3599999999999</v>
      </c>
      <c r="H409" s="1" t="str">
        <f>"OptiPlex 7060 Tower"</f>
        <v>OptiPlex 7060 Tower</v>
      </c>
    </row>
    <row r="410" spans="1:8" x14ac:dyDescent="0.25">
      <c r="E410" s="1" t="str">
        <f>""</f>
        <v/>
      </c>
      <c r="F410" s="1" t="str">
        <f>""</f>
        <v/>
      </c>
      <c r="H410" s="1" t="str">
        <f>"Premier Discount"</f>
        <v>Premier Discount</v>
      </c>
    </row>
    <row r="411" spans="1:8" x14ac:dyDescent="0.25">
      <c r="E411" s="1" t="str">
        <f>"10322945576"</f>
        <v>10322945576</v>
      </c>
      <c r="F411" s="1" t="str">
        <f>"Dell server warranty rene"</f>
        <v>Dell server warranty rene</v>
      </c>
      <c r="G411" s="3">
        <v>1802.93</v>
      </c>
      <c r="H411" s="1" t="str">
        <f>"PowerEdge R820 Upgra"</f>
        <v>PowerEdge R820 Upgra</v>
      </c>
    </row>
    <row r="412" spans="1:8" x14ac:dyDescent="0.25">
      <c r="A412" s="1" t="s">
        <v>122</v>
      </c>
      <c r="B412" s="1">
        <v>83127</v>
      </c>
      <c r="C412" s="3">
        <v>1075.8499999999999</v>
      </c>
      <c r="D412" s="2">
        <v>43668</v>
      </c>
      <c r="E412" s="1" t="str">
        <f>"10318809183"</f>
        <v>10318809183</v>
      </c>
      <c r="F412" s="1" t="str">
        <f>"Wireless Keyboard/Mouse"</f>
        <v>Wireless Keyboard/Mouse</v>
      </c>
      <c r="G412" s="3">
        <v>51.59</v>
      </c>
      <c r="H412" s="1" t="str">
        <f>"PART #AA091828"</f>
        <v>PART #AA091828</v>
      </c>
    </row>
    <row r="413" spans="1:8" x14ac:dyDescent="0.25">
      <c r="E413" s="1" t="str">
        <f>""</f>
        <v/>
      </c>
      <c r="F413" s="1" t="str">
        <f>""</f>
        <v/>
      </c>
      <c r="H413" s="1" t="str">
        <f>"dISCOUNT"</f>
        <v>dISCOUNT</v>
      </c>
    </row>
    <row r="414" spans="1:8" x14ac:dyDescent="0.25">
      <c r="E414" s="1" t="str">
        <f>"10324420287"</f>
        <v>10324420287</v>
      </c>
      <c r="F414" s="1" t="str">
        <f>"External Drives - DA"</f>
        <v>External Drives - DA</v>
      </c>
      <c r="G414" s="3">
        <v>132.27000000000001</v>
      </c>
      <c r="H414" s="1" t="str">
        <f>"External Drives - DA"</f>
        <v>External Drives - DA</v>
      </c>
    </row>
    <row r="415" spans="1:8" x14ac:dyDescent="0.25">
      <c r="E415" s="1" t="str">
        <f>"10326111213"</f>
        <v>10326111213</v>
      </c>
      <c r="F415" s="1" t="str">
        <f>"Windows 7 Workstation for"</f>
        <v>Windows 7 Workstation for</v>
      </c>
      <c r="G415" s="3">
        <v>891.99</v>
      </c>
      <c r="H415" s="1" t="str">
        <f>"OptiPlex 5070 Small"</f>
        <v>OptiPlex 5070 Small</v>
      </c>
    </row>
    <row r="416" spans="1:8" x14ac:dyDescent="0.25">
      <c r="E416" s="1" t="str">
        <f>""</f>
        <v/>
      </c>
      <c r="F416" s="1" t="str">
        <f>""</f>
        <v/>
      </c>
      <c r="H416" s="1" t="str">
        <f>"Discount"</f>
        <v>Discount</v>
      </c>
    </row>
    <row r="417" spans="1:8" x14ac:dyDescent="0.25">
      <c r="A417" s="1" t="s">
        <v>123</v>
      </c>
      <c r="B417" s="1">
        <v>83128</v>
      </c>
      <c r="C417" s="3">
        <v>75</v>
      </c>
      <c r="D417" s="2">
        <v>43668</v>
      </c>
      <c r="E417" s="1" t="str">
        <f>"13185"</f>
        <v>13185</v>
      </c>
      <c r="F417" s="1" t="str">
        <f>"SERVICE"</f>
        <v>SERVICE</v>
      </c>
      <c r="G417" s="3">
        <v>75</v>
      </c>
      <c r="H417" s="1" t="str">
        <f>"SERVICE"</f>
        <v>SERVICE</v>
      </c>
    </row>
    <row r="418" spans="1:8" x14ac:dyDescent="0.25">
      <c r="A418" s="1" t="s">
        <v>124</v>
      </c>
      <c r="B418" s="1">
        <v>1115</v>
      </c>
      <c r="C418" s="3">
        <v>2035</v>
      </c>
      <c r="D418" s="2">
        <v>43669</v>
      </c>
      <c r="E418" s="1" t="str">
        <f>"BATX016196"</f>
        <v>BATX016196</v>
      </c>
      <c r="F418" s="1" t="str">
        <f>"INV BATX016196"</f>
        <v>INV BATX016196</v>
      </c>
      <c r="G418" s="3">
        <v>2035</v>
      </c>
      <c r="H418" s="1" t="str">
        <f>"INV BATX016196"</f>
        <v>INV BATX016196</v>
      </c>
    </row>
    <row r="419" spans="1:8" x14ac:dyDescent="0.25">
      <c r="A419" s="1" t="s">
        <v>125</v>
      </c>
      <c r="B419" s="1">
        <v>83129</v>
      </c>
      <c r="C419" s="3">
        <v>11</v>
      </c>
      <c r="D419" s="2">
        <v>43668</v>
      </c>
      <c r="E419" s="1" t="str">
        <f>"201907170595"</f>
        <v>201907170595</v>
      </c>
      <c r="F419" s="1" t="str">
        <f>"REIMBURSEMENT"</f>
        <v>REIMBURSEMENT</v>
      </c>
      <c r="G419" s="3">
        <v>11</v>
      </c>
      <c r="H419" s="1" t="str">
        <f>"REIMBURSEMENT"</f>
        <v>REIMBURSEMENT</v>
      </c>
    </row>
    <row r="420" spans="1:8" x14ac:dyDescent="0.25">
      <c r="A420" s="1" t="s">
        <v>126</v>
      </c>
      <c r="B420" s="1">
        <v>82893</v>
      </c>
      <c r="C420" s="3">
        <v>107.5</v>
      </c>
      <c r="D420" s="2">
        <v>43654</v>
      </c>
      <c r="E420" s="1" t="str">
        <f>"25644"</f>
        <v>25644</v>
      </c>
      <c r="F420" s="1" t="str">
        <f>"SERVICE CALL/LABOR/ANNEX BLDG"</f>
        <v>SERVICE CALL/LABOR/ANNEX BLDG</v>
      </c>
      <c r="G420" s="3">
        <v>107.5</v>
      </c>
      <c r="H420" s="1" t="str">
        <f>"SERVICE CALL/LABOR/ANNEX BLDG"</f>
        <v>SERVICE CALL/LABOR/ANNEX BLDG</v>
      </c>
    </row>
    <row r="421" spans="1:8" x14ac:dyDescent="0.25">
      <c r="A421" s="1" t="s">
        <v>127</v>
      </c>
      <c r="B421" s="1">
        <v>82894</v>
      </c>
      <c r="C421" s="3">
        <v>2862.18</v>
      </c>
      <c r="D421" s="2">
        <v>43654</v>
      </c>
      <c r="E421" s="1" t="str">
        <f>"19051121N"</f>
        <v>19051121N</v>
      </c>
      <c r="F421" s="1" t="str">
        <f>"CUST#PKE5000/MAY 2019"</f>
        <v>CUST#PKE5000/MAY 2019</v>
      </c>
      <c r="G421" s="3">
        <v>2862.18</v>
      </c>
      <c r="H421" s="1" t="str">
        <f>"CUST#PKE5000/MAY 2019"</f>
        <v>CUST#PKE5000/MAY 2019</v>
      </c>
    </row>
    <row r="422" spans="1:8" x14ac:dyDescent="0.25">
      <c r="E422" s="1" t="str">
        <f>""</f>
        <v/>
      </c>
      <c r="F422" s="1" t="str">
        <f>""</f>
        <v/>
      </c>
      <c r="H422" s="1" t="str">
        <f>"CUST#PKE5000/MAY 2019"</f>
        <v>CUST#PKE5000/MAY 2019</v>
      </c>
    </row>
    <row r="423" spans="1:8" x14ac:dyDescent="0.25">
      <c r="A423" s="1" t="s">
        <v>128</v>
      </c>
      <c r="B423" s="1">
        <v>82895</v>
      </c>
      <c r="C423" s="3">
        <v>129.5</v>
      </c>
      <c r="D423" s="2">
        <v>43654</v>
      </c>
      <c r="E423" s="1" t="str">
        <f>"2793805"</f>
        <v>2793805</v>
      </c>
      <c r="F423" s="1" t="str">
        <f>"INV 2793805"</f>
        <v>INV 2793805</v>
      </c>
      <c r="G423" s="3">
        <v>129.5</v>
      </c>
      <c r="H423" s="1" t="str">
        <f>"INV 2793805"</f>
        <v>INV 2793805</v>
      </c>
    </row>
    <row r="424" spans="1:8" x14ac:dyDescent="0.25">
      <c r="A424" s="1" t="s">
        <v>128</v>
      </c>
      <c r="B424" s="1">
        <v>83130</v>
      </c>
      <c r="C424" s="3">
        <v>114.27</v>
      </c>
      <c r="D424" s="2">
        <v>43668</v>
      </c>
      <c r="E424" s="1" t="str">
        <f>"2794794"</f>
        <v>2794794</v>
      </c>
      <c r="F424" s="1" t="str">
        <f>"AR ACCT#27917/2009 FORD F-150"</f>
        <v>AR ACCT#27917/2009 FORD F-150</v>
      </c>
      <c r="G424" s="3">
        <v>114.27</v>
      </c>
      <c r="H424" s="1" t="str">
        <f>"AR ACCT#27917/2009 FORD F-150"</f>
        <v>AR ACCT#27917/2009 FORD F-150</v>
      </c>
    </row>
    <row r="425" spans="1:8" x14ac:dyDescent="0.25">
      <c r="A425" s="1" t="s">
        <v>129</v>
      </c>
      <c r="B425" s="1">
        <v>82896</v>
      </c>
      <c r="C425" s="3">
        <v>160</v>
      </c>
      <c r="D425" s="2">
        <v>43654</v>
      </c>
      <c r="E425" s="1" t="str">
        <f>"201906250097"</f>
        <v>201906250097</v>
      </c>
      <c r="F425" s="1" t="str">
        <f>"REIMBURSE-MEALS"</f>
        <v>REIMBURSE-MEALS</v>
      </c>
      <c r="G425" s="3">
        <v>160</v>
      </c>
      <c r="H425" s="1" t="str">
        <f>"REIMBURSE-MEALS"</f>
        <v>REIMBURSE-MEALS</v>
      </c>
    </row>
    <row r="426" spans="1:8" x14ac:dyDescent="0.25">
      <c r="A426" s="1" t="s">
        <v>130</v>
      </c>
      <c r="B426" s="1">
        <v>83278</v>
      </c>
      <c r="C426" s="3">
        <v>749.4</v>
      </c>
      <c r="D426" s="2">
        <v>43672</v>
      </c>
      <c r="E426" s="1" t="str">
        <f>"201907260693"</f>
        <v>201907260693</v>
      </c>
      <c r="F426" s="1" t="str">
        <f>"ACCT#405900029213 / 08012019"</f>
        <v>ACCT#405900029213 / 08012019</v>
      </c>
      <c r="G426" s="3">
        <v>374.7</v>
      </c>
      <c r="H426" s="1" t="str">
        <f>"ACCT#405900029213 / 08012019"</f>
        <v>ACCT#405900029213 / 08012019</v>
      </c>
    </row>
    <row r="427" spans="1:8" x14ac:dyDescent="0.25">
      <c r="E427" s="1" t="str">
        <f>"201907260694"</f>
        <v>201907260694</v>
      </c>
      <c r="F427" s="1" t="str">
        <f>"ACCT#405900029225 / 08012019"</f>
        <v>ACCT#405900029225 / 08012019</v>
      </c>
      <c r="G427" s="3">
        <v>187.35</v>
      </c>
      <c r="H427" s="1" t="str">
        <f>"ACCT#405900029225 / 08012019"</f>
        <v>ACCT#405900029225 / 08012019</v>
      </c>
    </row>
    <row r="428" spans="1:8" x14ac:dyDescent="0.25">
      <c r="E428" s="1" t="str">
        <f>"201907260695"</f>
        <v>201907260695</v>
      </c>
      <c r="F428" s="1" t="str">
        <f>"ACCT#405900028789 / 08012019"</f>
        <v>ACCT#405900028789 / 08012019</v>
      </c>
      <c r="G428" s="3">
        <v>187.35</v>
      </c>
      <c r="H428" s="1" t="str">
        <f>"ACCT#405900028789 / 08012019"</f>
        <v>ACCT#405900028789 / 08012019</v>
      </c>
    </row>
    <row r="429" spans="1:8" x14ac:dyDescent="0.25">
      <c r="A429" s="1" t="s">
        <v>131</v>
      </c>
      <c r="B429" s="1">
        <v>82897</v>
      </c>
      <c r="C429" s="3">
        <v>190.5</v>
      </c>
      <c r="D429" s="2">
        <v>43654</v>
      </c>
      <c r="E429" s="1" t="str">
        <f>"SMINV207910"</f>
        <v>SMINV207910</v>
      </c>
      <c r="F429" s="1" t="str">
        <f>"ACCT#DCS004779/ORD#SMO239029"</f>
        <v>ACCT#DCS004779/ORD#SMO239029</v>
      </c>
      <c r="G429" s="3">
        <v>190.5</v>
      </c>
      <c r="H429" s="1" t="str">
        <f>"ACCT#DCS004779/ORD#SMO239029"</f>
        <v>ACCT#DCS004779/ORD#SMO239029</v>
      </c>
    </row>
    <row r="430" spans="1:8" x14ac:dyDescent="0.25">
      <c r="A430" s="1" t="s">
        <v>132</v>
      </c>
      <c r="B430" s="1">
        <v>1098</v>
      </c>
      <c r="C430" s="3">
        <v>1209</v>
      </c>
      <c r="D430" s="2">
        <v>43669</v>
      </c>
      <c r="E430" s="1" t="str">
        <f>"29057A"</f>
        <v>29057A</v>
      </c>
      <c r="F430" s="1" t="str">
        <f>"INV 29057A"</f>
        <v>INV 29057A</v>
      </c>
      <c r="G430" s="3">
        <v>1209</v>
      </c>
      <c r="H430" s="1" t="str">
        <f>"INV 29057A"</f>
        <v>INV 29057A</v>
      </c>
    </row>
    <row r="431" spans="1:8" x14ac:dyDescent="0.25">
      <c r="A431" s="1" t="s">
        <v>133</v>
      </c>
      <c r="B431" s="1">
        <v>83131</v>
      </c>
      <c r="C431" s="3">
        <v>52.8</v>
      </c>
      <c r="D431" s="2">
        <v>43668</v>
      </c>
      <c r="E431" s="1" t="str">
        <f>"35309"</f>
        <v>35309</v>
      </c>
      <c r="F431" s="1" t="str">
        <f>"6 GA WIRE/PCT#3"</f>
        <v>6 GA WIRE/PCT#3</v>
      </c>
      <c r="G431" s="3">
        <v>52.8</v>
      </c>
      <c r="H431" s="1" t="str">
        <f>"6 GA WIRE/PCT#3"</f>
        <v>6 GA WIRE/PCT#3</v>
      </c>
    </row>
    <row r="432" spans="1:8" x14ac:dyDescent="0.25">
      <c r="A432" s="1" t="s">
        <v>134</v>
      </c>
      <c r="B432" s="1">
        <v>1064</v>
      </c>
      <c r="C432" s="3">
        <v>2137.5</v>
      </c>
      <c r="D432" s="2">
        <v>43655</v>
      </c>
      <c r="E432" s="1" t="str">
        <f>"201906250084"</f>
        <v>201906250084</v>
      </c>
      <c r="F432" s="1" t="str">
        <f>"16824"</f>
        <v>16824</v>
      </c>
      <c r="G432" s="3">
        <v>400</v>
      </c>
      <c r="H432" s="1" t="str">
        <f>"16824"</f>
        <v>16824</v>
      </c>
    </row>
    <row r="433" spans="1:8" x14ac:dyDescent="0.25">
      <c r="E433" s="1" t="str">
        <f>"201906270113"</f>
        <v>201906270113</v>
      </c>
      <c r="F433" s="1" t="str">
        <f>"C170080  C170082  C190010"</f>
        <v>C170080  C170082  C190010</v>
      </c>
      <c r="G433" s="3">
        <v>800</v>
      </c>
      <c r="H433" s="1" t="str">
        <f>"C170080  C170082  C190010"</f>
        <v>C170080  C170082  C190010</v>
      </c>
    </row>
    <row r="434" spans="1:8" x14ac:dyDescent="0.25">
      <c r="E434" s="1" t="str">
        <f>"201906270134"</f>
        <v>201906270134</v>
      </c>
      <c r="F434" s="1" t="str">
        <f>"56918"</f>
        <v>56918</v>
      </c>
      <c r="G434" s="3">
        <v>250</v>
      </c>
      <c r="H434" s="1" t="str">
        <f>"56918"</f>
        <v>56918</v>
      </c>
    </row>
    <row r="435" spans="1:8" x14ac:dyDescent="0.25">
      <c r="E435" s="1" t="str">
        <f>"201906270135"</f>
        <v>201906270135</v>
      </c>
      <c r="F435" s="1" t="str">
        <f>"55020"</f>
        <v>55020</v>
      </c>
      <c r="G435" s="3">
        <v>250</v>
      </c>
      <c r="H435" s="1" t="str">
        <f>"55020"</f>
        <v>55020</v>
      </c>
    </row>
    <row r="436" spans="1:8" x14ac:dyDescent="0.25">
      <c r="E436" s="1" t="str">
        <f>"201906270170"</f>
        <v>201906270170</v>
      </c>
      <c r="F436" s="1" t="str">
        <f>"02-0615-10"</f>
        <v>02-0615-10</v>
      </c>
      <c r="G436" s="3">
        <v>250</v>
      </c>
      <c r="H436" s="1" t="str">
        <f>"02-0615-10"</f>
        <v>02-0615-10</v>
      </c>
    </row>
    <row r="437" spans="1:8" x14ac:dyDescent="0.25">
      <c r="E437" s="1" t="str">
        <f>"201906270171"</f>
        <v>201906270171</v>
      </c>
      <c r="F437" s="1" t="str">
        <f>"18-19166"</f>
        <v>18-19166</v>
      </c>
      <c r="G437" s="3">
        <v>187.5</v>
      </c>
      <c r="H437" s="1" t="str">
        <f>"18-19166"</f>
        <v>18-19166</v>
      </c>
    </row>
    <row r="438" spans="1:8" x14ac:dyDescent="0.25">
      <c r="A438" s="1" t="s">
        <v>134</v>
      </c>
      <c r="B438" s="1">
        <v>1142</v>
      </c>
      <c r="C438" s="3">
        <v>1900</v>
      </c>
      <c r="D438" s="2">
        <v>43669</v>
      </c>
      <c r="E438" s="1" t="str">
        <f>"201907090299"</f>
        <v>201907090299</v>
      </c>
      <c r="F438" s="1" t="str">
        <f>"404059-4"</f>
        <v>404059-4</v>
      </c>
      <c r="G438" s="3">
        <v>100</v>
      </c>
      <c r="H438" s="1" t="str">
        <f>"404059-4"</f>
        <v>404059-4</v>
      </c>
    </row>
    <row r="439" spans="1:8" x14ac:dyDescent="0.25">
      <c r="E439" s="1" t="str">
        <f>"201907090300"</f>
        <v>201907090300</v>
      </c>
      <c r="F439" s="1" t="str">
        <f>"16657"</f>
        <v>16657</v>
      </c>
      <c r="G439" s="3">
        <v>400</v>
      </c>
      <c r="H439" s="1" t="str">
        <f>"16657"</f>
        <v>16657</v>
      </c>
    </row>
    <row r="440" spans="1:8" x14ac:dyDescent="0.25">
      <c r="E440" s="1" t="str">
        <f>"201907110410"</f>
        <v>201907110410</v>
      </c>
      <c r="F440" s="1" t="str">
        <f>"16864"</f>
        <v>16864</v>
      </c>
      <c r="G440" s="3">
        <v>400</v>
      </c>
      <c r="H440" s="1" t="str">
        <f>"16864"</f>
        <v>16864</v>
      </c>
    </row>
    <row r="441" spans="1:8" x14ac:dyDescent="0.25">
      <c r="E441" s="1" t="str">
        <f>"201907150454"</f>
        <v>201907150454</v>
      </c>
      <c r="F441" s="1" t="str">
        <f>"C170081"</f>
        <v>C170081</v>
      </c>
      <c r="G441" s="3">
        <v>250</v>
      </c>
      <c r="H441" s="1" t="str">
        <f>"C170081"</f>
        <v>C170081</v>
      </c>
    </row>
    <row r="442" spans="1:8" x14ac:dyDescent="0.25">
      <c r="E442" s="1" t="str">
        <f>"201907160466"</f>
        <v>201907160466</v>
      </c>
      <c r="F442" s="1" t="str">
        <f>"02-0411-1"</f>
        <v>02-0411-1</v>
      </c>
      <c r="G442" s="3">
        <v>250</v>
      </c>
      <c r="H442" s="1" t="str">
        <f>"02-0411-1"</f>
        <v>02-0411-1</v>
      </c>
    </row>
    <row r="443" spans="1:8" x14ac:dyDescent="0.25">
      <c r="E443" s="1" t="str">
        <f>"201907160469"</f>
        <v>201907160469</v>
      </c>
      <c r="F443" s="1" t="str">
        <f>"56436"</f>
        <v>56436</v>
      </c>
      <c r="G443" s="3">
        <v>250</v>
      </c>
      <c r="H443" s="1" t="str">
        <f>"56436"</f>
        <v>56436</v>
      </c>
    </row>
    <row r="444" spans="1:8" x14ac:dyDescent="0.25">
      <c r="E444" s="1" t="str">
        <f>"201907160474"</f>
        <v>201907160474</v>
      </c>
      <c r="F444" s="1" t="str">
        <f>"301182019D"</f>
        <v>301182019D</v>
      </c>
      <c r="G444" s="3">
        <v>250</v>
      </c>
      <c r="H444" s="1" t="str">
        <f>"301182019D"</f>
        <v>301182019D</v>
      </c>
    </row>
    <row r="445" spans="1:8" x14ac:dyDescent="0.25">
      <c r="A445" s="1" t="s">
        <v>135</v>
      </c>
      <c r="B445" s="1">
        <v>1040</v>
      </c>
      <c r="C445" s="3">
        <v>28.05</v>
      </c>
      <c r="D445" s="2">
        <v>43655</v>
      </c>
      <c r="E445" s="1" t="str">
        <f>"95865818"</f>
        <v>95865818</v>
      </c>
      <c r="F445" s="1" t="str">
        <f>"INV 95865818"</f>
        <v>INV 95865818</v>
      </c>
      <c r="G445" s="3">
        <v>28.05</v>
      </c>
      <c r="H445" s="1" t="str">
        <f>"INV 95865818"</f>
        <v>INV 95865818</v>
      </c>
    </row>
    <row r="446" spans="1:8" x14ac:dyDescent="0.25">
      <c r="A446" s="1" t="s">
        <v>135</v>
      </c>
      <c r="B446" s="1">
        <v>1116</v>
      </c>
      <c r="C446" s="3">
        <v>3124.97</v>
      </c>
      <c r="D446" s="2">
        <v>43669</v>
      </c>
      <c r="E446" s="1" t="str">
        <f>"3874385"</f>
        <v>3874385</v>
      </c>
      <c r="F446" s="1" t="str">
        <f>"INV 3874385"</f>
        <v>INV 3874385</v>
      </c>
      <c r="G446" s="3">
        <v>2247.21</v>
      </c>
      <c r="H446" s="1" t="str">
        <f>"INV 3874385"</f>
        <v>INV 3874385</v>
      </c>
    </row>
    <row r="447" spans="1:8" x14ac:dyDescent="0.25">
      <c r="E447" s="1" t="str">
        <f>"3874386"</f>
        <v>3874386</v>
      </c>
      <c r="F447" s="1" t="str">
        <f>"INV 3874386"</f>
        <v>INV 3874386</v>
      </c>
      <c r="G447" s="3">
        <v>877.76</v>
      </c>
      <c r="H447" s="1" t="str">
        <f>"INV 3874386"</f>
        <v>INV 3874386</v>
      </c>
    </row>
    <row r="448" spans="1:8" x14ac:dyDescent="0.25">
      <c r="A448" s="1" t="s">
        <v>136</v>
      </c>
      <c r="B448" s="1">
        <v>82898</v>
      </c>
      <c r="C448" s="3">
        <v>189</v>
      </c>
      <c r="D448" s="2">
        <v>43654</v>
      </c>
      <c r="E448" s="1" t="str">
        <f>"201906270118"</f>
        <v>201906270118</v>
      </c>
      <c r="F448" s="1" t="str">
        <f>"REIMBURSE REGISTRATION"</f>
        <v>REIMBURSE REGISTRATION</v>
      </c>
      <c r="G448" s="3">
        <v>189</v>
      </c>
      <c r="H448" s="1" t="str">
        <f>"REIMBURSE REGISTRATION"</f>
        <v>REIMBURSE REGISTRATION</v>
      </c>
    </row>
    <row r="449" spans="1:8" x14ac:dyDescent="0.25">
      <c r="A449" s="1" t="s">
        <v>137</v>
      </c>
      <c r="B449" s="1">
        <v>82899</v>
      </c>
      <c r="C449" s="3">
        <v>308.32</v>
      </c>
      <c r="D449" s="2">
        <v>43654</v>
      </c>
      <c r="E449" s="1" t="str">
        <f>"1091917"</f>
        <v>1091917</v>
      </c>
      <c r="F449" s="1" t="str">
        <f>"ACCT#B06875/BALLOTS/ELECTIONS"</f>
        <v>ACCT#B06875/BALLOTS/ELECTIONS</v>
      </c>
      <c r="G449" s="3">
        <v>308.32</v>
      </c>
      <c r="H449" s="1" t="str">
        <f>"ACCT#B06875/BALLOTS/ELECTIONS"</f>
        <v>ACCT#B06875/BALLOTS/ELECTIONS</v>
      </c>
    </row>
    <row r="450" spans="1:8" x14ac:dyDescent="0.25">
      <c r="A450" s="1" t="s">
        <v>138</v>
      </c>
      <c r="B450" s="1">
        <v>82900</v>
      </c>
      <c r="C450" s="3">
        <v>552.53</v>
      </c>
      <c r="D450" s="2">
        <v>43654</v>
      </c>
      <c r="E450" s="1" t="str">
        <f>"19-44359"</f>
        <v>19-44359</v>
      </c>
      <c r="F450" s="1" t="str">
        <f>"DRAPES/CURTAIN/ELECTIONS"</f>
        <v>DRAPES/CURTAIN/ELECTIONS</v>
      </c>
      <c r="G450" s="3">
        <v>552.53</v>
      </c>
      <c r="H450" s="1" t="str">
        <f>"DRAPES/CURTAIN/ELECTIONS"</f>
        <v>DRAPES/CURTAIN/ELECTIONS</v>
      </c>
    </row>
    <row r="451" spans="1:8" x14ac:dyDescent="0.25">
      <c r="A451" s="1" t="s">
        <v>138</v>
      </c>
      <c r="B451" s="1">
        <v>83132</v>
      </c>
      <c r="C451" s="3">
        <v>233.96</v>
      </c>
      <c r="D451" s="2">
        <v>43668</v>
      </c>
      <c r="E451" s="1" t="str">
        <f>"19-44422"</f>
        <v>19-44422</v>
      </c>
      <c r="F451" s="1" t="str">
        <f>"BLACK DRAPE/S&amp;H/ELECTIONS"</f>
        <v>BLACK DRAPE/S&amp;H/ELECTIONS</v>
      </c>
      <c r="G451" s="3">
        <v>233.96</v>
      </c>
      <c r="H451" s="1" t="str">
        <f>"BLACK DRAPE/S&amp;H/ELECTIONS"</f>
        <v>BLACK DRAPE/S&amp;H/ELECTIONS</v>
      </c>
    </row>
    <row r="452" spans="1:8" x14ac:dyDescent="0.25">
      <c r="A452" s="1" t="s">
        <v>139</v>
      </c>
      <c r="B452" s="1">
        <v>1039</v>
      </c>
      <c r="C452" s="3">
        <v>1305</v>
      </c>
      <c r="D452" s="2">
        <v>43655</v>
      </c>
      <c r="E452" s="1" t="str">
        <f>"52421-18045 &amp; 46"</f>
        <v>52421-18045 &amp; 46</v>
      </c>
      <c r="F452" s="1" t="str">
        <f>"RFB 19BCP06F"</f>
        <v>RFB 19BCP06F</v>
      </c>
      <c r="G452" s="3">
        <v>190</v>
      </c>
      <c r="H452" s="1" t="str">
        <f>"Price"</f>
        <v>Price</v>
      </c>
    </row>
    <row r="453" spans="1:8" x14ac:dyDescent="0.25">
      <c r="E453" s="1" t="str">
        <f>"52421-18049/18052/"</f>
        <v>52421-18049/18052/</v>
      </c>
      <c r="F453" s="1" t="str">
        <f>"Final Public Notice"</f>
        <v>Final Public Notice</v>
      </c>
      <c r="G453" s="3">
        <v>735</v>
      </c>
      <c r="H453" s="1" t="str">
        <f>"RFB 19BCP06J"</f>
        <v>RFB 19BCP06J</v>
      </c>
    </row>
    <row r="454" spans="1:8" x14ac:dyDescent="0.25">
      <c r="E454" s="1" t="str">
        <f>""</f>
        <v/>
      </c>
      <c r="F454" s="1" t="str">
        <f>""</f>
        <v/>
      </c>
      <c r="H454" s="1" t="str">
        <f>"RFB 19BCP06D"</f>
        <v>RFB 19BCP06D</v>
      </c>
    </row>
    <row r="455" spans="1:8" x14ac:dyDescent="0.25">
      <c r="E455" s="1" t="str">
        <f>""</f>
        <v/>
      </c>
      <c r="F455" s="1" t="str">
        <f>""</f>
        <v/>
      </c>
      <c r="H455" s="1" t="str">
        <f>"RFB 19BCP06K"</f>
        <v>RFB 19BCP06K</v>
      </c>
    </row>
    <row r="456" spans="1:8" x14ac:dyDescent="0.25">
      <c r="E456" s="1" t="str">
        <f>"52421-18050 &amp; 51"</f>
        <v>52421-18050 &amp; 51</v>
      </c>
      <c r="F456" s="1" t="str">
        <f>"RFB 19BCP06I"</f>
        <v>RFB 19BCP06I</v>
      </c>
      <c r="G456" s="3">
        <v>190</v>
      </c>
      <c r="H456" s="1" t="str">
        <f>"RFB 19BCP06I"</f>
        <v>RFB 19BCP06I</v>
      </c>
    </row>
    <row r="457" spans="1:8" x14ac:dyDescent="0.25">
      <c r="E457" s="1" t="str">
        <f>"52421-18053 &amp; 54"</f>
        <v>52421-18053 &amp; 54</v>
      </c>
      <c r="F457" s="1" t="str">
        <f>"RFB 19BCP06A"</f>
        <v>RFB 19BCP06A</v>
      </c>
      <c r="G457" s="3">
        <v>190</v>
      </c>
      <c r="H457" s="1" t="str">
        <f>"RFB 19BCP06A"</f>
        <v>RFB 19BCP06A</v>
      </c>
    </row>
    <row r="458" spans="1:8" x14ac:dyDescent="0.25">
      <c r="A458" s="1" t="s">
        <v>140</v>
      </c>
      <c r="B458" s="1">
        <v>82847</v>
      </c>
      <c r="C458" s="3">
        <v>1815.09</v>
      </c>
      <c r="D458" s="2">
        <v>43649</v>
      </c>
      <c r="E458" s="1" t="str">
        <f>"201907020270"</f>
        <v>201907020270</v>
      </c>
      <c r="F458" s="1" t="str">
        <f>"ACCT#007-0008410-002/06302019"</f>
        <v>ACCT#007-0008410-002/06302019</v>
      </c>
      <c r="G458" s="3">
        <v>215.51</v>
      </c>
      <c r="H458" s="1" t="str">
        <f>"ACCT#007-0008410-002/06302019"</f>
        <v>ACCT#007-0008410-002/06302019</v>
      </c>
    </row>
    <row r="459" spans="1:8" x14ac:dyDescent="0.25">
      <c r="E459" s="1" t="str">
        <f>"201907020271"</f>
        <v>201907020271</v>
      </c>
      <c r="F459" s="1" t="str">
        <f>"ACCT#007-0011501-000/06302019"</f>
        <v>ACCT#007-0011501-000/06302019</v>
      </c>
      <c r="G459" s="3">
        <v>417.88</v>
      </c>
      <c r="H459" s="1" t="str">
        <f>"ACCT#007-0011501-000/06302019"</f>
        <v>ACCT#007-0011501-000/06302019</v>
      </c>
    </row>
    <row r="460" spans="1:8" x14ac:dyDescent="0.25">
      <c r="E460" s="1" t="str">
        <f>"201907020272"</f>
        <v>201907020272</v>
      </c>
      <c r="F460" s="1" t="str">
        <f>"ACCT#007-0011510-000/06302019"</f>
        <v>ACCT#007-0011510-000/06302019</v>
      </c>
      <c r="G460" s="3">
        <v>235.91</v>
      </c>
      <c r="H460" s="1" t="str">
        <f>"ACCT#007-0011510-000/06302019"</f>
        <v>ACCT#007-0011510-000/06302019</v>
      </c>
    </row>
    <row r="461" spans="1:8" x14ac:dyDescent="0.25">
      <c r="E461" s="1" t="str">
        <f>"201907020273"</f>
        <v>201907020273</v>
      </c>
      <c r="F461" s="1" t="str">
        <f>"ACCT#007-0011530-000/06302019"</f>
        <v>ACCT#007-0011530-000/06302019</v>
      </c>
      <c r="G461" s="3">
        <v>97.4</v>
      </c>
      <c r="H461" s="1" t="str">
        <f>"ACCT#007-0011530-000/06302019"</f>
        <v>ACCT#007-0011530-000/06302019</v>
      </c>
    </row>
    <row r="462" spans="1:8" x14ac:dyDescent="0.25">
      <c r="E462" s="1" t="str">
        <f>"201907020274"</f>
        <v>201907020274</v>
      </c>
      <c r="F462" s="1" t="str">
        <f>"ACCT#007-0011534-001/06302019"</f>
        <v>ACCT#007-0011534-001/06302019</v>
      </c>
      <c r="G462" s="3">
        <v>166.88</v>
      </c>
      <c r="H462" s="1" t="str">
        <f>"ACCT#007-0011534-001/06302019"</f>
        <v>ACCT#007-0011534-001/06302019</v>
      </c>
    </row>
    <row r="463" spans="1:8" x14ac:dyDescent="0.25">
      <c r="E463" s="1" t="str">
        <f>"201907020275"</f>
        <v>201907020275</v>
      </c>
      <c r="F463" s="1" t="str">
        <f>"ACCT#007-0011535-000/06302019"</f>
        <v>ACCT#007-0011535-000/06302019</v>
      </c>
      <c r="G463" s="3">
        <v>547.83000000000004</v>
      </c>
      <c r="H463" s="1" t="str">
        <f>"ACCT#007-0011535-000/06302019"</f>
        <v>ACCT#007-0011535-000/06302019</v>
      </c>
    </row>
    <row r="464" spans="1:8" x14ac:dyDescent="0.25">
      <c r="E464" s="1" t="str">
        <f>"201907020276"</f>
        <v>201907020276</v>
      </c>
      <c r="F464" s="1" t="str">
        <f>"ACCT#007-0011544-001/06302019"</f>
        <v>ACCT#007-0011544-001/06302019</v>
      </c>
      <c r="G464" s="3">
        <v>129.66999999999999</v>
      </c>
      <c r="H464" s="1" t="str">
        <f>"ACCT#007-0011544-001/06302019"</f>
        <v>ACCT#007-0011544-001/06302019</v>
      </c>
    </row>
    <row r="465" spans="1:8" x14ac:dyDescent="0.25">
      <c r="E465" s="1" t="str">
        <f>"201907020277"</f>
        <v>201907020277</v>
      </c>
      <c r="F465" s="1" t="str">
        <f>"ACCT#007-0071128-001/06302019"</f>
        <v>ACCT#007-0071128-001/06302019</v>
      </c>
      <c r="G465" s="3">
        <v>4.01</v>
      </c>
      <c r="H465" s="1" t="str">
        <f>"ACCT#007-0071128-001/06302019"</f>
        <v>ACCT#007-0071128-001/06302019</v>
      </c>
    </row>
    <row r="466" spans="1:8" x14ac:dyDescent="0.25">
      <c r="A466" s="1" t="s">
        <v>141</v>
      </c>
      <c r="B466" s="1">
        <v>82901</v>
      </c>
      <c r="C466" s="3">
        <v>742.66</v>
      </c>
      <c r="D466" s="2">
        <v>43654</v>
      </c>
      <c r="E466" s="1" t="str">
        <f>"201906280174"</f>
        <v>201906280174</v>
      </c>
      <c r="F466" s="1" t="str">
        <f>"REIMBURSE-MILEAGE/HOTEL/MEALS"</f>
        <v>REIMBURSE-MILEAGE/HOTEL/MEALS</v>
      </c>
      <c r="G466" s="3">
        <v>742.66</v>
      </c>
      <c r="H466" s="1" t="str">
        <f>"REIMBURSE-MILEAGE/HOTEL/MEALS"</f>
        <v>REIMBURSE-MILEAGE/HOTEL/MEALS</v>
      </c>
    </row>
    <row r="467" spans="1:8" x14ac:dyDescent="0.25">
      <c r="A467" s="1" t="s">
        <v>142</v>
      </c>
      <c r="B467" s="1">
        <v>82902</v>
      </c>
      <c r="C467" s="3">
        <v>235.83</v>
      </c>
      <c r="D467" s="2">
        <v>43654</v>
      </c>
      <c r="E467" s="1" t="str">
        <f>"145-28888-01"</f>
        <v>145-28888-01</v>
      </c>
      <c r="F467" s="1" t="str">
        <f>"CUST#0888336/SOCKET/LINE"</f>
        <v>CUST#0888336/SOCKET/LINE</v>
      </c>
      <c r="G467" s="3">
        <v>235.83</v>
      </c>
      <c r="H467" s="1" t="str">
        <f>"CUST#0888336/SOCKET/LINE"</f>
        <v>CUST#0888336/SOCKET/LINE</v>
      </c>
    </row>
    <row r="468" spans="1:8" x14ac:dyDescent="0.25">
      <c r="A468" s="1" t="s">
        <v>142</v>
      </c>
      <c r="B468" s="1">
        <v>83133</v>
      </c>
      <c r="C468" s="3">
        <v>182.22</v>
      </c>
      <c r="D468" s="2">
        <v>43668</v>
      </c>
      <c r="E468" s="1" t="str">
        <f>"145-28613-01"</f>
        <v>145-28613-01</v>
      </c>
      <c r="F468" s="1" t="str">
        <f>"CUST#0888336/COURT HOUSE"</f>
        <v>CUST#0888336/COURT HOUSE</v>
      </c>
      <c r="G468" s="3">
        <v>22.22</v>
      </c>
      <c r="H468" s="1" t="str">
        <f>"CUST#0888336/COURT HOUSE"</f>
        <v>CUST#0888336/COURT HOUSE</v>
      </c>
    </row>
    <row r="469" spans="1:8" x14ac:dyDescent="0.25">
      <c r="E469" s="1" t="str">
        <f>"145-29116-01"</f>
        <v>145-29116-01</v>
      </c>
      <c r="F469" s="1" t="str">
        <f>"CUST#0888336/GEN SVCS"</f>
        <v>CUST#0888336/GEN SVCS</v>
      </c>
      <c r="G469" s="3">
        <v>160</v>
      </c>
      <c r="H469" s="1" t="str">
        <f>"CUST#0888336/GEN SVCS"</f>
        <v>CUST#0888336/GEN SVCS</v>
      </c>
    </row>
    <row r="470" spans="1:8" x14ac:dyDescent="0.25">
      <c r="A470" s="1" t="s">
        <v>143</v>
      </c>
      <c r="B470" s="1">
        <v>82903</v>
      </c>
      <c r="C470" s="3">
        <v>46790.87</v>
      </c>
      <c r="D470" s="2">
        <v>43654</v>
      </c>
      <c r="E470" s="1" t="str">
        <f>"9402061872"</f>
        <v>9402061872</v>
      </c>
      <c r="F470" s="1" t="str">
        <f>"ACCT#912897/BOL#24737/PCT#3"</f>
        <v>ACCT#912897/BOL#24737/PCT#3</v>
      </c>
      <c r="G470" s="3">
        <v>16887.939999999999</v>
      </c>
      <c r="H470" s="1" t="str">
        <f>"ACCT#912897/BOL#24737/PCT#3"</f>
        <v>ACCT#912897/BOL#24737/PCT#3</v>
      </c>
    </row>
    <row r="471" spans="1:8" x14ac:dyDescent="0.25">
      <c r="E471" s="1" t="str">
        <f>"9402062049"</f>
        <v>9402062049</v>
      </c>
      <c r="F471" s="1" t="str">
        <f>"ACCT#912923/BOL#24739/PCT#4"</f>
        <v>ACCT#912923/BOL#24739/PCT#4</v>
      </c>
      <c r="G471" s="3">
        <v>15142.1</v>
      </c>
      <c r="H471" s="1" t="str">
        <f>"ACCT#912923/BOL#24739/PCT#4"</f>
        <v>ACCT#912923/BOL#24739/PCT#4</v>
      </c>
    </row>
    <row r="472" spans="1:8" x14ac:dyDescent="0.25">
      <c r="E472" s="1" t="str">
        <f>"9402062645"</f>
        <v>9402062645</v>
      </c>
      <c r="F472" s="1" t="str">
        <f>"ACCT#912923/BOL#24742/PCT#4"</f>
        <v>ACCT#912923/BOL#24742/PCT#4</v>
      </c>
      <c r="G472" s="3">
        <v>14760.83</v>
      </c>
      <c r="H472" s="1" t="str">
        <f>"ACCT#912923/BOL#24742/PCT#4"</f>
        <v>ACCT#912923/BOL#24742/PCT#4</v>
      </c>
    </row>
    <row r="473" spans="1:8" x14ac:dyDescent="0.25">
      <c r="A473" s="1" t="s">
        <v>143</v>
      </c>
      <c r="B473" s="1">
        <v>83134</v>
      </c>
      <c r="C473" s="3">
        <v>19690.62</v>
      </c>
      <c r="D473" s="2">
        <v>43668</v>
      </c>
      <c r="E473" s="1" t="str">
        <f>"9402067627"</f>
        <v>9402067627</v>
      </c>
      <c r="F473" s="1" t="str">
        <f>"ACCT#912922/PCT#1"</f>
        <v>ACCT#912922/PCT#1</v>
      </c>
      <c r="G473" s="3">
        <v>4923.74</v>
      </c>
      <c r="H473" s="1" t="str">
        <f>"ACCT#912922/PCT#1"</f>
        <v>ACCT#912922/PCT#1</v>
      </c>
    </row>
    <row r="474" spans="1:8" x14ac:dyDescent="0.25">
      <c r="E474" s="1" t="str">
        <f>"9402069820"</f>
        <v>9402069820</v>
      </c>
      <c r="F474" s="1" t="str">
        <f>"ACCT#912922/BOL#24814/PCT#1"</f>
        <v>ACCT#912922/BOL#24814/PCT#1</v>
      </c>
      <c r="G474" s="3">
        <v>14766.88</v>
      </c>
      <c r="H474" s="1" t="str">
        <f>"ACCT#912922/BOL#24814/PCT#1"</f>
        <v>ACCT#912922/BOL#24814/PCT#1</v>
      </c>
    </row>
    <row r="475" spans="1:8" x14ac:dyDescent="0.25">
      <c r="A475" s="1" t="s">
        <v>144</v>
      </c>
      <c r="B475" s="1">
        <v>82904</v>
      </c>
      <c r="C475" s="3">
        <v>25.52</v>
      </c>
      <c r="D475" s="2">
        <v>43654</v>
      </c>
      <c r="E475" s="1" t="str">
        <f>"201907020253"</f>
        <v>201907020253</v>
      </c>
      <c r="F475" s="1" t="str">
        <f>"MILEAGE REIMBURSEMENT"</f>
        <v>MILEAGE REIMBURSEMENT</v>
      </c>
      <c r="G475" s="3">
        <v>25.52</v>
      </c>
      <c r="H475" s="1" t="str">
        <f>"MILEAGE REIMBURSEMENT"</f>
        <v>MILEAGE REIMBURSEMENT</v>
      </c>
    </row>
    <row r="476" spans="1:8" x14ac:dyDescent="0.25">
      <c r="A476" s="1" t="s">
        <v>145</v>
      </c>
      <c r="B476" s="1">
        <v>1041</v>
      </c>
      <c r="C476" s="3">
        <v>8252.5400000000009</v>
      </c>
      <c r="D476" s="2">
        <v>43655</v>
      </c>
      <c r="E476" s="1" t="str">
        <f>"201907010199"</f>
        <v>201907010199</v>
      </c>
      <c r="F476" s="1" t="str">
        <f>"GRANT REIMBURSEMENT"</f>
        <v>GRANT REIMBURSEMENT</v>
      </c>
      <c r="G476" s="3">
        <v>8252.5400000000009</v>
      </c>
      <c r="H476" s="1" t="str">
        <f>"GRANT REIMBURSEMENT"</f>
        <v>GRANT REIMBURSEMENT</v>
      </c>
    </row>
    <row r="477" spans="1:8" x14ac:dyDescent="0.25">
      <c r="A477" s="1" t="s">
        <v>145</v>
      </c>
      <c r="B477" s="1">
        <v>1117</v>
      </c>
      <c r="C477" s="3">
        <v>489</v>
      </c>
      <c r="D477" s="2">
        <v>43669</v>
      </c>
      <c r="E477" s="1" t="str">
        <f>"201907170603"</f>
        <v>201907170603</v>
      </c>
      <c r="F477" s="1" t="str">
        <f>"SANE EXAM - 19-S-00534"</f>
        <v>SANE EXAM - 19-S-00534</v>
      </c>
      <c r="G477" s="3">
        <v>489</v>
      </c>
      <c r="H477" s="1" t="str">
        <f>"SANE EXAM - 19-S-00534"</f>
        <v>SANE EXAM - 19-S-00534</v>
      </c>
    </row>
    <row r="478" spans="1:8" x14ac:dyDescent="0.25">
      <c r="A478" s="1" t="s">
        <v>146</v>
      </c>
      <c r="B478" s="1">
        <v>82905</v>
      </c>
      <c r="C478" s="3">
        <v>17.54</v>
      </c>
      <c r="D478" s="2">
        <v>43654</v>
      </c>
      <c r="E478" s="1" t="str">
        <f>"6-589-09762"</f>
        <v>6-589-09762</v>
      </c>
      <c r="F478" s="1" t="str">
        <f>"ACCT#1230-5243-9/TAX OFFICE"</f>
        <v>ACCT#1230-5243-9/TAX OFFICE</v>
      </c>
      <c r="G478" s="3">
        <v>17.54</v>
      </c>
      <c r="H478" s="1" t="str">
        <f>"ACCT#1230-5243-9/TAX OFFICE"</f>
        <v>ACCT#1230-5243-9/TAX OFFICE</v>
      </c>
    </row>
    <row r="479" spans="1:8" x14ac:dyDescent="0.25">
      <c r="A479" s="1" t="s">
        <v>147</v>
      </c>
      <c r="B479" s="1">
        <v>82906</v>
      </c>
      <c r="C479" s="3">
        <v>192.04</v>
      </c>
      <c r="D479" s="2">
        <v>43654</v>
      </c>
      <c r="E479" s="1" t="str">
        <f>"30209707"</f>
        <v>30209707</v>
      </c>
      <c r="F479" s="1" t="str">
        <f>"ACCT#80975-002/PCT#4"</f>
        <v>ACCT#80975-002/PCT#4</v>
      </c>
      <c r="G479" s="3">
        <v>96.1</v>
      </c>
      <c r="H479" s="1" t="str">
        <f>"ACCT#80975-002/PCT#4"</f>
        <v>ACCT#80975-002/PCT#4</v>
      </c>
    </row>
    <row r="480" spans="1:8" x14ac:dyDescent="0.25">
      <c r="E480" s="1" t="str">
        <f>"30243349"</f>
        <v>30243349</v>
      </c>
      <c r="F480" s="1" t="str">
        <f>"ACT#80975-001/PCT#3"</f>
        <v>ACT#80975-001/PCT#3</v>
      </c>
      <c r="G480" s="3">
        <v>95.94</v>
      </c>
      <c r="H480" s="1" t="str">
        <f>"ACT#80975-001/PCT#3"</f>
        <v>ACT#80975-001/PCT#3</v>
      </c>
    </row>
    <row r="481" spans="1:9" x14ac:dyDescent="0.25">
      <c r="A481" s="1" t="s">
        <v>147</v>
      </c>
      <c r="B481" s="1">
        <v>83135</v>
      </c>
      <c r="C481" s="3">
        <v>73.099999999999994</v>
      </c>
      <c r="D481" s="2">
        <v>43668</v>
      </c>
      <c r="E481" s="1" t="str">
        <f>"30531328"</f>
        <v>30531328</v>
      </c>
      <c r="F481" s="1" t="str">
        <f>"ACCT#80975-001/PCT#3"</f>
        <v>ACCT#80975-001/PCT#3</v>
      </c>
      <c r="G481" s="3">
        <v>33.43</v>
      </c>
      <c r="H481" s="1" t="str">
        <f>"ACCT#80975-001/PCT#3"</f>
        <v>ACCT#80975-001/PCT#3</v>
      </c>
    </row>
    <row r="482" spans="1:9" x14ac:dyDescent="0.25">
      <c r="E482" s="1" t="str">
        <f>"31025934"</f>
        <v>31025934</v>
      </c>
      <c r="F482" s="1" t="str">
        <f>"ACCT#80975-001/PCT#3"</f>
        <v>ACCT#80975-001/PCT#3</v>
      </c>
      <c r="G482" s="3">
        <v>39.67</v>
      </c>
      <c r="H482" s="1" t="str">
        <f>"ACCT#80975-001/PCT#3"</f>
        <v>ACCT#80975-001/PCT#3</v>
      </c>
    </row>
    <row r="483" spans="1:9" x14ac:dyDescent="0.25">
      <c r="A483" s="1" t="s">
        <v>148</v>
      </c>
      <c r="B483" s="1">
        <v>83136</v>
      </c>
      <c r="C483" s="3">
        <v>50</v>
      </c>
      <c r="D483" s="2">
        <v>43668</v>
      </c>
      <c r="E483" s="1" t="s">
        <v>17</v>
      </c>
      <c r="F483" s="1" t="s">
        <v>149</v>
      </c>
      <c r="G483" s="3" t="str">
        <f>"RESTITUTION - D. CORKILL"</f>
        <v>RESTITUTION - D. CORKILL</v>
      </c>
      <c r="H483" s="1" t="str">
        <f>"210-0000"</f>
        <v>210-0000</v>
      </c>
      <c r="I483" s="1" t="str">
        <f>""</f>
        <v/>
      </c>
    </row>
    <row r="484" spans="1:9" x14ac:dyDescent="0.25">
      <c r="A484" s="1" t="s">
        <v>150</v>
      </c>
      <c r="B484" s="1">
        <v>1042</v>
      </c>
      <c r="C484" s="3">
        <v>500</v>
      </c>
      <c r="D484" s="2">
        <v>43655</v>
      </c>
      <c r="E484" s="1" t="str">
        <f>"201906270151"</f>
        <v>201906270151</v>
      </c>
      <c r="F484" s="1" t="str">
        <f>"54 778"</f>
        <v>54 778</v>
      </c>
      <c r="G484" s="3">
        <v>250</v>
      </c>
      <c r="H484" s="1" t="str">
        <f>"54 778"</f>
        <v>54 778</v>
      </c>
    </row>
    <row r="485" spans="1:9" x14ac:dyDescent="0.25">
      <c r="E485" s="1" t="str">
        <f>"201906270152"</f>
        <v>201906270152</v>
      </c>
      <c r="F485" s="1" t="str">
        <f>"54 053"</f>
        <v>54 053</v>
      </c>
      <c r="G485" s="3">
        <v>250</v>
      </c>
      <c r="H485" s="1" t="str">
        <f>"54 053"</f>
        <v>54 053</v>
      </c>
    </row>
    <row r="486" spans="1:9" x14ac:dyDescent="0.25">
      <c r="A486" s="1" t="s">
        <v>150</v>
      </c>
      <c r="B486" s="1">
        <v>1118</v>
      </c>
      <c r="C486" s="3">
        <v>850</v>
      </c>
      <c r="D486" s="2">
        <v>43669</v>
      </c>
      <c r="E486" s="1" t="str">
        <f>"201907110411"</f>
        <v>201907110411</v>
      </c>
      <c r="F486" s="1" t="str">
        <f>"16 805"</f>
        <v>16 805</v>
      </c>
      <c r="G486" s="3">
        <v>600</v>
      </c>
      <c r="H486" s="1" t="str">
        <f>"16 805"</f>
        <v>16 805</v>
      </c>
    </row>
    <row r="487" spans="1:9" x14ac:dyDescent="0.25">
      <c r="E487" s="1" t="str">
        <f>"201907160556"</f>
        <v>201907160556</v>
      </c>
      <c r="F487" s="1" t="str">
        <f>"JP1103132019C"</f>
        <v>JP1103132019C</v>
      </c>
      <c r="G487" s="3">
        <v>250</v>
      </c>
      <c r="H487" s="1" t="str">
        <f>"JP1103132019C"</f>
        <v>JP1103132019C</v>
      </c>
    </row>
    <row r="488" spans="1:9" x14ac:dyDescent="0.25">
      <c r="A488" s="1" t="s">
        <v>151</v>
      </c>
      <c r="B488" s="1">
        <v>83137</v>
      </c>
      <c r="C488" s="3">
        <v>80</v>
      </c>
      <c r="D488" s="2">
        <v>43668</v>
      </c>
      <c r="E488" s="1" t="str">
        <f>"12733"</f>
        <v>12733</v>
      </c>
      <c r="F488" s="1" t="str">
        <f>"SERVICE"</f>
        <v>SERVICE</v>
      </c>
      <c r="G488" s="3">
        <v>80</v>
      </c>
      <c r="H488" s="1" t="str">
        <f>"SERVICE"</f>
        <v>SERVICE</v>
      </c>
    </row>
    <row r="489" spans="1:9" x14ac:dyDescent="0.25">
      <c r="A489" s="1" t="s">
        <v>152</v>
      </c>
      <c r="B489" s="1">
        <v>83138</v>
      </c>
      <c r="C489" s="3">
        <v>80</v>
      </c>
      <c r="D489" s="2">
        <v>43668</v>
      </c>
      <c r="E489" s="1" t="str">
        <f>"13192"</f>
        <v>13192</v>
      </c>
      <c r="F489" s="1" t="str">
        <f>"SERVICE"</f>
        <v>SERVICE</v>
      </c>
      <c r="G489" s="3">
        <v>80</v>
      </c>
      <c r="H489" s="1" t="str">
        <f>"SERVICE"</f>
        <v>SERVICE</v>
      </c>
    </row>
    <row r="490" spans="1:9" x14ac:dyDescent="0.25">
      <c r="A490" s="1" t="s">
        <v>153</v>
      </c>
      <c r="B490" s="1">
        <v>1032</v>
      </c>
      <c r="C490" s="3">
        <v>285.2</v>
      </c>
      <c r="D490" s="2">
        <v>43655</v>
      </c>
      <c r="E490" s="1" t="str">
        <f>"201907010207"</f>
        <v>201907010207</v>
      </c>
      <c r="F490" s="1" t="str">
        <f>"MILEAGE REIMBURSEMENT"</f>
        <v>MILEAGE REIMBURSEMENT</v>
      </c>
      <c r="G490" s="3">
        <v>75.400000000000006</v>
      </c>
      <c r="H490" s="1" t="str">
        <f>"MILEAGE REIMBURSEMENT"</f>
        <v>MILEAGE REIMBURSEMENT</v>
      </c>
    </row>
    <row r="491" spans="1:9" x14ac:dyDescent="0.25">
      <c r="E491" s="1" t="str">
        <f>"201907010208"</f>
        <v>201907010208</v>
      </c>
      <c r="F491" s="1" t="str">
        <f>"MILEAGE REIMBURSEMENT"</f>
        <v>MILEAGE REIMBURSEMENT</v>
      </c>
      <c r="G491" s="3">
        <v>171.1</v>
      </c>
      <c r="H491" s="1" t="str">
        <f>"MILEAGE REIMBURSEMENT"</f>
        <v>MILEAGE REIMBURSEMENT</v>
      </c>
    </row>
    <row r="492" spans="1:9" x14ac:dyDescent="0.25">
      <c r="E492" s="1" t="str">
        <f>"201907010210"</f>
        <v>201907010210</v>
      </c>
      <c r="F492" s="1" t="str">
        <f>"REIMBURSE-MAIL/LUNCHEON"</f>
        <v>REIMBURSE-MAIL/LUNCHEON</v>
      </c>
      <c r="G492" s="3">
        <v>38.700000000000003</v>
      </c>
      <c r="H492" s="1" t="str">
        <f>"REIMBURSE-MAIL/LUNCHEON"</f>
        <v>REIMBURSE-MAIL/LUNCHEON</v>
      </c>
    </row>
    <row r="493" spans="1:9" x14ac:dyDescent="0.25">
      <c r="A493" s="1" t="s">
        <v>153</v>
      </c>
      <c r="B493" s="1">
        <v>1106</v>
      </c>
      <c r="C493" s="3">
        <v>70</v>
      </c>
      <c r="D493" s="2">
        <v>43669</v>
      </c>
      <c r="E493" s="1" t="str">
        <f>"201907090304"</f>
        <v>201907090304</v>
      </c>
      <c r="F493" s="1" t="str">
        <f>"TRAVEL ADVANCE-PER DIEM"</f>
        <v>TRAVEL ADVANCE-PER DIEM</v>
      </c>
      <c r="G493" s="3">
        <v>70</v>
      </c>
      <c r="H493" s="1" t="str">
        <f>"TRAVEL ADVANCE-PER DIEM"</f>
        <v>TRAVEL ADVANCE-PER DIEM</v>
      </c>
    </row>
    <row r="494" spans="1:9" x14ac:dyDescent="0.25">
      <c r="A494" s="1" t="s">
        <v>154</v>
      </c>
      <c r="B494" s="1">
        <v>82907</v>
      </c>
      <c r="C494" s="3">
        <v>199</v>
      </c>
      <c r="D494" s="2">
        <v>43654</v>
      </c>
      <c r="E494" s="1" t="str">
        <f>"5320252"</f>
        <v>5320252</v>
      </c>
      <c r="F494" s="1" t="str">
        <f>"PRYOR RENEWAL/ELECTIONS"</f>
        <v>PRYOR RENEWAL/ELECTIONS</v>
      </c>
      <c r="G494" s="3">
        <v>199</v>
      </c>
      <c r="H494" s="1" t="str">
        <f>"PRYOR"</f>
        <v>PRYOR</v>
      </c>
    </row>
    <row r="495" spans="1:9" x14ac:dyDescent="0.25">
      <c r="A495" s="1" t="s">
        <v>155</v>
      </c>
      <c r="B495" s="1">
        <v>1110</v>
      </c>
      <c r="C495" s="3">
        <v>1041.99</v>
      </c>
      <c r="D495" s="2">
        <v>43669</v>
      </c>
      <c r="E495" s="1" t="str">
        <f>"AP404279"</f>
        <v>AP404279</v>
      </c>
      <c r="F495" s="1" t="str">
        <f>"ACCT#3326/PARTS/PCT#4"</f>
        <v>ACCT#3326/PARTS/PCT#4</v>
      </c>
      <c r="G495" s="3">
        <v>777.03</v>
      </c>
      <c r="H495" s="1" t="str">
        <f>"ACCT#3326/PARTS/PCT#4"</f>
        <v>ACCT#3326/PARTS/PCT#4</v>
      </c>
    </row>
    <row r="496" spans="1:9" x14ac:dyDescent="0.25">
      <c r="E496" s="1" t="str">
        <f>"AP404942"</f>
        <v>AP404942</v>
      </c>
      <c r="F496" s="1" t="str">
        <f>"ACCT#3326/BRAKE SHOE/PCT#4"</f>
        <v>ACCT#3326/BRAKE SHOE/PCT#4</v>
      </c>
      <c r="G496" s="3">
        <v>264.95999999999998</v>
      </c>
      <c r="H496" s="1" t="str">
        <f>"ACCT#3326/BRAKE SHOE/PCT#4"</f>
        <v>ACCT#3326/BRAKE SHOE/PCT#4</v>
      </c>
    </row>
    <row r="497" spans="1:8" x14ac:dyDescent="0.25">
      <c r="A497" s="1" t="s">
        <v>156</v>
      </c>
      <c r="B497" s="1">
        <v>1043</v>
      </c>
      <c r="C497" s="3">
        <v>543.39</v>
      </c>
      <c r="D497" s="2">
        <v>43655</v>
      </c>
      <c r="E497" s="1" t="str">
        <f>"108989"</f>
        <v>108989</v>
      </c>
      <c r="F497" s="1" t="str">
        <f>"TRAIL COURT'S CERT"</f>
        <v>TRAIL COURT'S CERT</v>
      </c>
      <c r="G497" s="3">
        <v>291.49</v>
      </c>
      <c r="H497" s="1" t="str">
        <f>"TRAIL COURT'S CERT"</f>
        <v>TRAIL COURT'S CERT</v>
      </c>
    </row>
    <row r="498" spans="1:8" x14ac:dyDescent="0.25">
      <c r="E498" s="1" t="str">
        <f>"109025"</f>
        <v>109025</v>
      </c>
      <c r="F498" s="1" t="str">
        <f>"INV 109025"</f>
        <v>INV 109025</v>
      </c>
      <c r="G498" s="3">
        <v>81.92</v>
      </c>
      <c r="H498" s="1" t="str">
        <f>"INV 109025"</f>
        <v>INV 109025</v>
      </c>
    </row>
    <row r="499" spans="1:8" x14ac:dyDescent="0.25">
      <c r="E499" s="1" t="str">
        <f>"109063"</f>
        <v>109063</v>
      </c>
      <c r="F499" s="1" t="str">
        <f>"INV GC 109063"</f>
        <v>INV GC 109063</v>
      </c>
      <c r="G499" s="3">
        <v>84</v>
      </c>
      <c r="H499" s="1" t="str">
        <f>"INV GC 109063"</f>
        <v>INV GC 109063</v>
      </c>
    </row>
    <row r="500" spans="1:8" x14ac:dyDescent="0.25">
      <c r="E500" s="1" t="str">
        <f>"109076"</f>
        <v>109076</v>
      </c>
      <c r="F500" s="1" t="str">
        <f>"#10 WINDOW ENVELOPES/DVLP SVCS"</f>
        <v>#10 WINDOW ENVELOPES/DVLP SVCS</v>
      </c>
      <c r="G500" s="3">
        <v>85.98</v>
      </c>
      <c r="H500" s="1" t="str">
        <f>"#10 WINDOW ENVELOPES/DVLP SVCS"</f>
        <v>#10 WINDOW ENVELOPES/DVLP SVCS</v>
      </c>
    </row>
    <row r="501" spans="1:8" x14ac:dyDescent="0.25">
      <c r="A501" s="1" t="s">
        <v>156</v>
      </c>
      <c r="B501" s="1">
        <v>1119</v>
      </c>
      <c r="C501" s="3">
        <v>286.36</v>
      </c>
      <c r="D501" s="2">
        <v>43669</v>
      </c>
      <c r="E501" s="1" t="str">
        <f>"109138"</f>
        <v>109138</v>
      </c>
      <c r="F501" s="1" t="str">
        <f>"INV 109138"</f>
        <v>INV 109138</v>
      </c>
      <c r="G501" s="3">
        <v>180.56</v>
      </c>
      <c r="H501" s="1" t="str">
        <f>"INV 109138"</f>
        <v>INV 109138</v>
      </c>
    </row>
    <row r="502" spans="1:8" x14ac:dyDescent="0.25">
      <c r="E502" s="1" t="str">
        <f>"109147"</f>
        <v>109147</v>
      </c>
      <c r="F502" s="1" t="str">
        <f>"CITATION BOOKS/ENV ENFORCEMENT"</f>
        <v>CITATION BOOKS/ENV ENFORCEMENT</v>
      </c>
      <c r="G502" s="3">
        <v>105.8</v>
      </c>
      <c r="H502" s="1" t="str">
        <f>"CITATION BOOKS/ENV ENFORCEMENT"</f>
        <v>CITATION BOOKS/ENV ENFORCEMENT</v>
      </c>
    </row>
    <row r="503" spans="1:8" x14ac:dyDescent="0.25">
      <c r="A503" s="1" t="s">
        <v>157</v>
      </c>
      <c r="B503" s="1">
        <v>82908</v>
      </c>
      <c r="C503" s="3">
        <v>1341.25</v>
      </c>
      <c r="D503" s="2">
        <v>43654</v>
      </c>
      <c r="E503" s="1" t="str">
        <f>"012642196 01288896"</f>
        <v>012642196 01288896</v>
      </c>
      <c r="F503" s="1" t="str">
        <f>"INV 012642196/012888961"</f>
        <v>INV 012642196/012888961</v>
      </c>
      <c r="G503" s="3">
        <v>108.5</v>
      </c>
      <c r="H503" s="1" t="str">
        <f>"INV 012642196"</f>
        <v>INV 012642196</v>
      </c>
    </row>
    <row r="504" spans="1:8" x14ac:dyDescent="0.25">
      <c r="E504" s="1" t="str">
        <f>""</f>
        <v/>
      </c>
      <c r="F504" s="1" t="str">
        <f>""</f>
        <v/>
      </c>
      <c r="H504" s="1" t="str">
        <f>"INV 012888961"</f>
        <v>INV 012888961</v>
      </c>
    </row>
    <row r="505" spans="1:8" x14ac:dyDescent="0.25">
      <c r="E505" s="1" t="str">
        <f>"012851159 01286209"</f>
        <v>012851159 01286209</v>
      </c>
      <c r="F505" s="1" t="str">
        <f>"INV 012851159/012862093"</f>
        <v>INV 012851159/012862093</v>
      </c>
      <c r="G505" s="3">
        <v>687</v>
      </c>
      <c r="H505" s="1" t="str">
        <f>"INV 012851159"</f>
        <v>INV 012851159</v>
      </c>
    </row>
    <row r="506" spans="1:8" x14ac:dyDescent="0.25">
      <c r="E506" s="1" t="str">
        <f>""</f>
        <v/>
      </c>
      <c r="F506" s="1" t="str">
        <f>""</f>
        <v/>
      </c>
      <c r="H506" s="1" t="str">
        <f>"INV 012862093"</f>
        <v>INV 012862093</v>
      </c>
    </row>
    <row r="507" spans="1:8" x14ac:dyDescent="0.25">
      <c r="E507" s="1" t="str">
        <f>"012924439"</f>
        <v>012924439</v>
      </c>
      <c r="F507" s="1" t="str">
        <f>"INV 012924439"</f>
        <v>INV 012924439</v>
      </c>
      <c r="G507" s="3">
        <v>382.75</v>
      </c>
      <c r="H507" s="1" t="str">
        <f>"INV 012924439"</f>
        <v>INV 012924439</v>
      </c>
    </row>
    <row r="508" spans="1:8" x14ac:dyDescent="0.25">
      <c r="E508" s="1" t="str">
        <f>"012944351 01294537"</f>
        <v>012944351 01294537</v>
      </c>
      <c r="F508" s="1" t="str">
        <f>"INV 012944351"</f>
        <v>INV 012944351</v>
      </c>
      <c r="G508" s="3">
        <v>151</v>
      </c>
      <c r="H508" s="1" t="str">
        <f>"INV 012944351"</f>
        <v>INV 012944351</v>
      </c>
    </row>
    <row r="509" spans="1:8" x14ac:dyDescent="0.25">
      <c r="E509" s="1" t="str">
        <f>""</f>
        <v/>
      </c>
      <c r="F509" s="1" t="str">
        <f>""</f>
        <v/>
      </c>
      <c r="H509" s="1" t="str">
        <f>"INV 012945377"</f>
        <v>INV 012945377</v>
      </c>
    </row>
    <row r="510" spans="1:8" x14ac:dyDescent="0.25">
      <c r="E510" s="1" t="str">
        <f>"012944356"</f>
        <v>012944356</v>
      </c>
      <c r="F510" s="1" t="str">
        <f>"INV 012944356"</f>
        <v>INV 012944356</v>
      </c>
      <c r="G510" s="3">
        <v>12</v>
      </c>
      <c r="H510" s="1" t="str">
        <f>"INV 012944356"</f>
        <v>INV 012944356</v>
      </c>
    </row>
    <row r="511" spans="1:8" x14ac:dyDescent="0.25">
      <c r="A511" s="1" t="s">
        <v>157</v>
      </c>
      <c r="B511" s="1">
        <v>83139</v>
      </c>
      <c r="C511" s="3">
        <v>862</v>
      </c>
      <c r="D511" s="2">
        <v>43668</v>
      </c>
      <c r="E511" s="1" t="str">
        <f>"012772052 10022397"</f>
        <v>012772052 10022397</v>
      </c>
      <c r="F511" s="1" t="str">
        <f>"INV 012772052/1002239783"</f>
        <v>INV 012772052/1002239783</v>
      </c>
      <c r="G511" s="3">
        <v>165</v>
      </c>
      <c r="H511" s="1" t="str">
        <f>"INV 012772052"</f>
        <v>INV 012772052</v>
      </c>
    </row>
    <row r="512" spans="1:8" x14ac:dyDescent="0.25">
      <c r="E512" s="1" t="str">
        <f>""</f>
        <v/>
      </c>
      <c r="F512" s="1" t="str">
        <f>""</f>
        <v/>
      </c>
      <c r="H512" s="1" t="str">
        <f>"INV 1002239783"</f>
        <v>INV 1002239783</v>
      </c>
    </row>
    <row r="513" spans="1:8" x14ac:dyDescent="0.25">
      <c r="E513" s="1" t="str">
        <f>"013002164 01309149"</f>
        <v>013002164 01309149</v>
      </c>
      <c r="F513" s="1" t="str">
        <f>"INV 013002164/013091496"</f>
        <v>INV 013002164/013091496</v>
      </c>
      <c r="G513" s="3">
        <v>427.5</v>
      </c>
      <c r="H513" s="1" t="str">
        <f>"INV 013002164"</f>
        <v>INV 013002164</v>
      </c>
    </row>
    <row r="514" spans="1:8" x14ac:dyDescent="0.25">
      <c r="E514" s="1" t="str">
        <f>""</f>
        <v/>
      </c>
      <c r="F514" s="1" t="str">
        <f>""</f>
        <v/>
      </c>
      <c r="H514" s="1" t="str">
        <f>"INV 013091496"</f>
        <v>INV 013091496</v>
      </c>
    </row>
    <row r="515" spans="1:8" x14ac:dyDescent="0.25">
      <c r="E515" s="1" t="str">
        <f>"013024008"</f>
        <v>013024008</v>
      </c>
      <c r="F515" s="1" t="str">
        <f>"INV 013024008"</f>
        <v>INV 013024008</v>
      </c>
      <c r="G515" s="3">
        <v>269.5</v>
      </c>
      <c r="H515" s="1" t="str">
        <f>"INV 013024008"</f>
        <v>INV 013024008</v>
      </c>
    </row>
    <row r="516" spans="1:8" x14ac:dyDescent="0.25">
      <c r="A516" s="1" t="s">
        <v>158</v>
      </c>
      <c r="B516" s="1">
        <v>83140</v>
      </c>
      <c r="C516" s="3">
        <v>25</v>
      </c>
      <c r="D516" s="2">
        <v>43668</v>
      </c>
      <c r="E516" s="1" t="str">
        <f>"201907120422"</f>
        <v>201907120422</v>
      </c>
      <c r="F516" s="1" t="str">
        <f>"REFUND-DRIVEWAY PERMIT"</f>
        <v>REFUND-DRIVEWAY PERMIT</v>
      </c>
      <c r="G516" s="3">
        <v>25</v>
      </c>
      <c r="H516" s="1" t="str">
        <f>"REFUND-DRIVEWAY PERMIT"</f>
        <v>REFUND-DRIVEWAY PERMIT</v>
      </c>
    </row>
    <row r="517" spans="1:8" x14ac:dyDescent="0.25">
      <c r="A517" s="1" t="s">
        <v>159</v>
      </c>
      <c r="B517" s="1">
        <v>1058</v>
      </c>
      <c r="C517" s="3">
        <v>390.41</v>
      </c>
      <c r="D517" s="2">
        <v>43655</v>
      </c>
      <c r="E517" s="1" t="str">
        <f>"N59180"</f>
        <v>N59180</v>
      </c>
      <c r="F517" s="1" t="str">
        <f>"CUST#02260/ORD#S51376/ANIMAL S"</f>
        <v>CUST#02260/ORD#S51376/ANIMAL S</v>
      </c>
      <c r="G517" s="3">
        <v>191.94</v>
      </c>
      <c r="H517" s="1" t="str">
        <f>"CUST#02260/ORD#S51376/ANIMAL S"</f>
        <v>CUST#02260/ORD#S51376/ANIMAL S</v>
      </c>
    </row>
    <row r="518" spans="1:8" x14ac:dyDescent="0.25">
      <c r="E518" s="1" t="str">
        <f>"N59282"</f>
        <v>N59282</v>
      </c>
      <c r="F518" s="1" t="str">
        <f>"CUST#02260/ORD#S51376/ANIMAL S"</f>
        <v>CUST#02260/ORD#S51376/ANIMAL S</v>
      </c>
      <c r="G518" s="3">
        <v>198.47</v>
      </c>
      <c r="H518" s="1" t="str">
        <f>"CUST#02260/ORD#S51376/ANIMAL S"</f>
        <v>CUST#02260/ORD#S51376/ANIMAL S</v>
      </c>
    </row>
    <row r="519" spans="1:8" x14ac:dyDescent="0.25">
      <c r="A519" s="1" t="s">
        <v>159</v>
      </c>
      <c r="B519" s="1">
        <v>1134</v>
      </c>
      <c r="C519" s="3">
        <v>45</v>
      </c>
      <c r="D519" s="2">
        <v>43669</v>
      </c>
      <c r="E519" s="1" t="str">
        <f>"N58536"</f>
        <v>N58536</v>
      </c>
      <c r="F519" s="1" t="str">
        <f>"INV N58536"</f>
        <v>INV N58536</v>
      </c>
      <c r="G519" s="3">
        <v>45</v>
      </c>
      <c r="H519" s="1" t="str">
        <f>"INV N58536"</f>
        <v>INV N58536</v>
      </c>
    </row>
    <row r="520" spans="1:8" x14ac:dyDescent="0.25">
      <c r="A520" s="1" t="s">
        <v>160</v>
      </c>
      <c r="B520" s="1">
        <v>83141</v>
      </c>
      <c r="C520" s="3">
        <v>975</v>
      </c>
      <c r="D520" s="2">
        <v>43668</v>
      </c>
      <c r="E520" s="1" t="str">
        <f>"1090"</f>
        <v>1090</v>
      </c>
      <c r="F520" s="1" t="str">
        <f>"TRANSPORT-C. H. MCVAY"</f>
        <v>TRANSPORT-C. H. MCVAY</v>
      </c>
      <c r="G520" s="3">
        <v>400</v>
      </c>
      <c r="H520" s="1" t="str">
        <f>"TRANSPORT-C. H. MCVAY"</f>
        <v>TRANSPORT-C. H. MCVAY</v>
      </c>
    </row>
    <row r="521" spans="1:8" x14ac:dyDescent="0.25">
      <c r="E521" s="1" t="str">
        <f>"1091"</f>
        <v>1091</v>
      </c>
      <c r="F521" s="1" t="str">
        <f>"TRANSPORT-G. SOTO-GIL"</f>
        <v>TRANSPORT-G. SOTO-GIL</v>
      </c>
      <c r="G521" s="3">
        <v>575</v>
      </c>
      <c r="H521" s="1" t="str">
        <f>"TRANSPORT-G. SOTO-GIL"</f>
        <v>TRANSPORT-G. SOTO-GIL</v>
      </c>
    </row>
    <row r="522" spans="1:8" x14ac:dyDescent="0.25">
      <c r="A522" s="1" t="s">
        <v>161</v>
      </c>
      <c r="B522" s="1">
        <v>83142</v>
      </c>
      <c r="C522" s="3">
        <v>22461</v>
      </c>
      <c r="D522" s="2">
        <v>43668</v>
      </c>
      <c r="E522" s="1" t="str">
        <f>"201907160489"</f>
        <v>201907160489</v>
      </c>
      <c r="F522" s="1" t="str">
        <f>"GRAPEVINE DODGE CHRYSLER JEEP"</f>
        <v>GRAPEVINE DODGE CHRYSLER JEEP</v>
      </c>
      <c r="G522" s="3">
        <v>22461</v>
      </c>
      <c r="H522" s="1" t="str">
        <f>""</f>
        <v/>
      </c>
    </row>
    <row r="523" spans="1:8" x14ac:dyDescent="0.25">
      <c r="E523" s="1" t="str">
        <f>""</f>
        <v/>
      </c>
      <c r="F523" s="1" t="str">
        <f>""</f>
        <v/>
      </c>
      <c r="H523" s="1" t="str">
        <f>"BUYBOARD FEE"</f>
        <v>BUYBOARD FEE</v>
      </c>
    </row>
    <row r="524" spans="1:8" x14ac:dyDescent="0.25">
      <c r="A524" s="1" t="s">
        <v>162</v>
      </c>
      <c r="B524" s="1">
        <v>1044</v>
      </c>
      <c r="C524" s="3">
        <v>329.48</v>
      </c>
      <c r="D524" s="2">
        <v>43655</v>
      </c>
      <c r="E524" s="1" t="str">
        <f>"0715578"</f>
        <v>0715578</v>
      </c>
      <c r="F524" s="1" t="str">
        <f>"INV 0715578"</f>
        <v>INV 0715578</v>
      </c>
      <c r="G524" s="3">
        <v>172.99</v>
      </c>
      <c r="H524" s="1" t="str">
        <f>"INV 0715578"</f>
        <v>INV 0715578</v>
      </c>
    </row>
    <row r="525" spans="1:8" x14ac:dyDescent="0.25">
      <c r="E525" s="1" t="str">
        <f>"0715913"</f>
        <v>0715913</v>
      </c>
      <c r="F525" s="1" t="str">
        <f>"INV 0715913"</f>
        <v>INV 0715913</v>
      </c>
      <c r="G525" s="3">
        <v>156.49</v>
      </c>
      <c r="H525" s="1" t="str">
        <f>"INV 0715913"</f>
        <v>INV 0715913</v>
      </c>
    </row>
    <row r="526" spans="1:8" x14ac:dyDescent="0.25">
      <c r="A526" s="1" t="s">
        <v>162</v>
      </c>
      <c r="B526" s="1">
        <v>1120</v>
      </c>
      <c r="C526" s="3">
        <v>1701.84</v>
      </c>
      <c r="D526" s="2">
        <v>43669</v>
      </c>
      <c r="E526" s="1" t="str">
        <f>"0716545"</f>
        <v>0716545</v>
      </c>
      <c r="F526" s="1" t="str">
        <f>"INV 0716545"</f>
        <v>INV 0716545</v>
      </c>
      <c r="G526" s="3">
        <v>183.2</v>
      </c>
      <c r="H526" s="1" t="str">
        <f>"INV 0716545"</f>
        <v>INV 0716545</v>
      </c>
    </row>
    <row r="527" spans="1:8" x14ac:dyDescent="0.25">
      <c r="E527" s="1" t="str">
        <f>"0717987"</f>
        <v>0717987</v>
      </c>
      <c r="F527" s="1" t="str">
        <f>"INV 0717987"</f>
        <v>INV 0717987</v>
      </c>
      <c r="G527" s="3">
        <v>850</v>
      </c>
      <c r="H527" s="1" t="str">
        <f>"INV 0717987"</f>
        <v>INV 0717987</v>
      </c>
    </row>
    <row r="528" spans="1:8" x14ac:dyDescent="0.25">
      <c r="E528" s="1" t="str">
        <f>""</f>
        <v/>
      </c>
      <c r="F528" s="1" t="str">
        <f>""</f>
        <v/>
      </c>
      <c r="H528" s="1" t="str">
        <f>"INV 0717987"</f>
        <v>INV 0717987</v>
      </c>
    </row>
    <row r="529" spans="1:8" x14ac:dyDescent="0.25">
      <c r="E529" s="1" t="str">
        <f>"INV0715556 INV0717"</f>
        <v>INV0715556 INV0717</v>
      </c>
      <c r="F529" s="1" t="str">
        <f>"INV0715556"</f>
        <v>INV0715556</v>
      </c>
      <c r="G529" s="3">
        <v>668.64</v>
      </c>
      <c r="H529" s="1" t="str">
        <f>"INV0715556"</f>
        <v>INV0715556</v>
      </c>
    </row>
    <row r="530" spans="1:8" x14ac:dyDescent="0.25">
      <c r="E530" s="1" t="str">
        <f>""</f>
        <v/>
      </c>
      <c r="F530" s="1" t="str">
        <f>""</f>
        <v/>
      </c>
      <c r="H530" s="1" t="str">
        <f>"INV0717359"</f>
        <v>INV0717359</v>
      </c>
    </row>
    <row r="531" spans="1:8" x14ac:dyDescent="0.25">
      <c r="A531" s="1" t="s">
        <v>163</v>
      </c>
      <c r="B531" s="1">
        <v>1097</v>
      </c>
      <c r="C531" s="3">
        <v>19656.23</v>
      </c>
      <c r="D531" s="2">
        <v>43669</v>
      </c>
      <c r="E531" s="1" t="str">
        <f>"INV0030185A"</f>
        <v>INV0030185A</v>
      </c>
      <c r="F531" s="1" t="str">
        <f>"LICENSE PLATE READER"</f>
        <v>LICENSE PLATE READER</v>
      </c>
      <c r="G531" s="3">
        <v>19656.23</v>
      </c>
      <c r="H531" s="1" t="str">
        <f>"SPLIT COST"</f>
        <v>SPLIT COST</v>
      </c>
    </row>
    <row r="532" spans="1:8" x14ac:dyDescent="0.25">
      <c r="E532" s="1" t="str">
        <f>""</f>
        <v/>
      </c>
      <c r="F532" s="1" t="str">
        <f>""</f>
        <v/>
      </c>
      <c r="H532" s="1" t="str">
        <f>"LICENSE PLATE READER"</f>
        <v>LICENSE PLATE READER</v>
      </c>
    </row>
    <row r="533" spans="1:8" x14ac:dyDescent="0.25">
      <c r="E533" s="1" t="str">
        <f>""</f>
        <v/>
      </c>
      <c r="F533" s="1" t="str">
        <f>""</f>
        <v/>
      </c>
      <c r="H533" s="1" t="str">
        <f>"SPLIT COST"</f>
        <v>SPLIT COST</v>
      </c>
    </row>
    <row r="534" spans="1:8" x14ac:dyDescent="0.25">
      <c r="A534" s="1" t="s">
        <v>164</v>
      </c>
      <c r="B534" s="1">
        <v>1055</v>
      </c>
      <c r="C534" s="3">
        <v>2649.42</v>
      </c>
      <c r="D534" s="2">
        <v>43655</v>
      </c>
      <c r="E534" s="1" t="str">
        <f>"1695711"</f>
        <v>1695711</v>
      </c>
      <c r="F534" s="1" t="str">
        <f>"Trash Bags for Parks"</f>
        <v>Trash Bags for Parks</v>
      </c>
      <c r="G534" s="3">
        <v>163.38</v>
      </c>
      <c r="H534" s="1" t="str">
        <f>"63CL"</f>
        <v>63CL</v>
      </c>
    </row>
    <row r="535" spans="1:8" x14ac:dyDescent="0.25">
      <c r="E535" s="1" t="str">
        <f>"1695712"</f>
        <v>1695712</v>
      </c>
      <c r="F535" s="1" t="str">
        <f>"INV 1695712"</f>
        <v>INV 1695712</v>
      </c>
      <c r="G535" s="3">
        <v>1898.5</v>
      </c>
      <c r="H535" s="1" t="str">
        <f>"INV 1695712"</f>
        <v>INV 1695712</v>
      </c>
    </row>
    <row r="536" spans="1:8" x14ac:dyDescent="0.25">
      <c r="E536" s="1" t="str">
        <f>"1697009 1696888"</f>
        <v>1697009 1696888</v>
      </c>
      <c r="F536" s="1" t="str">
        <f>"Janitorial Supplies"</f>
        <v>Janitorial Supplies</v>
      </c>
      <c r="G536" s="3">
        <v>587.54</v>
      </c>
      <c r="H536" s="1" t="str">
        <f>"GP19371"</f>
        <v>GP19371</v>
      </c>
    </row>
    <row r="537" spans="1:8" x14ac:dyDescent="0.25">
      <c r="E537" s="1" t="str">
        <f>""</f>
        <v/>
      </c>
      <c r="F537" s="1" t="str">
        <f>""</f>
        <v/>
      </c>
      <c r="H537" s="1" t="str">
        <f>"GP20389"</f>
        <v>GP20389</v>
      </c>
    </row>
    <row r="538" spans="1:8" x14ac:dyDescent="0.25">
      <c r="E538" s="1" t="str">
        <f>""</f>
        <v/>
      </c>
      <c r="F538" s="1" t="str">
        <f>""</f>
        <v/>
      </c>
      <c r="H538" s="1" t="str">
        <f>"BCM"</f>
        <v>BCM</v>
      </c>
    </row>
    <row r="539" spans="1:8" x14ac:dyDescent="0.25">
      <c r="E539" s="1" t="str">
        <f>""</f>
        <v/>
      </c>
      <c r="F539" s="1" t="str">
        <f>""</f>
        <v/>
      </c>
      <c r="H539" s="1" t="str">
        <f>"PGC92379"</f>
        <v>PGC92379</v>
      </c>
    </row>
    <row r="540" spans="1:8" x14ac:dyDescent="0.25">
      <c r="A540" s="1" t="s">
        <v>164</v>
      </c>
      <c r="B540" s="1">
        <v>1133</v>
      </c>
      <c r="C540" s="3">
        <v>3022.44</v>
      </c>
      <c r="D540" s="2">
        <v>43669</v>
      </c>
      <c r="E540" s="1" t="str">
        <f>"1665467 1665597 16"</f>
        <v>1665467 1665597 16</v>
      </c>
      <c r="F540" s="1" t="str">
        <f>"Order# PC9P8"</f>
        <v>Order# PC9P8</v>
      </c>
      <c r="G540" s="3">
        <v>3022.44</v>
      </c>
      <c r="H540" s="1" t="str">
        <f>"Order# PC9P8"</f>
        <v>Order# PC9P8</v>
      </c>
    </row>
    <row r="541" spans="1:8" x14ac:dyDescent="0.25">
      <c r="A541" s="1" t="s">
        <v>165</v>
      </c>
      <c r="B541" s="1">
        <v>83143</v>
      </c>
      <c r="C541" s="3">
        <v>110.49</v>
      </c>
      <c r="D541" s="2">
        <v>43668</v>
      </c>
      <c r="E541" s="1" t="str">
        <f>"201907160492"</f>
        <v>201907160492</v>
      </c>
      <c r="F541" s="1" t="str">
        <f>"MILEAGE REIMBURSEMENT"</f>
        <v>MILEAGE REIMBURSEMENT</v>
      </c>
      <c r="G541" s="3">
        <v>110.49</v>
      </c>
      <c r="H541" s="1" t="str">
        <f>"MILEAGE REIMBURSEMENT"</f>
        <v>MILEAGE REIMBURSEMENT</v>
      </c>
    </row>
    <row r="542" spans="1:8" x14ac:dyDescent="0.25">
      <c r="A542" s="1" t="s">
        <v>166</v>
      </c>
      <c r="B542" s="1">
        <v>82909</v>
      </c>
      <c r="C542" s="3">
        <v>75</v>
      </c>
      <c r="D542" s="2">
        <v>43654</v>
      </c>
      <c r="E542" s="1" t="str">
        <f>"12871"</f>
        <v>12871</v>
      </c>
      <c r="F542" s="1" t="str">
        <f>"SERVICE 04/04/19"</f>
        <v>SERVICE 04/04/19</v>
      </c>
      <c r="G542" s="3">
        <v>75</v>
      </c>
      <c r="H542" s="1" t="str">
        <f>"SERVICE 04/04/19"</f>
        <v>SERVICE 04/04/19</v>
      </c>
    </row>
    <row r="543" spans="1:8" x14ac:dyDescent="0.25">
      <c r="A543" s="1" t="s">
        <v>166</v>
      </c>
      <c r="B543" s="1">
        <v>83144</v>
      </c>
      <c r="C543" s="3">
        <v>225</v>
      </c>
      <c r="D543" s="2">
        <v>43668</v>
      </c>
      <c r="E543" s="1" t="str">
        <f>"12733"</f>
        <v>12733</v>
      </c>
      <c r="F543" s="1" t="str">
        <f>"SERVICE"</f>
        <v>SERVICE</v>
      </c>
      <c r="G543" s="3">
        <v>75</v>
      </c>
      <c r="H543" s="1" t="str">
        <f>"SERVICE"</f>
        <v>SERVICE</v>
      </c>
    </row>
    <row r="544" spans="1:8" x14ac:dyDescent="0.25">
      <c r="E544" s="1" t="str">
        <f>"13192"</f>
        <v>13192</v>
      </c>
      <c r="F544" s="1" t="str">
        <f>"SERVICE"</f>
        <v>SERVICE</v>
      </c>
      <c r="G544" s="3">
        <v>75</v>
      </c>
      <c r="H544" s="1" t="str">
        <f>"SERVICE"</f>
        <v>SERVICE</v>
      </c>
    </row>
    <row r="545" spans="1:9" x14ac:dyDescent="0.25">
      <c r="E545" s="1" t="str">
        <f>"13198"</f>
        <v>13198</v>
      </c>
      <c r="F545" s="1" t="str">
        <f>"SERVICE"</f>
        <v>SERVICE</v>
      </c>
      <c r="G545" s="3">
        <v>75</v>
      </c>
      <c r="H545" s="1" t="str">
        <f>"SERVICE"</f>
        <v>SERVICE</v>
      </c>
    </row>
    <row r="546" spans="1:9" x14ac:dyDescent="0.25">
      <c r="A546" s="1" t="s">
        <v>167</v>
      </c>
      <c r="B546" s="1">
        <v>83145</v>
      </c>
      <c r="C546" s="3">
        <v>600</v>
      </c>
      <c r="D546" s="2">
        <v>43668</v>
      </c>
      <c r="E546" s="1" t="str">
        <f>"201907100397"</f>
        <v>201907100397</v>
      </c>
      <c r="F546" s="1" t="str">
        <f>"REIMBURSE-NCRA 2019 CONVENTION"</f>
        <v>REIMBURSE-NCRA 2019 CONVENTION</v>
      </c>
      <c r="G546" s="3">
        <v>600</v>
      </c>
      <c r="H546" s="1" t="str">
        <f>"REIMBURSE-NCRA 2019 CONVENTION"</f>
        <v>REIMBURSE-NCRA 2019 CONVENTION</v>
      </c>
    </row>
    <row r="547" spans="1:9" x14ac:dyDescent="0.25">
      <c r="A547" s="1" t="s">
        <v>168</v>
      </c>
      <c r="B547" s="1">
        <v>82910</v>
      </c>
      <c r="C547" s="3">
        <v>963.55</v>
      </c>
      <c r="D547" s="2">
        <v>43654</v>
      </c>
      <c r="E547" s="1" t="str">
        <f>"RJ77786"</f>
        <v>RJ77786</v>
      </c>
      <c r="F547" s="1" t="str">
        <f t="shared" ref="F547:F555" si="9">"ACCT#68930-000/ANIMAL SVCS"</f>
        <v>ACCT#68930-000/ANIMAL SVCS</v>
      </c>
      <c r="G547" s="3">
        <v>963.55</v>
      </c>
      <c r="H547" s="1" t="str">
        <f t="shared" ref="H547:H555" si="10">"ACCT#68930-000/ANIMAL SVCS"</f>
        <v>ACCT#68930-000/ANIMAL SVCS</v>
      </c>
    </row>
    <row r="548" spans="1:9" x14ac:dyDescent="0.25">
      <c r="A548" s="1" t="s">
        <v>168</v>
      </c>
      <c r="B548" s="1">
        <v>83146</v>
      </c>
      <c r="C548" s="3">
        <v>1948.26</v>
      </c>
      <c r="D548" s="2">
        <v>43668</v>
      </c>
      <c r="E548" s="1" t="str">
        <f>"BK53262"</f>
        <v>BK53262</v>
      </c>
      <c r="F548" s="1" t="str">
        <f t="shared" si="9"/>
        <v>ACCT#68930-000/ANIMAL SVCS</v>
      </c>
      <c r="G548" s="3">
        <v>924.2</v>
      </c>
      <c r="H548" s="1" t="str">
        <f t="shared" si="10"/>
        <v>ACCT#68930-000/ANIMAL SVCS</v>
      </c>
    </row>
    <row r="549" spans="1:9" x14ac:dyDescent="0.25">
      <c r="E549" s="1" t="str">
        <f>"RK31371"</f>
        <v>RK31371</v>
      </c>
      <c r="F549" s="1" t="str">
        <f t="shared" si="9"/>
        <v>ACCT#68930-000/ANIMAL SVCS</v>
      </c>
      <c r="G549" s="3">
        <v>176.54</v>
      </c>
      <c r="H549" s="1" t="str">
        <f t="shared" si="10"/>
        <v>ACCT#68930-000/ANIMAL SVCS</v>
      </c>
    </row>
    <row r="550" spans="1:9" x14ac:dyDescent="0.25">
      <c r="E550" s="1" t="str">
        <f>"RK61136"</f>
        <v>RK61136</v>
      </c>
      <c r="F550" s="1" t="str">
        <f t="shared" si="9"/>
        <v>ACCT#68930-000/ANIMAL SVCS</v>
      </c>
      <c r="G550" s="3">
        <v>15.77</v>
      </c>
      <c r="H550" s="1" t="str">
        <f t="shared" si="10"/>
        <v>ACCT#68930-000/ANIMAL SVCS</v>
      </c>
    </row>
    <row r="551" spans="1:9" x14ac:dyDescent="0.25">
      <c r="E551" s="1" t="str">
        <f>"RK80006"</f>
        <v>RK80006</v>
      </c>
      <c r="F551" s="1" t="str">
        <f t="shared" si="9"/>
        <v>ACCT#68930-000/ANIMAL SVCS</v>
      </c>
      <c r="G551" s="3">
        <v>61.04</v>
      </c>
      <c r="H551" s="1" t="str">
        <f t="shared" si="10"/>
        <v>ACCT#68930-000/ANIMAL SVCS</v>
      </c>
    </row>
    <row r="552" spans="1:9" x14ac:dyDescent="0.25">
      <c r="E552" s="1" t="str">
        <f>"RK82886"</f>
        <v>RK82886</v>
      </c>
      <c r="F552" s="1" t="str">
        <f t="shared" si="9"/>
        <v>ACCT#68930-000/ANIMAL SVCS</v>
      </c>
      <c r="G552" s="3">
        <v>77.349999999999994</v>
      </c>
      <c r="H552" s="1" t="str">
        <f t="shared" si="10"/>
        <v>ACCT#68930-000/ANIMAL SVCS</v>
      </c>
    </row>
    <row r="553" spans="1:9" x14ac:dyDescent="0.25">
      <c r="E553" s="1" t="str">
        <f>"RK83270"</f>
        <v>RK83270</v>
      </c>
      <c r="F553" s="1" t="str">
        <f t="shared" si="9"/>
        <v>ACCT#68930-000/ANIMAL SVCS</v>
      </c>
      <c r="G553" s="3">
        <v>160.43</v>
      </c>
      <c r="H553" s="1" t="str">
        <f t="shared" si="10"/>
        <v>ACCT#68930-000/ANIMAL SVCS</v>
      </c>
    </row>
    <row r="554" spans="1:9" x14ac:dyDescent="0.25">
      <c r="E554" s="1" t="str">
        <f>"RK89305"</f>
        <v>RK89305</v>
      </c>
      <c r="F554" s="1" t="str">
        <f t="shared" si="9"/>
        <v>ACCT#68930-000/ANIMAL SVCS</v>
      </c>
      <c r="G554" s="3">
        <v>133.51</v>
      </c>
      <c r="H554" s="1" t="str">
        <f t="shared" si="10"/>
        <v>ACCT#68930-000/ANIMAL SVCS</v>
      </c>
    </row>
    <row r="555" spans="1:9" x14ac:dyDescent="0.25">
      <c r="E555" s="1" t="str">
        <f>"RL07484"</f>
        <v>RL07484</v>
      </c>
      <c r="F555" s="1" t="str">
        <f t="shared" si="9"/>
        <v>ACCT#68930-000/ANIMAL SVCS</v>
      </c>
      <c r="G555" s="3">
        <v>399.42</v>
      </c>
      <c r="H555" s="1" t="str">
        <f t="shared" si="10"/>
        <v>ACCT#68930-000/ANIMAL SVCS</v>
      </c>
    </row>
    <row r="556" spans="1:9" x14ac:dyDescent="0.25">
      <c r="A556" s="1" t="s">
        <v>169</v>
      </c>
      <c r="B556" s="1">
        <v>83147</v>
      </c>
      <c r="C556" s="3">
        <v>130.41999999999999</v>
      </c>
      <c r="D556" s="2">
        <v>43668</v>
      </c>
      <c r="E556" s="1" t="str">
        <f>"0005904387-IN"</f>
        <v>0005904387-IN</v>
      </c>
      <c r="F556" s="1" t="str">
        <f>"INV 0005904387-IN"</f>
        <v>INV 0005904387-IN</v>
      </c>
      <c r="G556" s="3">
        <v>130.41999999999999</v>
      </c>
      <c r="H556" s="1" t="str">
        <f>"INV 0005904387-IN"</f>
        <v>INV 0005904387-IN</v>
      </c>
    </row>
    <row r="557" spans="1:9" x14ac:dyDescent="0.25">
      <c r="A557" s="1" t="s">
        <v>170</v>
      </c>
      <c r="B557" s="1">
        <v>83148</v>
      </c>
      <c r="C557" s="3">
        <v>100</v>
      </c>
      <c r="D557" s="2">
        <v>43668</v>
      </c>
      <c r="E557" s="1" t="s">
        <v>171</v>
      </c>
      <c r="F557" s="1" t="s">
        <v>172</v>
      </c>
      <c r="G557" s="3" t="str">
        <f>"RESTITUTION - M. FELTS"</f>
        <v>RESTITUTION - M. FELTS</v>
      </c>
      <c r="H557" s="1" t="str">
        <f>"210-0000"</f>
        <v>210-0000</v>
      </c>
      <c r="I557" s="1" t="str">
        <f>""</f>
        <v/>
      </c>
    </row>
    <row r="558" spans="1:9" x14ac:dyDescent="0.25">
      <c r="A558" s="1" t="s">
        <v>173</v>
      </c>
      <c r="B558" s="1">
        <v>82911</v>
      </c>
      <c r="C558" s="3">
        <v>286.14</v>
      </c>
      <c r="D558" s="2">
        <v>43654</v>
      </c>
      <c r="E558" s="1" t="str">
        <f>"S101932362.001"</f>
        <v>S101932362.001</v>
      </c>
      <c r="F558" s="1" t="str">
        <f>"INV S101932362.001"</f>
        <v>INV S101932362.001</v>
      </c>
      <c r="G558" s="3">
        <v>286.14</v>
      </c>
      <c r="H558" s="1" t="str">
        <f>"INV S101932362.001"</f>
        <v>INV S101932362.001</v>
      </c>
    </row>
    <row r="559" spans="1:9" x14ac:dyDescent="0.25">
      <c r="A559" s="1" t="s">
        <v>174</v>
      </c>
      <c r="B559" s="1">
        <v>82912</v>
      </c>
      <c r="C559" s="3">
        <v>214.6</v>
      </c>
      <c r="D559" s="2">
        <v>43654</v>
      </c>
      <c r="E559" s="1" t="str">
        <f>"201906280182"</f>
        <v>201906280182</v>
      </c>
      <c r="F559" s="1" t="str">
        <f>"MILEAGE REIMBURSEMENT-MARCH"</f>
        <v>MILEAGE REIMBURSEMENT-MARCH</v>
      </c>
      <c r="G559" s="3">
        <v>107.88</v>
      </c>
      <c r="H559" s="1" t="str">
        <f>"MILEAGE REIMBURSEMENT-MARCH"</f>
        <v>MILEAGE REIMBURSEMENT-MARCH</v>
      </c>
    </row>
    <row r="560" spans="1:9" x14ac:dyDescent="0.25">
      <c r="E560" s="1" t="str">
        <f>"201906280183"</f>
        <v>201906280183</v>
      </c>
      <c r="F560" s="1" t="str">
        <f>"MILEAGE REIMBURSEMENT-APRIL"</f>
        <v>MILEAGE REIMBURSEMENT-APRIL</v>
      </c>
      <c r="G560" s="3">
        <v>106.72</v>
      </c>
      <c r="H560" s="1" t="str">
        <f>"MILEAGE REIMBURSEMENT-APRIL"</f>
        <v>MILEAGE REIMBURSEMENT-APRIL</v>
      </c>
    </row>
    <row r="561" spans="1:8" x14ac:dyDescent="0.25">
      <c r="A561" s="1" t="s">
        <v>175</v>
      </c>
      <c r="B561" s="1">
        <v>1121</v>
      </c>
      <c r="C561" s="3">
        <v>650</v>
      </c>
      <c r="D561" s="2">
        <v>43669</v>
      </c>
      <c r="E561" s="1" t="str">
        <f>"201907170599"</f>
        <v>201907170599</v>
      </c>
      <c r="F561" s="1" t="str">
        <f>"BASCOM L HODGES JR"</f>
        <v>BASCOM L HODGES JR</v>
      </c>
      <c r="G561" s="3">
        <v>650</v>
      </c>
      <c r="H561" s="1" t="str">
        <f>""</f>
        <v/>
      </c>
    </row>
    <row r="562" spans="1:8" x14ac:dyDescent="0.25">
      <c r="A562" s="1" t="s">
        <v>176</v>
      </c>
      <c r="B562" s="1">
        <v>82913</v>
      </c>
      <c r="C562" s="3">
        <v>100</v>
      </c>
      <c r="D562" s="2">
        <v>43654</v>
      </c>
      <c r="E562" s="1" t="str">
        <f>"201906250086"</f>
        <v>201906250086</v>
      </c>
      <c r="F562" s="1" t="str">
        <f>"423-225"</f>
        <v>423-225</v>
      </c>
      <c r="G562" s="3">
        <v>100</v>
      </c>
      <c r="H562" s="1" t="str">
        <f>"423-225"</f>
        <v>423-225</v>
      </c>
    </row>
    <row r="563" spans="1:8" x14ac:dyDescent="0.25">
      <c r="A563" s="1" t="s">
        <v>176</v>
      </c>
      <c r="B563" s="1">
        <v>83149</v>
      </c>
      <c r="C563" s="3">
        <v>1600</v>
      </c>
      <c r="D563" s="2">
        <v>43668</v>
      </c>
      <c r="E563" s="1" t="str">
        <f>"201907150448"</f>
        <v>201907150448</v>
      </c>
      <c r="F563" s="1" t="str">
        <f>"19-19627"</f>
        <v>19-19627</v>
      </c>
      <c r="G563" s="3">
        <v>175</v>
      </c>
      <c r="H563" s="1" t="str">
        <f>"19-19627"</f>
        <v>19-19627</v>
      </c>
    </row>
    <row r="564" spans="1:8" x14ac:dyDescent="0.25">
      <c r="E564" s="1" t="str">
        <f>"201907150449"</f>
        <v>201907150449</v>
      </c>
      <c r="F564" s="1" t="str">
        <f>"17-18635"</f>
        <v>17-18635</v>
      </c>
      <c r="G564" s="3">
        <v>175</v>
      </c>
      <c r="H564" s="1" t="str">
        <f>"17-18635"</f>
        <v>17-18635</v>
      </c>
    </row>
    <row r="565" spans="1:8" x14ac:dyDescent="0.25">
      <c r="E565" s="1" t="str">
        <f>"201907160463"</f>
        <v>201907160463</v>
      </c>
      <c r="F565" s="1" t="str">
        <f>"56 591"</f>
        <v>56 591</v>
      </c>
      <c r="G565" s="3">
        <v>250</v>
      </c>
      <c r="H565" s="1" t="str">
        <f>"56 591"</f>
        <v>56 591</v>
      </c>
    </row>
    <row r="566" spans="1:8" x14ac:dyDescent="0.25">
      <c r="E566" s="1" t="str">
        <f>"201907160464"</f>
        <v>201907160464</v>
      </c>
      <c r="F566" s="1" t="str">
        <f>"56 840"</f>
        <v>56 840</v>
      </c>
      <c r="G566" s="3">
        <v>250</v>
      </c>
      <c r="H566" s="1" t="str">
        <f>"56 840"</f>
        <v>56 840</v>
      </c>
    </row>
    <row r="567" spans="1:8" x14ac:dyDescent="0.25">
      <c r="E567" s="1" t="str">
        <f>"201907160465"</f>
        <v>201907160465</v>
      </c>
      <c r="F567" s="1" t="str">
        <f>"56 728"</f>
        <v>56 728</v>
      </c>
      <c r="G567" s="3">
        <v>250</v>
      </c>
      <c r="H567" s="1" t="str">
        <f>"56 728"</f>
        <v>56 728</v>
      </c>
    </row>
    <row r="568" spans="1:8" x14ac:dyDescent="0.25">
      <c r="E568" s="1" t="str">
        <f>"201907160557"</f>
        <v>201907160557</v>
      </c>
      <c r="F568" s="1" t="str">
        <f>"10-13800"</f>
        <v>10-13800</v>
      </c>
      <c r="G568" s="3">
        <v>100</v>
      </c>
      <c r="H568" s="1" t="str">
        <f>"10-13800"</f>
        <v>10-13800</v>
      </c>
    </row>
    <row r="569" spans="1:8" x14ac:dyDescent="0.25">
      <c r="E569" s="1" t="str">
        <f>"201907160558"</f>
        <v>201907160558</v>
      </c>
      <c r="F569" s="1" t="str">
        <f>"03-8253"</f>
        <v>03-8253</v>
      </c>
      <c r="G569" s="3">
        <v>100</v>
      </c>
      <c r="H569" s="1" t="str">
        <f>"03-8253"</f>
        <v>03-8253</v>
      </c>
    </row>
    <row r="570" spans="1:8" x14ac:dyDescent="0.25">
      <c r="E570" s="1" t="str">
        <f>"201907160559"</f>
        <v>201907160559</v>
      </c>
      <c r="F570" s="1" t="str">
        <f>"11-14791"</f>
        <v>11-14791</v>
      </c>
      <c r="G570" s="3">
        <v>100</v>
      </c>
      <c r="H570" s="1" t="str">
        <f>"11-14791"</f>
        <v>11-14791</v>
      </c>
    </row>
    <row r="571" spans="1:8" x14ac:dyDescent="0.25">
      <c r="E571" s="1" t="str">
        <f>"201907160560"</f>
        <v>201907160560</v>
      </c>
      <c r="F571" s="1" t="str">
        <f>"10-14189"</f>
        <v>10-14189</v>
      </c>
      <c r="G571" s="3">
        <v>100</v>
      </c>
      <c r="H571" s="1" t="str">
        <f>"10-14189"</f>
        <v>10-14189</v>
      </c>
    </row>
    <row r="572" spans="1:8" x14ac:dyDescent="0.25">
      <c r="E572" s="1" t="str">
        <f>"201907160561"</f>
        <v>201907160561</v>
      </c>
      <c r="F572" s="1" t="str">
        <f>"06-11142"</f>
        <v>06-11142</v>
      </c>
      <c r="G572" s="3">
        <v>100</v>
      </c>
      <c r="H572" s="1" t="str">
        <f>"06-11142"</f>
        <v>06-11142</v>
      </c>
    </row>
    <row r="573" spans="1:8" x14ac:dyDescent="0.25">
      <c r="A573" s="1" t="s">
        <v>177</v>
      </c>
      <c r="B573" s="1">
        <v>82914</v>
      </c>
      <c r="C573" s="3">
        <v>120.12</v>
      </c>
      <c r="D573" s="2">
        <v>43654</v>
      </c>
      <c r="E573" s="1" t="str">
        <f>"201906250089"</f>
        <v>201906250089</v>
      </c>
      <c r="F573" s="1" t="str">
        <f>"REIMBURSE CONT ED/MILEAGE"</f>
        <v>REIMBURSE CONT ED/MILEAGE</v>
      </c>
      <c r="G573" s="3">
        <v>120.12</v>
      </c>
      <c r="H573" s="1" t="str">
        <f>"REIMBURSE CONT ED/MILEAGE"</f>
        <v>REIMBURSE CONT ED/MILEAGE</v>
      </c>
    </row>
    <row r="574" spans="1:8" x14ac:dyDescent="0.25">
      <c r="A574" s="1" t="s">
        <v>178</v>
      </c>
      <c r="B574" s="1">
        <v>82915</v>
      </c>
      <c r="C574" s="3">
        <v>3073.01</v>
      </c>
      <c r="D574" s="2">
        <v>43654</v>
      </c>
      <c r="E574" s="1" t="str">
        <f>"PIMP0310445"</f>
        <v>PIMP0310445</v>
      </c>
      <c r="F574" s="1" t="str">
        <f>"CUST#0129200/PCT#4"</f>
        <v>CUST#0129200/PCT#4</v>
      </c>
      <c r="G574" s="3">
        <v>3073.01</v>
      </c>
      <c r="H574" s="1" t="str">
        <f>"CUST#0129200/PCT#4"</f>
        <v>CUST#0129200/PCT#4</v>
      </c>
    </row>
    <row r="575" spans="1:8" x14ac:dyDescent="0.25">
      <c r="A575" s="1" t="s">
        <v>179</v>
      </c>
      <c r="B575" s="1">
        <v>83150</v>
      </c>
      <c r="C575" s="3">
        <v>3135</v>
      </c>
      <c r="D575" s="2">
        <v>43668</v>
      </c>
      <c r="E575" s="1" t="str">
        <f>"2263"</f>
        <v>2263</v>
      </c>
      <c r="F575" s="1" t="str">
        <f>"MINI MICROCHIPS"</f>
        <v>MINI MICROCHIPS</v>
      </c>
      <c r="G575" s="3">
        <v>2100</v>
      </c>
      <c r="H575" s="1" t="str">
        <f>"MINI MICROCHIPS"</f>
        <v>MINI MICROCHIPS</v>
      </c>
    </row>
    <row r="576" spans="1:8" x14ac:dyDescent="0.25">
      <c r="E576" s="1" t="str">
        <f>"2264"</f>
        <v>2264</v>
      </c>
      <c r="F576" s="1" t="str">
        <f>"VACCINATIONS/ANIMAL SVCS"</f>
        <v>VACCINATIONS/ANIMAL SVCS</v>
      </c>
      <c r="G576" s="3">
        <v>1035</v>
      </c>
      <c r="H576" s="1" t="str">
        <f>"VACCINATIONS/ANIMAL SVCS"</f>
        <v>VACCINATIONS/ANIMAL SVCS</v>
      </c>
    </row>
    <row r="577" spans="1:8" x14ac:dyDescent="0.25">
      <c r="A577" s="1" t="s">
        <v>180</v>
      </c>
      <c r="B577" s="1">
        <v>83151</v>
      </c>
      <c r="C577" s="3">
        <v>590</v>
      </c>
      <c r="D577" s="2">
        <v>43668</v>
      </c>
      <c r="E577" s="1" t="str">
        <f>"SL2019-06_00007"</f>
        <v>SL2019-06_00007</v>
      </c>
      <c r="F577" s="1" t="str">
        <f>"SHELTERLUV SOFTWARE"</f>
        <v>SHELTERLUV SOFTWARE</v>
      </c>
      <c r="G577" s="3">
        <v>590</v>
      </c>
      <c r="H577" s="1" t="str">
        <f>"SHELTERLUV SOFTWARE"</f>
        <v>SHELTERLUV SOFTWARE</v>
      </c>
    </row>
    <row r="578" spans="1:8" x14ac:dyDescent="0.25">
      <c r="A578" s="1" t="s">
        <v>181</v>
      </c>
      <c r="B578" s="1">
        <v>1084</v>
      </c>
      <c r="C578" s="3">
        <v>180</v>
      </c>
      <c r="D578" s="2">
        <v>43669</v>
      </c>
      <c r="E578" s="1" t="str">
        <f>"200883"</f>
        <v>200883</v>
      </c>
      <c r="F578" s="1" t="str">
        <f>"CYLINDER/GEN SVCS"</f>
        <v>CYLINDER/GEN SVCS</v>
      </c>
      <c r="G578" s="3">
        <v>180</v>
      </c>
      <c r="H578" s="1" t="str">
        <f>"CYLINDER/GEN SVCS"</f>
        <v>CYLINDER/GEN SVCS</v>
      </c>
    </row>
    <row r="579" spans="1:8" x14ac:dyDescent="0.25">
      <c r="A579" s="1" t="s">
        <v>182</v>
      </c>
      <c r="B579" s="1">
        <v>83152</v>
      </c>
      <c r="C579" s="3">
        <v>201</v>
      </c>
      <c r="D579" s="2">
        <v>43668</v>
      </c>
      <c r="E579" s="1" t="str">
        <f>"3048314956"</f>
        <v>3048314956</v>
      </c>
      <c r="F579" s="1" t="str">
        <f>"ACCT#187947/ANIMAL CONTROL"</f>
        <v>ACCT#187947/ANIMAL CONTROL</v>
      </c>
      <c r="G579" s="3">
        <v>201</v>
      </c>
      <c r="H579" s="1" t="str">
        <f>"ACCT#187947/ANIMAL CONTROL"</f>
        <v>ACCT#187947/ANIMAL CONTROL</v>
      </c>
    </row>
    <row r="580" spans="1:8" x14ac:dyDescent="0.25">
      <c r="A580" s="1" t="s">
        <v>183</v>
      </c>
      <c r="B580" s="1">
        <v>1128</v>
      </c>
      <c r="C580" s="3">
        <v>2430</v>
      </c>
      <c r="D580" s="2">
        <v>43669</v>
      </c>
      <c r="E580" s="1" t="str">
        <f>"68069"</f>
        <v>68069</v>
      </c>
      <c r="F580" s="1" t="str">
        <f>"PROF SVCS-AUGUST 2019"</f>
        <v>PROF SVCS-AUGUST 2019</v>
      </c>
      <c r="G580" s="3">
        <v>2430</v>
      </c>
      <c r="H580" s="1" t="str">
        <f>"PROF SVCS-AUGUST 2019"</f>
        <v>PROF SVCS-AUGUST 2019</v>
      </c>
    </row>
    <row r="581" spans="1:8" x14ac:dyDescent="0.25">
      <c r="E581" s="1" t="str">
        <f>""</f>
        <v/>
      </c>
      <c r="F581" s="1" t="str">
        <f>""</f>
        <v/>
      </c>
      <c r="H581" s="1" t="str">
        <f>"PROF SVCS-AUGUST 2019"</f>
        <v>PROF SVCS-AUGUST 2019</v>
      </c>
    </row>
    <row r="582" spans="1:8" x14ac:dyDescent="0.25">
      <c r="A582" s="1" t="s">
        <v>184</v>
      </c>
      <c r="B582" s="1">
        <v>83153</v>
      </c>
      <c r="C582" s="3">
        <v>374.52</v>
      </c>
      <c r="D582" s="2">
        <v>43668</v>
      </c>
      <c r="E582" s="1" t="str">
        <f>"201907160574"</f>
        <v>201907160574</v>
      </c>
      <c r="F582" s="1" t="str">
        <f>"INDIGENT HEALTH"</f>
        <v>INDIGENT HEALTH</v>
      </c>
      <c r="G582" s="3">
        <v>374.52</v>
      </c>
      <c r="H582" s="1" t="str">
        <f>"INDIGENT HEALTH"</f>
        <v>INDIGENT HEALTH</v>
      </c>
    </row>
    <row r="583" spans="1:8" x14ac:dyDescent="0.25">
      <c r="A583" s="1" t="s">
        <v>185</v>
      </c>
      <c r="B583" s="1">
        <v>83154</v>
      </c>
      <c r="C583" s="3">
        <v>68.760000000000005</v>
      </c>
      <c r="D583" s="2">
        <v>43668</v>
      </c>
      <c r="E583" s="1" t="str">
        <f>"BTHL971"</f>
        <v>BTHL971</v>
      </c>
      <c r="F583" s="1" t="str">
        <f>"CUST ID:AX773/CNTY CLRK/JULY"</f>
        <v>CUST ID:AX773/CNTY CLRK/JULY</v>
      </c>
      <c r="G583" s="3">
        <v>68.760000000000005</v>
      </c>
      <c r="H583" s="1" t="str">
        <f>"CUST ID:AX773/CNTY CLRK/JULY"</f>
        <v>CUST ID:AX773/CNTY CLRK/JULY</v>
      </c>
    </row>
    <row r="584" spans="1:8" x14ac:dyDescent="0.25">
      <c r="A584" s="1" t="s">
        <v>186</v>
      </c>
      <c r="B584" s="1">
        <v>83155</v>
      </c>
      <c r="C584" s="3">
        <v>61</v>
      </c>
      <c r="D584" s="2">
        <v>43668</v>
      </c>
      <c r="E584" s="1" t="str">
        <f>"201907100389"</f>
        <v>201907100389</v>
      </c>
      <c r="F584" s="1" t="str">
        <f>"REFUND RECORDING FEE"</f>
        <v>REFUND RECORDING FEE</v>
      </c>
      <c r="G584" s="3">
        <v>61</v>
      </c>
      <c r="H584" s="1" t="str">
        <f>"REFUND RECORDING FEE"</f>
        <v>REFUND RECORDING FEE</v>
      </c>
    </row>
    <row r="585" spans="1:8" x14ac:dyDescent="0.25">
      <c r="A585" s="1" t="s">
        <v>187</v>
      </c>
      <c r="B585" s="1">
        <v>82916</v>
      </c>
      <c r="C585" s="3">
        <v>2000</v>
      </c>
      <c r="D585" s="2">
        <v>43654</v>
      </c>
      <c r="E585" s="1" t="str">
        <f>"201906270155"</f>
        <v>201906270155</v>
      </c>
      <c r="F585" s="1" t="str">
        <f>"02-05072"</f>
        <v>02-05072</v>
      </c>
      <c r="G585" s="3">
        <v>250</v>
      </c>
      <c r="H585" s="1" t="str">
        <f>"02-05072"</f>
        <v>02-05072</v>
      </c>
    </row>
    <row r="586" spans="1:8" x14ac:dyDescent="0.25">
      <c r="E586" s="1" t="str">
        <f>"201906270156"</f>
        <v>201906270156</v>
      </c>
      <c r="F586" s="1" t="str">
        <f>"301222015B"</f>
        <v>301222015B</v>
      </c>
      <c r="G586" s="3">
        <v>250</v>
      </c>
      <c r="H586" s="1" t="str">
        <f>"301222015B"</f>
        <v>301222015B</v>
      </c>
    </row>
    <row r="587" spans="1:8" x14ac:dyDescent="0.25">
      <c r="E587" s="1" t="str">
        <f>"201906270157"</f>
        <v>201906270157</v>
      </c>
      <c r="F587" s="1" t="str">
        <f>"02-09152"</f>
        <v>02-09152</v>
      </c>
      <c r="G587" s="3">
        <v>250</v>
      </c>
      <c r="H587" s="1" t="str">
        <f>"02-09152"</f>
        <v>02-09152</v>
      </c>
    </row>
    <row r="588" spans="1:8" x14ac:dyDescent="0.25">
      <c r="E588" s="1" t="str">
        <f>"201906270165"</f>
        <v>201906270165</v>
      </c>
      <c r="F588" s="1" t="str">
        <f>"4060341MW"</f>
        <v>4060341MW</v>
      </c>
      <c r="G588" s="3">
        <v>250</v>
      </c>
      <c r="H588" s="1" t="str">
        <f>"4060341MW"</f>
        <v>4060341MW</v>
      </c>
    </row>
    <row r="589" spans="1:8" x14ac:dyDescent="0.25">
      <c r="E589" s="1" t="str">
        <f>"201906270166"</f>
        <v>201906270166</v>
      </c>
      <c r="F589" s="1" t="str">
        <f>"CC20190125A"</f>
        <v>CC20190125A</v>
      </c>
      <c r="G589" s="3">
        <v>250</v>
      </c>
      <c r="H589" s="1" t="str">
        <f>"CC20190125A"</f>
        <v>CC20190125A</v>
      </c>
    </row>
    <row r="590" spans="1:8" x14ac:dyDescent="0.25">
      <c r="E590" s="1" t="str">
        <f>"201906270168"</f>
        <v>201906270168</v>
      </c>
      <c r="F590" s="1" t="str">
        <f>"JP104172019A"</f>
        <v>JP104172019A</v>
      </c>
      <c r="G590" s="3">
        <v>250</v>
      </c>
      <c r="H590" s="1" t="str">
        <f>"JP104172019A"</f>
        <v>JP104172019A</v>
      </c>
    </row>
    <row r="591" spans="1:8" x14ac:dyDescent="0.25">
      <c r="E591" s="1" t="str">
        <f>"201907020243"</f>
        <v>201907020243</v>
      </c>
      <c r="F591" s="1" t="str">
        <f>"10127201914"</f>
        <v>10127201914</v>
      </c>
      <c r="G591" s="3">
        <v>250</v>
      </c>
      <c r="H591" s="1" t="str">
        <f>"10127201914"</f>
        <v>10127201914</v>
      </c>
    </row>
    <row r="592" spans="1:8" x14ac:dyDescent="0.25">
      <c r="E592" s="1" t="str">
        <f>"201907020244"</f>
        <v>201907020244</v>
      </c>
      <c r="F592" s="1" t="str">
        <f>"6020190313B"</f>
        <v>6020190313B</v>
      </c>
      <c r="G592" s="3">
        <v>250</v>
      </c>
      <c r="H592" s="1" t="str">
        <f>"6020190313B"</f>
        <v>6020190313B</v>
      </c>
    </row>
    <row r="593" spans="1:8" x14ac:dyDescent="0.25">
      <c r="A593" s="1" t="s">
        <v>188</v>
      </c>
      <c r="B593" s="1">
        <v>83156</v>
      </c>
      <c r="C593" s="3">
        <v>273.60000000000002</v>
      </c>
      <c r="D593" s="2">
        <v>43668</v>
      </c>
      <c r="E593" s="1" t="str">
        <f>"201907170605"</f>
        <v>201907170605</v>
      </c>
      <c r="F593" s="1" t="str">
        <f>"REIMBURSE-MICROSCOPE REPAIR"</f>
        <v>REIMBURSE-MICROSCOPE REPAIR</v>
      </c>
      <c r="G593" s="3">
        <v>164.34</v>
      </c>
      <c r="H593" s="1" t="str">
        <f>"REIMBURSE-MICROSCOPE REPAIR"</f>
        <v>REIMBURSE-MICROSCOPE REPAIR</v>
      </c>
    </row>
    <row r="594" spans="1:8" x14ac:dyDescent="0.25">
      <c r="E594" s="1" t="str">
        <f>"201907170606"</f>
        <v>201907170606</v>
      </c>
      <c r="F594" s="1" t="str">
        <f>"REIMBURSE-FOOD TRAYS"</f>
        <v>REIMBURSE-FOOD TRAYS</v>
      </c>
      <c r="G594" s="3">
        <v>42.4</v>
      </c>
      <c r="H594" s="1" t="str">
        <f>"REIMBURSE-FOOD TRAYS"</f>
        <v>REIMBURSE-FOOD TRAYS</v>
      </c>
    </row>
    <row r="595" spans="1:8" x14ac:dyDescent="0.25">
      <c r="E595" s="1" t="str">
        <f>"201907170607"</f>
        <v>201907170607</v>
      </c>
      <c r="F595" s="1" t="str">
        <f>"REIMBURSE-BOTTLE ADAPTERS"</f>
        <v>REIMBURSE-BOTTLE ADAPTERS</v>
      </c>
      <c r="G595" s="3">
        <v>66.86</v>
      </c>
      <c r="H595" s="1" t="str">
        <f>"REIMBURSE-BOTTLE ADAPTERS"</f>
        <v>REIMBURSE-BOTTLE ADAPTERS</v>
      </c>
    </row>
    <row r="596" spans="1:8" x14ac:dyDescent="0.25">
      <c r="A596" s="1" t="s">
        <v>189</v>
      </c>
      <c r="B596" s="1">
        <v>83157</v>
      </c>
      <c r="C596" s="3">
        <v>354.28</v>
      </c>
      <c r="D596" s="2">
        <v>43668</v>
      </c>
      <c r="E596" s="1" t="str">
        <f>"201907120414"</f>
        <v>201907120414</v>
      </c>
      <c r="F596" s="1" t="str">
        <f>"NO CAUSE # LISTED"</f>
        <v>NO CAUSE # LISTED</v>
      </c>
      <c r="G596" s="3">
        <v>354.28</v>
      </c>
      <c r="H596" s="1" t="str">
        <f>"NO CAUSE # LISTED"</f>
        <v>NO CAUSE # LISTED</v>
      </c>
    </row>
    <row r="597" spans="1:8" x14ac:dyDescent="0.25">
      <c r="A597" s="1" t="s">
        <v>190</v>
      </c>
      <c r="B597" s="1">
        <v>83158</v>
      </c>
      <c r="C597" s="3">
        <v>70</v>
      </c>
      <c r="D597" s="2">
        <v>43668</v>
      </c>
      <c r="E597" s="1" t="str">
        <f>"12733"</f>
        <v>12733</v>
      </c>
      <c r="F597" s="1" t="str">
        <f>"SERVICE"</f>
        <v>SERVICE</v>
      </c>
      <c r="G597" s="3">
        <v>70</v>
      </c>
      <c r="H597" s="1" t="str">
        <f>"SERVICE"</f>
        <v>SERVICE</v>
      </c>
    </row>
    <row r="598" spans="1:8" x14ac:dyDescent="0.25">
      <c r="A598" s="1" t="s">
        <v>191</v>
      </c>
      <c r="B598" s="1">
        <v>1061</v>
      </c>
      <c r="C598" s="3">
        <v>2150</v>
      </c>
      <c r="D598" s="2">
        <v>43655</v>
      </c>
      <c r="E598" s="1" t="str">
        <f>"12268"</f>
        <v>12268</v>
      </c>
      <c r="F598" s="1" t="str">
        <f t="shared" ref="F598:F608" si="11">"AD LITEM FEE 04/04/19"</f>
        <v>AD LITEM FEE 04/04/19</v>
      </c>
      <c r="G598" s="3">
        <v>150</v>
      </c>
      <c r="H598" s="1" t="str">
        <f t="shared" ref="H598:H608" si="12">"AD LITEM FEE 04/04/19"</f>
        <v>AD LITEM FEE 04/04/19</v>
      </c>
    </row>
    <row r="599" spans="1:8" x14ac:dyDescent="0.25">
      <c r="E599" s="1" t="str">
        <f>"12756"</f>
        <v>12756</v>
      </c>
      <c r="F599" s="1" t="str">
        <f t="shared" si="11"/>
        <v>AD LITEM FEE 04/04/19</v>
      </c>
      <c r="G599" s="3">
        <v>150</v>
      </c>
      <c r="H599" s="1" t="str">
        <f t="shared" si="12"/>
        <v>AD LITEM FEE 04/04/19</v>
      </c>
    </row>
    <row r="600" spans="1:8" x14ac:dyDescent="0.25">
      <c r="E600" s="1" t="str">
        <f>"12765"</f>
        <v>12765</v>
      </c>
      <c r="F600" s="1" t="str">
        <f t="shared" si="11"/>
        <v>AD LITEM FEE 04/04/19</v>
      </c>
      <c r="G600" s="3">
        <v>150</v>
      </c>
      <c r="H600" s="1" t="str">
        <f t="shared" si="12"/>
        <v>AD LITEM FEE 04/04/19</v>
      </c>
    </row>
    <row r="601" spans="1:8" x14ac:dyDescent="0.25">
      <c r="E601" s="1" t="str">
        <f>"12846"</f>
        <v>12846</v>
      </c>
      <c r="F601" s="1" t="str">
        <f t="shared" si="11"/>
        <v>AD LITEM FEE 04/04/19</v>
      </c>
      <c r="G601" s="3">
        <v>150</v>
      </c>
      <c r="H601" s="1" t="str">
        <f t="shared" si="12"/>
        <v>AD LITEM FEE 04/04/19</v>
      </c>
    </row>
    <row r="602" spans="1:8" x14ac:dyDescent="0.25">
      <c r="E602" s="1" t="str">
        <f>"12850"</f>
        <v>12850</v>
      </c>
      <c r="F602" s="1" t="str">
        <f t="shared" si="11"/>
        <v>AD LITEM FEE 04/04/19</v>
      </c>
      <c r="G602" s="3">
        <v>150</v>
      </c>
      <c r="H602" s="1" t="str">
        <f t="shared" si="12"/>
        <v>AD LITEM FEE 04/04/19</v>
      </c>
    </row>
    <row r="603" spans="1:8" x14ac:dyDescent="0.25">
      <c r="E603" s="1" t="str">
        <f>"12870"</f>
        <v>12870</v>
      </c>
      <c r="F603" s="1" t="str">
        <f t="shared" si="11"/>
        <v>AD LITEM FEE 04/04/19</v>
      </c>
      <c r="G603" s="3">
        <v>150</v>
      </c>
      <c r="H603" s="1" t="str">
        <f t="shared" si="12"/>
        <v>AD LITEM FEE 04/04/19</v>
      </c>
    </row>
    <row r="604" spans="1:8" x14ac:dyDescent="0.25">
      <c r="E604" s="1" t="str">
        <f>"12871"</f>
        <v>12871</v>
      </c>
      <c r="F604" s="1" t="str">
        <f t="shared" si="11"/>
        <v>AD LITEM FEE 04/04/19</v>
      </c>
      <c r="G604" s="3">
        <v>150</v>
      </c>
      <c r="H604" s="1" t="str">
        <f t="shared" si="12"/>
        <v>AD LITEM FEE 04/04/19</v>
      </c>
    </row>
    <row r="605" spans="1:8" x14ac:dyDescent="0.25">
      <c r="E605" s="1" t="str">
        <f>"12907"</f>
        <v>12907</v>
      </c>
      <c r="F605" s="1" t="str">
        <f t="shared" si="11"/>
        <v>AD LITEM FEE 04/04/19</v>
      </c>
      <c r="G605" s="3">
        <v>150</v>
      </c>
      <c r="H605" s="1" t="str">
        <f t="shared" si="12"/>
        <v>AD LITEM FEE 04/04/19</v>
      </c>
    </row>
    <row r="606" spans="1:8" x14ac:dyDescent="0.25">
      <c r="E606" s="1" t="str">
        <f>"12909"</f>
        <v>12909</v>
      </c>
      <c r="F606" s="1" t="str">
        <f t="shared" si="11"/>
        <v>AD LITEM FEE 04/04/19</v>
      </c>
      <c r="G606" s="3">
        <v>150</v>
      </c>
      <c r="H606" s="1" t="str">
        <f t="shared" si="12"/>
        <v>AD LITEM FEE 04/04/19</v>
      </c>
    </row>
    <row r="607" spans="1:8" x14ac:dyDescent="0.25">
      <c r="E607" s="1" t="str">
        <f>"12932"</f>
        <v>12932</v>
      </c>
      <c r="F607" s="1" t="str">
        <f t="shared" si="11"/>
        <v>AD LITEM FEE 04/04/19</v>
      </c>
      <c r="G607" s="3">
        <v>150</v>
      </c>
      <c r="H607" s="1" t="str">
        <f t="shared" si="12"/>
        <v>AD LITEM FEE 04/04/19</v>
      </c>
    </row>
    <row r="608" spans="1:8" x14ac:dyDescent="0.25">
      <c r="E608" s="1" t="str">
        <f>"12933"</f>
        <v>12933</v>
      </c>
      <c r="F608" s="1" t="str">
        <f t="shared" si="11"/>
        <v>AD LITEM FEE 04/04/19</v>
      </c>
      <c r="G608" s="3">
        <v>150</v>
      </c>
      <c r="H608" s="1" t="str">
        <f t="shared" si="12"/>
        <v>AD LITEM FEE 04/04/19</v>
      </c>
    </row>
    <row r="609" spans="1:8" x14ac:dyDescent="0.25">
      <c r="E609" s="1" t="str">
        <f>"201906270164"</f>
        <v>201906270164</v>
      </c>
      <c r="F609" s="1" t="str">
        <f>"56 752"</f>
        <v>56 752</v>
      </c>
      <c r="G609" s="3">
        <v>250</v>
      </c>
      <c r="H609" s="1" t="str">
        <f>"56 752"</f>
        <v>56 752</v>
      </c>
    </row>
    <row r="610" spans="1:8" x14ac:dyDescent="0.25">
      <c r="E610" s="1" t="str">
        <f>"201906270169"</f>
        <v>201906270169</v>
      </c>
      <c r="F610" s="1" t="str">
        <f>"402015.2/919.955.3451/15-8-006"</f>
        <v>402015.2/919.955.3451/15-8-006</v>
      </c>
      <c r="G610" s="3">
        <v>250</v>
      </c>
      <c r="H610" s="1" t="str">
        <f>"402015.2/919.955.3451/15-8-006"</f>
        <v>402015.2/919.955.3451/15-8-006</v>
      </c>
    </row>
    <row r="611" spans="1:8" x14ac:dyDescent="0.25">
      <c r="A611" s="1" t="s">
        <v>191</v>
      </c>
      <c r="B611" s="1">
        <v>1139</v>
      </c>
      <c r="C611" s="3">
        <v>800</v>
      </c>
      <c r="D611" s="2">
        <v>43669</v>
      </c>
      <c r="E611" s="1" t="str">
        <f>"12733"</f>
        <v>12733</v>
      </c>
      <c r="F611" s="1" t="str">
        <f>"AD LITEM FEE"</f>
        <v>AD LITEM FEE</v>
      </c>
      <c r="G611" s="3">
        <v>150</v>
      </c>
      <c r="H611" s="1" t="str">
        <f>"AD LITEM FEE"</f>
        <v>AD LITEM FEE</v>
      </c>
    </row>
    <row r="612" spans="1:8" x14ac:dyDescent="0.25">
      <c r="E612" s="1" t="str">
        <f>"201907150442"</f>
        <v>201907150442</v>
      </c>
      <c r="F612" s="1" t="str">
        <f>"19-197311"</f>
        <v>19-197311</v>
      </c>
      <c r="G612" s="3">
        <v>100</v>
      </c>
      <c r="H612" s="1" t="str">
        <f>"19-197311"</f>
        <v>19-197311</v>
      </c>
    </row>
    <row r="613" spans="1:8" x14ac:dyDescent="0.25">
      <c r="E613" s="1" t="str">
        <f>"201907150443"</f>
        <v>201907150443</v>
      </c>
      <c r="F613" s="1" t="str">
        <f>"18-18908"</f>
        <v>18-18908</v>
      </c>
      <c r="G613" s="3">
        <v>100</v>
      </c>
      <c r="H613" s="1" t="str">
        <f>"18-18908"</f>
        <v>18-18908</v>
      </c>
    </row>
    <row r="614" spans="1:8" x14ac:dyDescent="0.25">
      <c r="E614" s="1" t="str">
        <f>"201907150444"</f>
        <v>201907150444</v>
      </c>
      <c r="F614" s="1" t="str">
        <f>"18-19156"</f>
        <v>18-19156</v>
      </c>
      <c r="G614" s="3">
        <v>100</v>
      </c>
      <c r="H614" s="1" t="str">
        <f>"18-19156"</f>
        <v>18-19156</v>
      </c>
    </row>
    <row r="615" spans="1:8" x14ac:dyDescent="0.25">
      <c r="E615" s="1" t="str">
        <f>"201907150450"</f>
        <v>201907150450</v>
      </c>
      <c r="F615" s="1" t="str">
        <f>"19-19632"</f>
        <v>19-19632</v>
      </c>
      <c r="G615" s="3">
        <v>100</v>
      </c>
      <c r="H615" s="1" t="str">
        <f>"19-19632"</f>
        <v>19-19632</v>
      </c>
    </row>
    <row r="616" spans="1:8" x14ac:dyDescent="0.25">
      <c r="E616" s="1" t="str">
        <f>"201907150453"</f>
        <v>201907150453</v>
      </c>
      <c r="F616" s="1" t="str">
        <f>"56 031"</f>
        <v>56 031</v>
      </c>
      <c r="G616" s="3">
        <v>250</v>
      </c>
      <c r="H616" s="1" t="str">
        <f>"56 031"</f>
        <v>56 031</v>
      </c>
    </row>
    <row r="617" spans="1:8" x14ac:dyDescent="0.25">
      <c r="A617" s="1" t="s">
        <v>192</v>
      </c>
      <c r="B617" s="1">
        <v>82917</v>
      </c>
      <c r="C617" s="3">
        <v>2135</v>
      </c>
      <c r="D617" s="2">
        <v>43654</v>
      </c>
      <c r="E617" s="1" t="str">
        <f>"201907010238"</f>
        <v>201907010238</v>
      </c>
      <c r="F617" s="1" t="str">
        <f>"TRANSCRIBE"</f>
        <v>TRANSCRIBE</v>
      </c>
      <c r="G617" s="3">
        <v>2135</v>
      </c>
      <c r="H617" s="1" t="str">
        <f>"TRANSCRIBE"</f>
        <v>TRANSCRIBE</v>
      </c>
    </row>
    <row r="618" spans="1:8" x14ac:dyDescent="0.25">
      <c r="A618" s="1" t="s">
        <v>193</v>
      </c>
      <c r="B618" s="1">
        <v>82918</v>
      </c>
      <c r="C618" s="3">
        <v>301.36</v>
      </c>
      <c r="D618" s="2">
        <v>43654</v>
      </c>
      <c r="E618" s="1" t="str">
        <f>"458914"</f>
        <v>458914</v>
      </c>
      <c r="F618" s="1" t="str">
        <f>"FILTER ORDER"</f>
        <v>FILTER ORDER</v>
      </c>
      <c r="G618" s="3">
        <v>301.36</v>
      </c>
      <c r="H618" s="1" t="str">
        <f>"FILTER ORDER"</f>
        <v>FILTER ORDER</v>
      </c>
    </row>
    <row r="619" spans="1:8" x14ac:dyDescent="0.25">
      <c r="A619" s="1" t="s">
        <v>194</v>
      </c>
      <c r="B619" s="1">
        <v>82919</v>
      </c>
      <c r="C619" s="3">
        <v>2383.0700000000002</v>
      </c>
      <c r="D619" s="2">
        <v>43654</v>
      </c>
      <c r="E619" s="1" t="str">
        <f>"201907010202"</f>
        <v>201907010202</v>
      </c>
      <c r="F619" s="1" t="str">
        <f>"ACCT#8850283308/PCT#1"</f>
        <v>ACCT#8850283308/PCT#1</v>
      </c>
      <c r="G619" s="3">
        <v>285.63</v>
      </c>
      <c r="H619" s="1" t="str">
        <f>"ACCT#8850283308/PCT#1"</f>
        <v>ACCT#8850283308/PCT#1</v>
      </c>
    </row>
    <row r="620" spans="1:8" x14ac:dyDescent="0.25">
      <c r="E620" s="1" t="str">
        <f>"201907010204"</f>
        <v>201907010204</v>
      </c>
      <c r="F620" s="1" t="str">
        <f>"ACCT#8850283308/PCT#2"</f>
        <v>ACCT#8850283308/PCT#2</v>
      </c>
      <c r="G620" s="3">
        <v>182.15</v>
      </c>
      <c r="H620" s="1" t="str">
        <f>"ACCT#8850283308/PCT#2"</f>
        <v>ACCT#8850283308/PCT#2</v>
      </c>
    </row>
    <row r="621" spans="1:8" x14ac:dyDescent="0.25">
      <c r="E621" s="1" t="str">
        <f>"201907010205"</f>
        <v>201907010205</v>
      </c>
      <c r="F621" s="1" t="str">
        <f>"ACCT#8850283308/PCT#4"</f>
        <v>ACCT#8850283308/PCT#4</v>
      </c>
      <c r="G621" s="3">
        <v>1915.29</v>
      </c>
      <c r="H621" s="1" t="str">
        <f>"ACCT#8850283308/PCT#4"</f>
        <v>ACCT#8850283308/PCT#4</v>
      </c>
    </row>
    <row r="622" spans="1:8" x14ac:dyDescent="0.25">
      <c r="A622" s="1" t="s">
        <v>195</v>
      </c>
      <c r="B622" s="1">
        <v>82920</v>
      </c>
      <c r="C622" s="3">
        <v>925</v>
      </c>
      <c r="D622" s="2">
        <v>43654</v>
      </c>
      <c r="E622" s="1" t="str">
        <f>"201906270162"</f>
        <v>201906270162</v>
      </c>
      <c r="F622" s="1" t="str">
        <f>"28058"</f>
        <v>28058</v>
      </c>
      <c r="G622" s="3">
        <v>250</v>
      </c>
      <c r="H622" s="1" t="str">
        <f>"28058"</f>
        <v>28058</v>
      </c>
    </row>
    <row r="623" spans="1:8" x14ac:dyDescent="0.25">
      <c r="E623" s="1" t="str">
        <f>"201907020240"</f>
        <v>201907020240</v>
      </c>
      <c r="F623" s="1" t="str">
        <f>"19-19619"</f>
        <v>19-19619</v>
      </c>
      <c r="G623" s="3">
        <v>675</v>
      </c>
      <c r="H623" s="1" t="str">
        <f>"19-19619"</f>
        <v>19-19619</v>
      </c>
    </row>
    <row r="624" spans="1:8" x14ac:dyDescent="0.25">
      <c r="A624" s="1" t="s">
        <v>195</v>
      </c>
      <c r="B624" s="1">
        <v>83159</v>
      </c>
      <c r="C624" s="3">
        <v>775</v>
      </c>
      <c r="D624" s="2">
        <v>43668</v>
      </c>
      <c r="E624" s="1" t="str">
        <f>"201907150432"</f>
        <v>201907150432</v>
      </c>
      <c r="F624" s="1" t="str">
        <f>"J-3177  05/28/19"</f>
        <v>J-3177  05/28/19</v>
      </c>
      <c r="G624" s="3">
        <v>100</v>
      </c>
      <c r="H624" s="1" t="str">
        <f>"J-3177  05/28/19"</f>
        <v>J-3177  05/28/19</v>
      </c>
    </row>
    <row r="625" spans="1:8" x14ac:dyDescent="0.25">
      <c r="E625" s="1" t="str">
        <f>"201907150440"</f>
        <v>201907150440</v>
      </c>
      <c r="F625" s="1" t="str">
        <f>"19-19632"</f>
        <v>19-19632</v>
      </c>
      <c r="G625" s="3">
        <v>175</v>
      </c>
      <c r="H625" s="1" t="str">
        <f>"19-19632"</f>
        <v>19-19632</v>
      </c>
    </row>
    <row r="626" spans="1:8" x14ac:dyDescent="0.25">
      <c r="E626" s="1" t="str">
        <f>"201907150451"</f>
        <v>201907150451</v>
      </c>
      <c r="F626" s="1" t="str">
        <f>"CPS 19-19537"</f>
        <v>CPS 19-19537</v>
      </c>
      <c r="G626" s="3">
        <v>250</v>
      </c>
      <c r="H626" s="1" t="str">
        <f>"CPS 19-19537"</f>
        <v>CPS 19-19537</v>
      </c>
    </row>
    <row r="627" spans="1:8" x14ac:dyDescent="0.25">
      <c r="E627" s="1" t="str">
        <f>"201907160554"</f>
        <v>201907160554</v>
      </c>
      <c r="F627" s="1" t="str">
        <f>"02*0519*1"</f>
        <v>02*0519*1</v>
      </c>
      <c r="G627" s="3">
        <v>250</v>
      </c>
      <c r="H627" s="1" t="str">
        <f>"02*0519*1"</f>
        <v>02*0519*1</v>
      </c>
    </row>
    <row r="628" spans="1:8" x14ac:dyDescent="0.25">
      <c r="A628" s="1" t="s">
        <v>196</v>
      </c>
      <c r="B628" s="1">
        <v>83160</v>
      </c>
      <c r="C628" s="3">
        <v>250</v>
      </c>
      <c r="D628" s="2">
        <v>43668</v>
      </c>
      <c r="E628" s="1" t="str">
        <f>"201907100398"</f>
        <v>201907100398</v>
      </c>
      <c r="F628" s="1" t="str">
        <f>"REFUND-CITATION FEE"</f>
        <v>REFUND-CITATION FEE</v>
      </c>
      <c r="G628" s="3">
        <v>250</v>
      </c>
      <c r="H628" s="1" t="str">
        <f>"REFUND-CITATION FEE"</f>
        <v>REFUND-CITATION FEE</v>
      </c>
    </row>
    <row r="629" spans="1:8" x14ac:dyDescent="0.25">
      <c r="A629" s="1" t="s">
        <v>197</v>
      </c>
      <c r="B629" s="1">
        <v>1054</v>
      </c>
      <c r="C629" s="3">
        <v>2850</v>
      </c>
      <c r="D629" s="2">
        <v>43655</v>
      </c>
      <c r="E629" s="1" t="str">
        <f>"201906250090"</f>
        <v>201906250090</v>
      </c>
      <c r="F629" s="1" t="str">
        <f>"1181-21"</f>
        <v>1181-21</v>
      </c>
      <c r="G629" s="3">
        <v>100</v>
      </c>
      <c r="H629" s="1" t="str">
        <f>"1181-21"</f>
        <v>1181-21</v>
      </c>
    </row>
    <row r="630" spans="1:8" x14ac:dyDescent="0.25">
      <c r="E630" s="1" t="str">
        <f>"201906270111"</f>
        <v>201906270111</v>
      </c>
      <c r="F630" s="1" t="str">
        <f>"16873"</f>
        <v>16873</v>
      </c>
      <c r="G630" s="3">
        <v>400</v>
      </c>
      <c r="H630" s="1" t="str">
        <f>"16873"</f>
        <v>16873</v>
      </c>
    </row>
    <row r="631" spans="1:8" x14ac:dyDescent="0.25">
      <c r="E631" s="1" t="str">
        <f>"201906270112"</f>
        <v>201906270112</v>
      </c>
      <c r="F631" s="1" t="str">
        <f>"16680  1JP9718C"</f>
        <v>16680  1JP9718C</v>
      </c>
      <c r="G631" s="3">
        <v>600</v>
      </c>
      <c r="H631" s="1" t="str">
        <f>"16680  1JP9718C"</f>
        <v>16680  1JP9718C</v>
      </c>
    </row>
    <row r="632" spans="1:8" x14ac:dyDescent="0.25">
      <c r="E632" s="1" t="str">
        <f>"201906270145"</f>
        <v>201906270145</v>
      </c>
      <c r="F632" s="1" t="str">
        <f>"JP10416201919"</f>
        <v>JP10416201919</v>
      </c>
      <c r="G632" s="3">
        <v>250</v>
      </c>
      <c r="H632" s="1" t="str">
        <f>"JP10416201919"</f>
        <v>JP10416201919</v>
      </c>
    </row>
    <row r="633" spans="1:8" x14ac:dyDescent="0.25">
      <c r="E633" s="1" t="str">
        <f>"201906270146"</f>
        <v>201906270146</v>
      </c>
      <c r="F633" s="1" t="str">
        <f>"401195.IM"</f>
        <v>401195.IM</v>
      </c>
      <c r="G633" s="3">
        <v>250</v>
      </c>
      <c r="H633" s="1" t="str">
        <f>"401195.IM"</f>
        <v>401195.IM</v>
      </c>
    </row>
    <row r="634" spans="1:8" x14ac:dyDescent="0.25">
      <c r="E634" s="1" t="str">
        <f>"201906270147"</f>
        <v>201906270147</v>
      </c>
      <c r="F634" s="1" t="str">
        <f>"1JP9718D  1JP9718B"</f>
        <v>1JP9718D  1JP9718B</v>
      </c>
      <c r="G634" s="3">
        <v>375</v>
      </c>
      <c r="H634" s="1" t="str">
        <f>"1JP9718D  1JP9718B"</f>
        <v>1JP9718D  1JP9718B</v>
      </c>
    </row>
    <row r="635" spans="1:8" x14ac:dyDescent="0.25">
      <c r="E635" s="1" t="str">
        <f>"201906270149"</f>
        <v>201906270149</v>
      </c>
      <c r="F635" s="1" t="str">
        <f>"56753"</f>
        <v>56753</v>
      </c>
      <c r="G635" s="3">
        <v>250</v>
      </c>
      <c r="H635" s="1" t="str">
        <f>"56753"</f>
        <v>56753</v>
      </c>
    </row>
    <row r="636" spans="1:8" x14ac:dyDescent="0.25">
      <c r="E636" s="1" t="str">
        <f>"201906280196"</f>
        <v>201906280196</v>
      </c>
      <c r="F636" s="1" t="str">
        <f>"56792  02-527-1/3/4"</f>
        <v>56792  02-527-1/3/4</v>
      </c>
      <c r="G636" s="3">
        <v>625</v>
      </c>
      <c r="H636" s="1" t="str">
        <f>"56792  02-527-1/3/4"</f>
        <v>56792  02-527-1/3/4</v>
      </c>
    </row>
    <row r="637" spans="1:8" x14ac:dyDescent="0.25">
      <c r="A637" s="1" t="s">
        <v>197</v>
      </c>
      <c r="B637" s="1">
        <v>1132</v>
      </c>
      <c r="C637" s="3">
        <v>1525</v>
      </c>
      <c r="D637" s="2">
        <v>43669</v>
      </c>
      <c r="E637" s="1" t="str">
        <f>"201907090298"</f>
        <v>201907090298</v>
      </c>
      <c r="F637" s="1" t="str">
        <f>"02-0527-5"</f>
        <v>02-0527-5</v>
      </c>
      <c r="G637" s="3">
        <v>400</v>
      </c>
      <c r="H637" s="1" t="str">
        <f>"02-0527-5"</f>
        <v>02-0527-5</v>
      </c>
    </row>
    <row r="638" spans="1:8" x14ac:dyDescent="0.25">
      <c r="E638" s="1" t="str">
        <f>"201907150455"</f>
        <v>201907150455</v>
      </c>
      <c r="F638" s="1" t="str">
        <f>"303222019K  303222019L"</f>
        <v>303222019K  303222019L</v>
      </c>
      <c r="G638" s="3">
        <v>375</v>
      </c>
      <c r="H638" s="1" t="str">
        <f>"303222019K  303222019L"</f>
        <v>303222019K  303222019L</v>
      </c>
    </row>
    <row r="639" spans="1:8" x14ac:dyDescent="0.25">
      <c r="E639" s="1" t="str">
        <f>"201907150456"</f>
        <v>201907150456</v>
      </c>
      <c r="F639" s="1" t="str">
        <f>"405299-5"</f>
        <v>405299-5</v>
      </c>
      <c r="G639" s="3">
        <v>250</v>
      </c>
      <c r="H639" s="1" t="str">
        <f>"405299-5"</f>
        <v>405299-5</v>
      </c>
    </row>
    <row r="640" spans="1:8" x14ac:dyDescent="0.25">
      <c r="E640" s="1" t="str">
        <f>"201907160467"</f>
        <v>201907160467</v>
      </c>
      <c r="F640" s="1" t="str">
        <f>"305242019B"</f>
        <v>305242019B</v>
      </c>
      <c r="G640" s="3">
        <v>250</v>
      </c>
      <c r="H640" s="1" t="str">
        <f>"305242019B"</f>
        <v>305242019B</v>
      </c>
    </row>
    <row r="641" spans="1:9" x14ac:dyDescent="0.25">
      <c r="E641" s="1" t="str">
        <f>"201907160468"</f>
        <v>201907160468</v>
      </c>
      <c r="F641" s="1" t="str">
        <f>"JP104192019C"</f>
        <v>JP104192019C</v>
      </c>
      <c r="G641" s="3">
        <v>250</v>
      </c>
      <c r="H641" s="1" t="str">
        <f>"JP104192019C"</f>
        <v>JP104192019C</v>
      </c>
    </row>
    <row r="642" spans="1:9" x14ac:dyDescent="0.25">
      <c r="A642" s="1" t="s">
        <v>198</v>
      </c>
      <c r="B642" s="1">
        <v>83161</v>
      </c>
      <c r="C642" s="3">
        <v>25</v>
      </c>
      <c r="D642" s="2">
        <v>43668</v>
      </c>
      <c r="E642" s="1" t="s">
        <v>199</v>
      </c>
      <c r="F642" s="1" t="s">
        <v>200</v>
      </c>
      <c r="G642" s="3" t="str">
        <f>"RESTITUTION - J. HOFFMAN"</f>
        <v>RESTITUTION - J. HOFFMAN</v>
      </c>
      <c r="H642" s="1" t="str">
        <f>"210-0000"</f>
        <v>210-0000</v>
      </c>
      <c r="I642" s="1" t="str">
        <f>""</f>
        <v/>
      </c>
    </row>
    <row r="643" spans="1:9" x14ac:dyDescent="0.25">
      <c r="A643" s="1" t="s">
        <v>201</v>
      </c>
      <c r="B643" s="1">
        <v>83162</v>
      </c>
      <c r="C643" s="3">
        <v>85</v>
      </c>
      <c r="D643" s="2">
        <v>43668</v>
      </c>
      <c r="E643" s="1" t="str">
        <f>"13214"</f>
        <v>13214</v>
      </c>
      <c r="F643" s="1" t="str">
        <f>"SERVICE FEE REFUNDED"</f>
        <v>SERVICE FEE REFUNDED</v>
      </c>
      <c r="G643" s="3">
        <v>85</v>
      </c>
      <c r="H643" s="1" t="str">
        <f>"SERVICE FEE REFUNDED"</f>
        <v>SERVICE FEE REFUNDED</v>
      </c>
    </row>
    <row r="644" spans="1:9" x14ac:dyDescent="0.25">
      <c r="A644" s="1" t="s">
        <v>202</v>
      </c>
      <c r="B644" s="1">
        <v>1108</v>
      </c>
      <c r="C644" s="3">
        <v>540</v>
      </c>
      <c r="D644" s="2">
        <v>43669</v>
      </c>
      <c r="E644" s="1" t="str">
        <f>"R1907-13"</f>
        <v>R1907-13</v>
      </c>
      <c r="F644" s="1" t="str">
        <f>"INV R1907-13"</f>
        <v>INV R1907-13</v>
      </c>
      <c r="G644" s="3">
        <v>540</v>
      </c>
      <c r="H644" s="1" t="str">
        <f>"INV R1907-13"</f>
        <v>INV R1907-13</v>
      </c>
    </row>
    <row r="645" spans="1:9" x14ac:dyDescent="0.25">
      <c r="A645" s="1" t="s">
        <v>203</v>
      </c>
      <c r="B645" s="1">
        <v>83163</v>
      </c>
      <c r="C645" s="3">
        <v>160</v>
      </c>
      <c r="D645" s="2">
        <v>43668</v>
      </c>
      <c r="E645" s="1" t="str">
        <f>"201907100405"</f>
        <v>201907100405</v>
      </c>
      <c r="F645" s="1" t="str">
        <f>"PER DIEM"</f>
        <v>PER DIEM</v>
      </c>
      <c r="G645" s="3">
        <v>160</v>
      </c>
      <c r="H645" s="1" t="str">
        <f>"PER DIEM"</f>
        <v>PER DIEM</v>
      </c>
    </row>
    <row r="646" spans="1:9" x14ac:dyDescent="0.25">
      <c r="A646" s="1" t="s">
        <v>204</v>
      </c>
      <c r="B646" s="1">
        <v>83164</v>
      </c>
      <c r="C646" s="3">
        <v>75</v>
      </c>
      <c r="D646" s="2">
        <v>43668</v>
      </c>
      <c r="E646" s="1" t="s">
        <v>205</v>
      </c>
      <c r="F646" s="1" t="s">
        <v>206</v>
      </c>
      <c r="G646" s="3" t="str">
        <f>"RESTITUTION - C. FERRIS"</f>
        <v>RESTITUTION - C. FERRIS</v>
      </c>
      <c r="H646" s="1" t="str">
        <f>"210-0000"</f>
        <v>210-0000</v>
      </c>
      <c r="I646" s="1" t="str">
        <f>""</f>
        <v/>
      </c>
    </row>
    <row r="647" spans="1:9" x14ac:dyDescent="0.25">
      <c r="A647" s="1" t="s">
        <v>207</v>
      </c>
      <c r="B647" s="1">
        <v>1045</v>
      </c>
      <c r="C647" s="3">
        <v>2617</v>
      </c>
      <c r="D647" s="2">
        <v>43655</v>
      </c>
      <c r="E647" s="1" t="str">
        <f>"205"</f>
        <v>205</v>
      </c>
      <c r="F647" s="1" t="str">
        <f>"TOWER RENT-JULY"</f>
        <v>TOWER RENT-JULY</v>
      </c>
      <c r="G647" s="3">
        <v>2617</v>
      </c>
      <c r="H647" s="1" t="str">
        <f>"TOWER RENT-JULY"</f>
        <v>TOWER RENT-JULY</v>
      </c>
    </row>
    <row r="648" spans="1:9" x14ac:dyDescent="0.25">
      <c r="A648" s="1" t="s">
        <v>208</v>
      </c>
      <c r="B648" s="1">
        <v>82921</v>
      </c>
      <c r="C648" s="3">
        <v>240</v>
      </c>
      <c r="D648" s="2">
        <v>43654</v>
      </c>
      <c r="E648" s="1" t="str">
        <f>"1438"</f>
        <v>1438</v>
      </c>
      <c r="F648" s="1" t="str">
        <f>"PORTABLE TOILET/HANDICAP"</f>
        <v>PORTABLE TOILET/HANDICAP</v>
      </c>
      <c r="G648" s="3">
        <v>240</v>
      </c>
      <c r="H648" s="1" t="str">
        <f>"PORTABLE TOILET/HANDICAP"</f>
        <v>PORTABLE TOILET/HANDICAP</v>
      </c>
    </row>
    <row r="649" spans="1:9" x14ac:dyDescent="0.25">
      <c r="A649" s="1" t="s">
        <v>209</v>
      </c>
      <c r="B649" s="1">
        <v>82922</v>
      </c>
      <c r="C649" s="3">
        <v>377.27</v>
      </c>
      <c r="D649" s="2">
        <v>43654</v>
      </c>
      <c r="E649" s="1" t="str">
        <f>"258200"</f>
        <v>258200</v>
      </c>
      <c r="F649" s="1" t="str">
        <f>"ACCT#BASCO1/PCT#1"</f>
        <v>ACCT#BASCO1/PCT#1</v>
      </c>
      <c r="G649" s="3">
        <v>377.27</v>
      </c>
      <c r="H649" s="1" t="str">
        <f>"ACCT#BASCO1/PCT#1"</f>
        <v>ACCT#BASCO1/PCT#1</v>
      </c>
    </row>
    <row r="650" spans="1:9" x14ac:dyDescent="0.25">
      <c r="A650" s="1" t="s">
        <v>209</v>
      </c>
      <c r="B650" s="1">
        <v>83165</v>
      </c>
      <c r="C650" s="3">
        <v>108.83</v>
      </c>
      <c r="D650" s="2">
        <v>43668</v>
      </c>
      <c r="E650" s="1" t="str">
        <f>"258719"</f>
        <v>258719</v>
      </c>
      <c r="F650" s="1" t="str">
        <f>"ACCT#BASTCO/PCT#1"</f>
        <v>ACCT#BASTCO/PCT#1</v>
      </c>
      <c r="G650" s="3">
        <v>108.83</v>
      </c>
      <c r="H650" s="1" t="str">
        <f>"ACCT#BASTCO/PCT#1"</f>
        <v>ACCT#BASTCO/PCT#1</v>
      </c>
    </row>
    <row r="651" spans="1:9" x14ac:dyDescent="0.25">
      <c r="A651" s="1" t="s">
        <v>210</v>
      </c>
      <c r="B651" s="1">
        <v>82923</v>
      </c>
      <c r="C651" s="3">
        <v>9719.67</v>
      </c>
      <c r="D651" s="2">
        <v>43654</v>
      </c>
      <c r="E651" s="1" t="str">
        <f>"811026"</f>
        <v>811026</v>
      </c>
      <c r="F651" s="1" t="str">
        <f>"Pct 1 Gate"</f>
        <v>Pct 1 Gate</v>
      </c>
      <c r="G651" s="3">
        <v>9719.67</v>
      </c>
      <c r="H651" s="1" t="str">
        <f>"payment"</f>
        <v>payment</v>
      </c>
    </row>
    <row r="652" spans="1:9" x14ac:dyDescent="0.25">
      <c r="A652" s="1" t="s">
        <v>211</v>
      </c>
      <c r="B652" s="1">
        <v>1089</v>
      </c>
      <c r="C652" s="3">
        <v>99</v>
      </c>
      <c r="D652" s="2">
        <v>43669</v>
      </c>
      <c r="E652" s="1" t="str">
        <f>"271218"</f>
        <v>271218</v>
      </c>
      <c r="F652" s="1" t="str">
        <f>"QRTLY FIRE PROT SVC/GEN SVCS"</f>
        <v>QRTLY FIRE PROT SVC/GEN SVCS</v>
      </c>
      <c r="G652" s="3">
        <v>99</v>
      </c>
      <c r="H652" s="1" t="str">
        <f>"QRTLY FIRE PROT SVC/GEN SVCS"</f>
        <v>QRTLY FIRE PROT SVC/GEN SVCS</v>
      </c>
    </row>
    <row r="653" spans="1:9" x14ac:dyDescent="0.25">
      <c r="A653" s="1" t="s">
        <v>212</v>
      </c>
      <c r="B653" s="1">
        <v>83166</v>
      </c>
      <c r="C653" s="3">
        <v>2859.68</v>
      </c>
      <c r="D653" s="2">
        <v>43668</v>
      </c>
      <c r="E653" s="1" t="str">
        <f>"R3010076221:01"</f>
        <v>R3010076221:01</v>
      </c>
      <c r="F653" s="1" t="str">
        <f>"REPAIRS/PCT#1"</f>
        <v>REPAIRS/PCT#1</v>
      </c>
      <c r="G653" s="3">
        <v>2859.68</v>
      </c>
      <c r="H653" s="1" t="str">
        <f>"REPAIRS/PCT#1"</f>
        <v>REPAIRS/PCT#1</v>
      </c>
    </row>
    <row r="654" spans="1:9" x14ac:dyDescent="0.25">
      <c r="A654" s="1" t="s">
        <v>213</v>
      </c>
      <c r="B654" s="1">
        <v>83167</v>
      </c>
      <c r="C654" s="3">
        <v>1141.77</v>
      </c>
      <c r="D654" s="2">
        <v>43668</v>
      </c>
      <c r="E654" s="1" t="str">
        <f>"201907090306"</f>
        <v>201907090306</v>
      </c>
      <c r="F654" s="1" t="str">
        <f>"ACCT#1650/AUTO PARTS"</f>
        <v>ACCT#1650/AUTO PARTS</v>
      </c>
      <c r="G654" s="3">
        <v>63.18</v>
      </c>
      <c r="H654" s="1" t="str">
        <f>"ACCT#1650/AUTO PARTS"</f>
        <v>ACCT#1650/AUTO PARTS</v>
      </c>
    </row>
    <row r="655" spans="1:9" x14ac:dyDescent="0.25">
      <c r="E655" s="1" t="str">
        <f>"201907090314"</f>
        <v>201907090314</v>
      </c>
      <c r="F655" s="1" t="str">
        <f>"ACCT#1700/PCT#2"</f>
        <v>ACCT#1700/PCT#2</v>
      </c>
      <c r="G655" s="3">
        <v>54.95</v>
      </c>
      <c r="H655" s="1" t="str">
        <f>"ACCT#1700/PCT#2"</f>
        <v>ACCT#1700/PCT#2</v>
      </c>
    </row>
    <row r="656" spans="1:9" x14ac:dyDescent="0.25">
      <c r="E656" s="1" t="str">
        <f>"201907090315"</f>
        <v>201907090315</v>
      </c>
      <c r="F656" s="1" t="str">
        <f>"ACCT#1750/PCT#3"</f>
        <v>ACCT#1750/PCT#3</v>
      </c>
      <c r="G656" s="3">
        <v>624.38</v>
      </c>
      <c r="H656" s="1" t="str">
        <f>"ACCT#1750/PCT#3"</f>
        <v>ACCT#1750/PCT#3</v>
      </c>
    </row>
    <row r="657" spans="1:8" x14ac:dyDescent="0.25">
      <c r="E657" s="1" t="str">
        <f>"201907100403"</f>
        <v>201907100403</v>
      </c>
      <c r="F657" s="1" t="str">
        <f>"ACCT#1650/PCT#1"</f>
        <v>ACCT#1650/PCT#1</v>
      </c>
      <c r="G657" s="3">
        <v>399.26</v>
      </c>
      <c r="H657" s="1" t="str">
        <f>"ACCT#1650/PCT#1"</f>
        <v>ACCT#1650/PCT#1</v>
      </c>
    </row>
    <row r="658" spans="1:8" x14ac:dyDescent="0.25">
      <c r="A658" s="1" t="s">
        <v>214</v>
      </c>
      <c r="B658" s="1">
        <v>82924</v>
      </c>
      <c r="C658" s="3">
        <v>2253.9</v>
      </c>
      <c r="D658" s="2">
        <v>43654</v>
      </c>
      <c r="E658" s="1" t="str">
        <f>"06196606 06267307"</f>
        <v>06196606 06267307</v>
      </c>
      <c r="F658" s="1" t="str">
        <f>"INV 06267307"</f>
        <v>INV 06267307</v>
      </c>
      <c r="G658" s="3">
        <v>2253.9</v>
      </c>
      <c r="H658" s="1" t="str">
        <f>"INV 06196606"</f>
        <v>INV 06196606</v>
      </c>
    </row>
    <row r="659" spans="1:8" x14ac:dyDescent="0.25">
      <c r="E659" s="1" t="str">
        <f>""</f>
        <v/>
      </c>
      <c r="F659" s="1" t="str">
        <f>""</f>
        <v/>
      </c>
      <c r="H659" s="1" t="str">
        <f>"INV 06267307"</f>
        <v>INV 06267307</v>
      </c>
    </row>
    <row r="660" spans="1:8" x14ac:dyDescent="0.25">
      <c r="A660" s="1" t="s">
        <v>214</v>
      </c>
      <c r="B660" s="1">
        <v>83168</v>
      </c>
      <c r="C660" s="3">
        <v>2177.3200000000002</v>
      </c>
      <c r="D660" s="2">
        <v>43668</v>
      </c>
      <c r="E660" s="1" t="str">
        <f>"07026388 07107178"</f>
        <v>07026388 07107178</v>
      </c>
      <c r="F660" s="1" t="str">
        <f>"INV 07026388"</f>
        <v>INV 07026388</v>
      </c>
      <c r="G660" s="3">
        <v>2177.3200000000002</v>
      </c>
      <c r="H660" s="1" t="str">
        <f>"INV 07026388"</f>
        <v>INV 07026388</v>
      </c>
    </row>
    <row r="661" spans="1:8" x14ac:dyDescent="0.25">
      <c r="E661" s="1" t="str">
        <f>""</f>
        <v/>
      </c>
      <c r="F661" s="1" t="str">
        <f>""</f>
        <v/>
      </c>
      <c r="H661" s="1" t="str">
        <f>"INV 07107178"</f>
        <v>INV 07107178</v>
      </c>
    </row>
    <row r="662" spans="1:8" x14ac:dyDescent="0.25">
      <c r="A662" s="1" t="s">
        <v>215</v>
      </c>
      <c r="B662" s="1">
        <v>1033</v>
      </c>
      <c r="C662" s="3">
        <v>150</v>
      </c>
      <c r="D662" s="2">
        <v>43655</v>
      </c>
      <c r="E662" s="1" t="str">
        <f>"201907010201"</f>
        <v>201907010201</v>
      </c>
      <c r="F662" s="1" t="str">
        <f>"CLEANING SERVICE 06/21/19"</f>
        <v>CLEANING SERVICE 06/21/19</v>
      </c>
      <c r="G662" s="3">
        <v>150</v>
      </c>
      <c r="H662" s="1" t="str">
        <f>"CLEANING SERVICE 06/21/19"</f>
        <v>CLEANING SERVICE 06/21/19</v>
      </c>
    </row>
    <row r="663" spans="1:8" x14ac:dyDescent="0.25">
      <c r="A663" s="1" t="s">
        <v>215</v>
      </c>
      <c r="B663" s="1">
        <v>1107</v>
      </c>
      <c r="C663" s="3">
        <v>150</v>
      </c>
      <c r="D663" s="2">
        <v>43669</v>
      </c>
      <c r="E663" s="1" t="str">
        <f>"201907150425"</f>
        <v>201907150425</v>
      </c>
      <c r="F663" s="1" t="str">
        <f>"CLEANING SERVICE"</f>
        <v>CLEANING SERVICE</v>
      </c>
      <c r="G663" s="3">
        <v>150</v>
      </c>
      <c r="H663" s="1" t="str">
        <f>"CLEANING SERVICE"</f>
        <v>CLEANING SERVICE</v>
      </c>
    </row>
    <row r="664" spans="1:8" x14ac:dyDescent="0.25">
      <c r="A664" s="1" t="s">
        <v>216</v>
      </c>
      <c r="B664" s="1">
        <v>83169</v>
      </c>
      <c r="C664" s="3">
        <v>18262</v>
      </c>
      <c r="D664" s="2">
        <v>43668</v>
      </c>
      <c r="E664" s="1" t="str">
        <f>"313743"</f>
        <v>313743</v>
      </c>
      <c r="F664" s="1" t="str">
        <f>"CONCRETE/RIVERSIDE DR/PCT#1"</f>
        <v>CONCRETE/RIVERSIDE DR/PCT#1</v>
      </c>
      <c r="G664" s="3">
        <v>18262</v>
      </c>
      <c r="H664" s="1" t="str">
        <f>"CONCRETE/PCT#1"</f>
        <v>CONCRETE/PCT#1</v>
      </c>
    </row>
    <row r="665" spans="1:8" x14ac:dyDescent="0.25">
      <c r="A665" s="1" t="s">
        <v>217</v>
      </c>
      <c r="B665" s="1">
        <v>82925</v>
      </c>
      <c r="C665" s="3">
        <v>2113.06</v>
      </c>
      <c r="D665" s="2">
        <v>43654</v>
      </c>
      <c r="E665" s="1" t="str">
        <f>"INV0175723"</f>
        <v>INV0175723</v>
      </c>
      <c r="F665" s="1" t="str">
        <f>"inv# inv0175723"</f>
        <v>inv# inv0175723</v>
      </c>
      <c r="G665" s="3">
        <v>2113.06</v>
      </c>
      <c r="H665" s="1" t="str">
        <f>"B86070"</f>
        <v>B86070</v>
      </c>
    </row>
    <row r="666" spans="1:8" x14ac:dyDescent="0.25">
      <c r="E666" s="1" t="str">
        <f>""</f>
        <v/>
      </c>
      <c r="F666" s="1" t="str">
        <f>""</f>
        <v/>
      </c>
      <c r="H666" s="1" t="str">
        <f>"driveline-1310"</f>
        <v>driveline-1310</v>
      </c>
    </row>
    <row r="667" spans="1:8" x14ac:dyDescent="0.25">
      <c r="E667" s="1" t="str">
        <f>""</f>
        <v/>
      </c>
      <c r="F667" s="1" t="str">
        <f>""</f>
        <v/>
      </c>
      <c r="H667" s="1" t="str">
        <f>"vgasket-3"</f>
        <v>vgasket-3</v>
      </c>
    </row>
    <row r="668" spans="1:8" x14ac:dyDescent="0.25">
      <c r="E668" s="1" t="str">
        <f>""</f>
        <v/>
      </c>
      <c r="F668" s="1" t="str">
        <f>""</f>
        <v/>
      </c>
      <c r="H668" s="1" t="str">
        <f>"l080261"</f>
        <v>l080261</v>
      </c>
    </row>
    <row r="669" spans="1:8" x14ac:dyDescent="0.25">
      <c r="E669" s="1" t="str">
        <f>""</f>
        <v/>
      </c>
      <c r="F669" s="1" t="str">
        <f>""</f>
        <v/>
      </c>
      <c r="H669" s="1" t="str">
        <f>"freight"</f>
        <v>freight</v>
      </c>
    </row>
    <row r="670" spans="1:8" x14ac:dyDescent="0.25">
      <c r="A670" s="1" t="s">
        <v>218</v>
      </c>
      <c r="B670" s="1">
        <v>82849</v>
      </c>
      <c r="C670" s="3">
        <v>50.25</v>
      </c>
      <c r="D670" s="2">
        <v>43649</v>
      </c>
      <c r="E670" s="1" t="str">
        <f>"201907020284"</f>
        <v>201907020284</v>
      </c>
      <c r="F670" s="1" t="str">
        <f>"ACCT#1-09-00072-02 1/06242019"</f>
        <v>ACCT#1-09-00072-02 1/06242019</v>
      </c>
      <c r="G670" s="3">
        <v>50.25</v>
      </c>
      <c r="H670" s="1" t="str">
        <f>"ACCT#1-09-00072-02 1/06242019"</f>
        <v>ACCT#1-09-00072-02 1/06242019</v>
      </c>
    </row>
    <row r="671" spans="1:8" x14ac:dyDescent="0.25">
      <c r="A671" s="1" t="s">
        <v>219</v>
      </c>
      <c r="B671" s="1">
        <v>82926</v>
      </c>
      <c r="C671" s="3">
        <v>674.01</v>
      </c>
      <c r="D671" s="2">
        <v>43654</v>
      </c>
      <c r="E671" s="1" t="str">
        <f>"0557028671"</f>
        <v>0557028671</v>
      </c>
      <c r="F671" s="1" t="str">
        <f>"INV 0557028671"</f>
        <v>INV 0557028671</v>
      </c>
      <c r="G671" s="3">
        <v>674.01</v>
      </c>
      <c r="H671" s="1" t="str">
        <f>"INV 0557028671"</f>
        <v>INV 0557028671</v>
      </c>
    </row>
    <row r="672" spans="1:8" x14ac:dyDescent="0.25">
      <c r="A672" s="1" t="s">
        <v>219</v>
      </c>
      <c r="B672" s="1">
        <v>83170</v>
      </c>
      <c r="C672" s="3">
        <v>204.17</v>
      </c>
      <c r="D672" s="2">
        <v>43668</v>
      </c>
      <c r="E672" s="1" t="str">
        <f>"0557122569 / 79516"</f>
        <v>0557122569 / 79516</v>
      </c>
      <c r="F672" s="1" t="str">
        <f>"INV 0557122569"</f>
        <v>INV 0557122569</v>
      </c>
      <c r="G672" s="3">
        <v>204.17</v>
      </c>
      <c r="H672" s="1" t="str">
        <f>"INV 0557122569"</f>
        <v>INV 0557122569</v>
      </c>
    </row>
    <row r="673" spans="1:8" x14ac:dyDescent="0.25">
      <c r="E673" s="1" t="str">
        <f>""</f>
        <v/>
      </c>
      <c r="F673" s="1" t="str">
        <f>""</f>
        <v/>
      </c>
      <c r="H673" s="1" t="str">
        <f>"INV 79516"</f>
        <v>INV 79516</v>
      </c>
    </row>
    <row r="674" spans="1:8" x14ac:dyDescent="0.25">
      <c r="A674" s="1" t="s">
        <v>220</v>
      </c>
      <c r="B674" s="1">
        <v>1092</v>
      </c>
      <c r="C674" s="3">
        <v>110</v>
      </c>
      <c r="D674" s="2">
        <v>43669</v>
      </c>
      <c r="E674" s="1" t="str">
        <f>"201907090308"</f>
        <v>201907090308</v>
      </c>
      <c r="F674" s="1" t="str">
        <f>"REIMBURSE-PER DIEM"</f>
        <v>REIMBURSE-PER DIEM</v>
      </c>
      <c r="G674" s="3">
        <v>110</v>
      </c>
      <c r="H674" s="1" t="str">
        <f>"REIMBURSE-PER DIEM"</f>
        <v>REIMBURSE-PER DIEM</v>
      </c>
    </row>
    <row r="675" spans="1:8" x14ac:dyDescent="0.25">
      <c r="A675" s="1" t="s">
        <v>221</v>
      </c>
      <c r="B675" s="1">
        <v>83171</v>
      </c>
      <c r="C675" s="3">
        <v>564.54999999999995</v>
      </c>
      <c r="D675" s="2">
        <v>43668</v>
      </c>
      <c r="E675" s="1" t="str">
        <f>"1361725-20190630"</f>
        <v>1361725-20190630</v>
      </c>
      <c r="F675" s="1" t="str">
        <f>"BILL ID:1361725/INDIGENT HEALT"</f>
        <v>BILL ID:1361725/INDIGENT HEALT</v>
      </c>
      <c r="G675" s="3">
        <v>69.849999999999994</v>
      </c>
      <c r="H675" s="1" t="str">
        <f>"BILL ID:1361725/INDIGENT HEALT"</f>
        <v>BILL ID:1361725/INDIGENT HEALT</v>
      </c>
    </row>
    <row r="676" spans="1:8" x14ac:dyDescent="0.25">
      <c r="E676" s="1" t="str">
        <f>"1394645-20190630"</f>
        <v>1394645-20190630</v>
      </c>
      <c r="F676" s="1" t="str">
        <f>"BILL ID:1394645/COUNTY CLERK"</f>
        <v>BILL ID:1394645/COUNTY CLERK</v>
      </c>
      <c r="G676" s="3">
        <v>50</v>
      </c>
      <c r="H676" s="1" t="str">
        <f>"BILL ID:1394645/COUNTY CLERK"</f>
        <v>BILL ID:1394645/COUNTY CLERK</v>
      </c>
    </row>
    <row r="677" spans="1:8" x14ac:dyDescent="0.25">
      <c r="E677" s="1" t="str">
        <f>"1420944-20190630"</f>
        <v>1420944-20190630</v>
      </c>
      <c r="F677" s="1" t="str">
        <f>"BILL ID:1420944/SHERIFF'S OFF"</f>
        <v>BILL ID:1420944/SHERIFF'S OFF</v>
      </c>
      <c r="G677" s="3">
        <v>344.7</v>
      </c>
      <c r="H677" s="1" t="str">
        <f>"BILL ID:1420944/SHERIFF'S OFF"</f>
        <v>BILL ID:1420944/SHERIFF'S OFF</v>
      </c>
    </row>
    <row r="678" spans="1:8" x14ac:dyDescent="0.25">
      <c r="E678" s="1" t="str">
        <f>"1489870-20190531"</f>
        <v>1489870-20190531</v>
      </c>
      <c r="F678" s="1" t="str">
        <f>"BILL ID:1489870/DISTRICT CLERK"</f>
        <v>BILL ID:1489870/DISTRICT CLERK</v>
      </c>
      <c r="G678" s="3">
        <v>50</v>
      </c>
      <c r="H678" s="1" t="str">
        <f>"BILL ID:1489870/DISTRICT CLERK"</f>
        <v>BILL ID:1489870/DISTRICT CLERK</v>
      </c>
    </row>
    <row r="679" spans="1:8" x14ac:dyDescent="0.25">
      <c r="E679" s="1" t="str">
        <f>"1489870-20190630"</f>
        <v>1489870-20190630</v>
      </c>
      <c r="F679" s="1" t="str">
        <f>"BILL ID:1489870/DIST CLERK"</f>
        <v>BILL ID:1489870/DIST CLERK</v>
      </c>
      <c r="G679" s="3">
        <v>50</v>
      </c>
      <c r="H679" s="1" t="str">
        <f>"BILL ID:1489870/DIST CLERK"</f>
        <v>BILL ID:1489870/DIST CLERK</v>
      </c>
    </row>
    <row r="680" spans="1:8" x14ac:dyDescent="0.25">
      <c r="A680" s="1" t="s">
        <v>222</v>
      </c>
      <c r="B680" s="1">
        <v>82927</v>
      </c>
      <c r="C680" s="3">
        <v>75</v>
      </c>
      <c r="D680" s="2">
        <v>43654</v>
      </c>
      <c r="E680" s="1" t="str">
        <f>"12907"</f>
        <v>12907</v>
      </c>
      <c r="F680" s="1" t="str">
        <f>"SERVICE 04/04/19"</f>
        <v>SERVICE 04/04/19</v>
      </c>
      <c r="G680" s="3">
        <v>75</v>
      </c>
      <c r="H680" s="1" t="str">
        <f>"SERVICE 04/04/19"</f>
        <v>SERVICE 04/04/19</v>
      </c>
    </row>
    <row r="681" spans="1:8" x14ac:dyDescent="0.25">
      <c r="A681" s="1" t="s">
        <v>223</v>
      </c>
      <c r="B681" s="1">
        <v>83172</v>
      </c>
      <c r="C681" s="3">
        <v>374.4</v>
      </c>
      <c r="D681" s="2">
        <v>43668</v>
      </c>
      <c r="E681" s="1" t="str">
        <f>"STXP35"</f>
        <v>STXP35</v>
      </c>
      <c r="F681" s="1" t="str">
        <f>"3X5 Texas Flags"</f>
        <v>3X5 Texas Flags</v>
      </c>
      <c r="G681" s="3">
        <v>374.4</v>
      </c>
      <c r="H681" s="1" t="str">
        <f>"ITem# STXP35"</f>
        <v>ITem# STXP35</v>
      </c>
    </row>
    <row r="682" spans="1:8" x14ac:dyDescent="0.25">
      <c r="A682" s="1" t="s">
        <v>224</v>
      </c>
      <c r="B682" s="1">
        <v>1050</v>
      </c>
      <c r="C682" s="3">
        <v>35</v>
      </c>
      <c r="D682" s="2">
        <v>43655</v>
      </c>
      <c r="E682" s="1" t="str">
        <f>"201907010230"</f>
        <v>201907010230</v>
      </c>
      <c r="F682" s="1" t="str">
        <f>"REGISTRATION RENEWALS/SHERIFF"</f>
        <v>REGISTRATION RENEWALS/SHERIFF</v>
      </c>
      <c r="G682" s="3">
        <v>22.5</v>
      </c>
      <c r="H682" s="1" t="str">
        <f>"REGISTRATION RENEWALS/SHERIFF"</f>
        <v>REGISTRATION RENEWALS/SHERIFF</v>
      </c>
    </row>
    <row r="683" spans="1:8" x14ac:dyDescent="0.25">
      <c r="E683" s="1" t="str">
        <f>"201907020265"</f>
        <v>201907020265</v>
      </c>
      <c r="F683" s="1" t="str">
        <f>"TITLE TRANSFER/2020 FRT/PCT#2"</f>
        <v>TITLE TRANSFER/2020 FRT/PCT#2</v>
      </c>
      <c r="G683" s="3">
        <v>12.5</v>
      </c>
      <c r="H683" s="1" t="str">
        <f>"TITLE TRANSFER/2020 FRT/PCT#2"</f>
        <v>TITLE TRANSFER/2020 FRT/PCT#2</v>
      </c>
    </row>
    <row r="684" spans="1:8" x14ac:dyDescent="0.25">
      <c r="A684" s="1" t="s">
        <v>224</v>
      </c>
      <c r="B684" s="1">
        <v>1125</v>
      </c>
      <c r="C684" s="3">
        <v>29.25</v>
      </c>
      <c r="D684" s="2">
        <v>43669</v>
      </c>
      <c r="E684" s="1" t="str">
        <f>"201907160552"</f>
        <v>201907160552</v>
      </c>
      <c r="F684" s="1" t="str">
        <f>"2019 DODGE RAM-ENGINEERING"</f>
        <v>2019 DODGE RAM-ENGINEERING</v>
      </c>
      <c r="G684" s="3">
        <v>21.75</v>
      </c>
      <c r="H684" s="1" t="str">
        <f>"2019 DODGE RAM-ENGINEERING"</f>
        <v>2019 DODGE RAM-ENGINEERING</v>
      </c>
    </row>
    <row r="685" spans="1:8" x14ac:dyDescent="0.25">
      <c r="E685" s="1" t="str">
        <f>"201907170604"</f>
        <v>201907170604</v>
      </c>
      <c r="F685" s="1" t="str">
        <f>"VEHICLE REGISTRATION-SHERIFF"</f>
        <v>VEHICLE REGISTRATION-SHERIFF</v>
      </c>
      <c r="G685" s="3">
        <v>7.5</v>
      </c>
      <c r="H685" s="1" t="str">
        <f>"VEHICLE REGISTRATION-SHERIFF"</f>
        <v>VEHICLE REGISTRATION-SHERIFF</v>
      </c>
    </row>
    <row r="686" spans="1:8" x14ac:dyDescent="0.25">
      <c r="A686" s="1" t="s">
        <v>225</v>
      </c>
      <c r="B686" s="1">
        <v>1023</v>
      </c>
      <c r="C686" s="3">
        <v>240</v>
      </c>
      <c r="D686" s="2">
        <v>43655</v>
      </c>
      <c r="E686" s="1" t="str">
        <f>"201907010206"</f>
        <v>201907010206</v>
      </c>
      <c r="F686" s="1" t="str">
        <f>"REIMBURSE-STATE BAR LEGAL DUES"</f>
        <v>REIMBURSE-STATE BAR LEGAL DUES</v>
      </c>
      <c r="G686" s="3">
        <v>240</v>
      </c>
      <c r="H686" s="1" t="str">
        <f>"REIMBURSE-STATE BAR LEGAL DUES"</f>
        <v>REIMBURSE-STATE BAR LEGAL DUES</v>
      </c>
    </row>
    <row r="687" spans="1:8" x14ac:dyDescent="0.25">
      <c r="A687" s="1" t="s">
        <v>226</v>
      </c>
      <c r="B687" s="1">
        <v>82928</v>
      </c>
      <c r="C687" s="3">
        <v>150</v>
      </c>
      <c r="D687" s="2">
        <v>43654</v>
      </c>
      <c r="E687" s="1" t="str">
        <f>"201906250100"</f>
        <v>201906250100</v>
      </c>
      <c r="F687" s="1" t="str">
        <f>"PER DIEM"</f>
        <v>PER DIEM</v>
      </c>
      <c r="G687" s="3">
        <v>150</v>
      </c>
      <c r="H687" s="1" t="str">
        <f>"PER DIEM"</f>
        <v>PER DIEM</v>
      </c>
    </row>
    <row r="688" spans="1:8" x14ac:dyDescent="0.25">
      <c r="A688" s="1" t="s">
        <v>227</v>
      </c>
      <c r="B688" s="1">
        <v>1095</v>
      </c>
      <c r="C688" s="3">
        <v>18109.66</v>
      </c>
      <c r="D688" s="2">
        <v>43669</v>
      </c>
      <c r="E688" s="1" t="str">
        <f>"201907120417"</f>
        <v>201907120417</v>
      </c>
      <c r="F688" s="1" t="str">
        <f>"GRANT REIMBURSEMENT"</f>
        <v>GRANT REIMBURSEMENT</v>
      </c>
      <c r="G688" s="3">
        <v>17448.22</v>
      </c>
      <c r="H688" s="1" t="str">
        <f>"GRANT REIMBURSEMENT"</f>
        <v>GRANT REIMBURSEMENT</v>
      </c>
    </row>
    <row r="689" spans="1:8" x14ac:dyDescent="0.25">
      <c r="E689" s="1" t="str">
        <f>"201907160576"</f>
        <v>201907160576</v>
      </c>
      <c r="F689" s="1" t="str">
        <f>"INDIGENT HEALTH"</f>
        <v>INDIGENT HEALTH</v>
      </c>
      <c r="G689" s="3">
        <v>661.44</v>
      </c>
      <c r="H689" s="1" t="str">
        <f>"INDIGENT HEALTH"</f>
        <v>INDIGENT HEALTH</v>
      </c>
    </row>
    <row r="690" spans="1:8" x14ac:dyDescent="0.25">
      <c r="E690" s="1" t="str">
        <f>""</f>
        <v/>
      </c>
      <c r="F690" s="1" t="str">
        <f>""</f>
        <v/>
      </c>
      <c r="H690" s="1" t="str">
        <f>"INDIGENT HEALTH"</f>
        <v>INDIGENT HEALTH</v>
      </c>
    </row>
    <row r="691" spans="1:8" x14ac:dyDescent="0.25">
      <c r="E691" s="1" t="str">
        <f>""</f>
        <v/>
      </c>
      <c r="F691" s="1" t="str">
        <f>""</f>
        <v/>
      </c>
      <c r="H691" s="1" t="str">
        <f>"INDIGENT HEALTH"</f>
        <v>INDIGENT HEALTH</v>
      </c>
    </row>
    <row r="692" spans="1:8" x14ac:dyDescent="0.25">
      <c r="A692" s="1" t="s">
        <v>228</v>
      </c>
      <c r="B692" s="1">
        <v>1029</v>
      </c>
      <c r="C692" s="3">
        <v>929.5</v>
      </c>
      <c r="D692" s="2">
        <v>43655</v>
      </c>
      <c r="E692" s="1" t="str">
        <f>"201906280186"</f>
        <v>201906280186</v>
      </c>
      <c r="F692" s="1" t="str">
        <f>"TRASH REMOVAL 07/01-07/04/P4"</f>
        <v>TRASH REMOVAL 07/01-07/04/P4</v>
      </c>
      <c r="G692" s="3">
        <v>435.5</v>
      </c>
      <c r="H692" s="1" t="str">
        <f>"TRASH REMOVAL 07/01-07/04/P4"</f>
        <v>TRASH REMOVAL 07/01-07/04/P4</v>
      </c>
    </row>
    <row r="693" spans="1:8" x14ac:dyDescent="0.25">
      <c r="E693" s="1" t="str">
        <f>"201906280188"</f>
        <v>201906280188</v>
      </c>
      <c r="F693" s="1" t="str">
        <f>"TRASH REMOVAL/06/24-06/28/P4"</f>
        <v>TRASH REMOVAL/06/24-06/28/P4</v>
      </c>
      <c r="G693" s="3">
        <v>494</v>
      </c>
      <c r="H693" s="1" t="str">
        <f>"TRASH REMOVAL/06/24-06/28/P4"</f>
        <v>TRASH REMOVAL/06/24-06/28/P4</v>
      </c>
    </row>
    <row r="694" spans="1:8" x14ac:dyDescent="0.25">
      <c r="A694" s="1" t="s">
        <v>228</v>
      </c>
      <c r="B694" s="1">
        <v>1101</v>
      </c>
      <c r="C694" s="3">
        <v>838.5</v>
      </c>
      <c r="D694" s="2">
        <v>43669</v>
      </c>
      <c r="E694" s="1" t="str">
        <f>"201907150430"</f>
        <v>201907150430</v>
      </c>
      <c r="F694" s="1" t="str">
        <f>"TRASH REMOVAL 07/08-07/18/P4"</f>
        <v>TRASH REMOVAL 07/08-07/18/P4</v>
      </c>
      <c r="G694" s="3">
        <v>838.5</v>
      </c>
      <c r="H694" s="1" t="str">
        <f>"TRASH REMOVAL 07/08-07/18/P4"</f>
        <v>TRASH REMOVAL 07/08-07/18/P4</v>
      </c>
    </row>
    <row r="695" spans="1:8" x14ac:dyDescent="0.25">
      <c r="A695" s="1" t="s">
        <v>229</v>
      </c>
      <c r="B695" s="1">
        <v>83173</v>
      </c>
      <c r="C695" s="3">
        <v>160.1</v>
      </c>
      <c r="D695" s="2">
        <v>43668</v>
      </c>
      <c r="E695" s="1" t="str">
        <f>"64414"</f>
        <v>64414</v>
      </c>
      <c r="F695" s="1" t="str">
        <f>"TUBE LEAKS/PCT#3"</f>
        <v>TUBE LEAKS/PCT#3</v>
      </c>
      <c r="G695" s="3">
        <v>160.1</v>
      </c>
      <c r="H695" s="1" t="str">
        <f>"TUBE LEAKS/PCT#3"</f>
        <v>TUBE LEAKS/PCT#3</v>
      </c>
    </row>
    <row r="696" spans="1:8" x14ac:dyDescent="0.25">
      <c r="A696" s="1" t="s">
        <v>230</v>
      </c>
      <c r="B696" s="1">
        <v>82929</v>
      </c>
      <c r="C696" s="3">
        <v>1099.99</v>
      </c>
      <c r="D696" s="2">
        <v>43654</v>
      </c>
      <c r="E696" s="1" t="str">
        <f>"201906250098"</f>
        <v>201906250098</v>
      </c>
      <c r="F696" s="1" t="str">
        <f>"2010 FRHT M2/PCT#3"</f>
        <v>2010 FRHT M2/PCT#3</v>
      </c>
      <c r="G696" s="3">
        <v>1099.99</v>
      </c>
      <c r="H696" s="1" t="str">
        <f>"2010 FRHT M2/PCT#3"</f>
        <v>2010 FRHT M2/PCT#3</v>
      </c>
    </row>
    <row r="697" spans="1:8" x14ac:dyDescent="0.25">
      <c r="A697" s="1" t="s">
        <v>231</v>
      </c>
      <c r="B697" s="1">
        <v>83174</v>
      </c>
      <c r="C697" s="3">
        <v>92.45</v>
      </c>
      <c r="D697" s="2">
        <v>43668</v>
      </c>
      <c r="E697" s="1" t="str">
        <f>"912400 912059 9149"</f>
        <v>912400 912059 9149</v>
      </c>
      <c r="F697" s="1" t="str">
        <f>"acct# 8692"</f>
        <v>acct# 8692</v>
      </c>
      <c r="G697" s="3">
        <v>92.45</v>
      </c>
      <c r="H697" s="1" t="str">
        <f>"inv#912059"</f>
        <v>inv#912059</v>
      </c>
    </row>
    <row r="698" spans="1:8" x14ac:dyDescent="0.25">
      <c r="E698" s="1" t="str">
        <f>""</f>
        <v/>
      </c>
      <c r="F698" s="1" t="str">
        <f>""</f>
        <v/>
      </c>
      <c r="H698" s="1" t="str">
        <f>"inv# 914917"</f>
        <v>inv# 914917</v>
      </c>
    </row>
    <row r="699" spans="1:8" x14ac:dyDescent="0.25">
      <c r="E699" s="1" t="str">
        <f>""</f>
        <v/>
      </c>
      <c r="F699" s="1" t="str">
        <f>""</f>
        <v/>
      </c>
      <c r="H699" s="1" t="str">
        <f>"inv# 912400"</f>
        <v>inv# 912400</v>
      </c>
    </row>
    <row r="700" spans="1:8" x14ac:dyDescent="0.25">
      <c r="A700" s="1" t="s">
        <v>232</v>
      </c>
      <c r="B700" s="1">
        <v>82930</v>
      </c>
      <c r="C700" s="3">
        <v>1410.5</v>
      </c>
      <c r="D700" s="2">
        <v>43654</v>
      </c>
      <c r="E700" s="1" t="str">
        <f>"103"</f>
        <v>103</v>
      </c>
      <c r="F700" s="1" t="str">
        <f>"COURTHOUSE CARPET"</f>
        <v>COURTHOUSE CARPET</v>
      </c>
      <c r="G700" s="3">
        <v>528</v>
      </c>
      <c r="H700" s="1" t="str">
        <f>"COURTHOUSE CARPET"</f>
        <v>COURTHOUSE CARPET</v>
      </c>
    </row>
    <row r="701" spans="1:8" x14ac:dyDescent="0.25">
      <c r="E701" s="1" t="str">
        <f>"443"</f>
        <v>443</v>
      </c>
      <c r="F701" s="1" t="str">
        <f>"COMMERCIAL CARPET"</f>
        <v>COMMERCIAL CARPET</v>
      </c>
      <c r="G701" s="3">
        <v>882.5</v>
      </c>
      <c r="H701" s="1" t="str">
        <f>"COMMERCIAL CARPET"</f>
        <v>COMMERCIAL CARPET</v>
      </c>
    </row>
    <row r="702" spans="1:8" x14ac:dyDescent="0.25">
      <c r="A702" s="1" t="s">
        <v>233</v>
      </c>
      <c r="B702" s="1">
        <v>1007</v>
      </c>
      <c r="C702" s="3">
        <v>244.69</v>
      </c>
      <c r="D702" s="2">
        <v>43649</v>
      </c>
      <c r="E702" s="1" t="str">
        <f>"06122019"</f>
        <v>06122019</v>
      </c>
      <c r="F702" s="1" t="str">
        <f>"CRIMINAL COURT 61219"</f>
        <v>CRIMINAL COURT 61219</v>
      </c>
      <c r="G702" s="3">
        <v>244.69</v>
      </c>
    </row>
    <row r="703" spans="1:8" x14ac:dyDescent="0.25">
      <c r="A703" s="1" t="s">
        <v>233</v>
      </c>
      <c r="B703" s="1">
        <v>1007</v>
      </c>
      <c r="C703" s="3">
        <v>-244.69</v>
      </c>
      <c r="D703" s="2">
        <v>43649</v>
      </c>
      <c r="E703" s="1" t="str">
        <f>"CHECK"</f>
        <v>CHECK</v>
      </c>
      <c r="F703" s="1" t="str">
        <f>""</f>
        <v/>
      </c>
      <c r="G703" s="3">
        <v>-244.69</v>
      </c>
    </row>
    <row r="704" spans="1:8" x14ac:dyDescent="0.25">
      <c r="A704" s="1" t="s">
        <v>233</v>
      </c>
      <c r="B704" s="1">
        <v>1007</v>
      </c>
      <c r="C704" s="3">
        <v>244.69</v>
      </c>
      <c r="D704" s="2">
        <v>43655</v>
      </c>
      <c r="E704" s="1" t="str">
        <f>"CHECK"</f>
        <v>CHECK</v>
      </c>
      <c r="F704" s="1" t="str">
        <f>""</f>
        <v/>
      </c>
      <c r="G704" s="3">
        <v>244.69</v>
      </c>
    </row>
    <row r="705" spans="1:8" x14ac:dyDescent="0.25">
      <c r="A705" s="1" t="s">
        <v>233</v>
      </c>
      <c r="B705" s="1">
        <v>1071</v>
      </c>
      <c r="C705" s="3">
        <v>244.69</v>
      </c>
      <c r="D705" s="2">
        <v>43656</v>
      </c>
      <c r="E705" s="1" t="str">
        <f>"2019-06-12 Reissue"</f>
        <v>2019-06-12 Reissue</v>
      </c>
      <c r="F705" s="1" t="str">
        <f>"CRIMINAL COURT 31219 REISSUE"</f>
        <v>CRIMINAL COURT 31219 REISSUE</v>
      </c>
      <c r="G705" s="3">
        <v>244.69</v>
      </c>
      <c r="H705" s="1" t="str">
        <f>"CRIMINAL COURT 31219 REISSUE"</f>
        <v>CRIMINAL COURT 31219 REISSUE</v>
      </c>
    </row>
    <row r="706" spans="1:8" x14ac:dyDescent="0.25">
      <c r="A706" s="1" t="s">
        <v>234</v>
      </c>
      <c r="B706" s="1">
        <v>82931</v>
      </c>
      <c r="C706" s="3">
        <v>260</v>
      </c>
      <c r="D706" s="2">
        <v>43654</v>
      </c>
      <c r="E706" s="1" t="str">
        <f>"201906250101"</f>
        <v>201906250101</v>
      </c>
      <c r="F706" s="1" t="str">
        <f>"REIMBURSE-BAR DUES"</f>
        <v>REIMBURSE-BAR DUES</v>
      </c>
      <c r="G706" s="3">
        <v>260</v>
      </c>
      <c r="H706" s="1" t="str">
        <f>"REIMBURSE-BAR DUES"</f>
        <v>REIMBURSE-BAR DUES</v>
      </c>
    </row>
    <row r="707" spans="1:8" x14ac:dyDescent="0.25">
      <c r="A707" s="1" t="s">
        <v>235</v>
      </c>
      <c r="B707" s="1">
        <v>83175</v>
      </c>
      <c r="C707" s="3">
        <v>130</v>
      </c>
      <c r="D707" s="2">
        <v>43668</v>
      </c>
      <c r="E707" s="1" t="str">
        <f>"201907160570"</f>
        <v>201907160570</v>
      </c>
      <c r="F707" s="1" t="str">
        <f>"INDIGENT HEALTH"</f>
        <v>INDIGENT HEALTH</v>
      </c>
      <c r="G707" s="3">
        <v>130</v>
      </c>
      <c r="H707" s="1" t="str">
        <f>"INDIGENT HEALTH"</f>
        <v>INDIGENT HEALTH</v>
      </c>
    </row>
    <row r="708" spans="1:8" x14ac:dyDescent="0.25">
      <c r="A708" s="1" t="s">
        <v>236</v>
      </c>
      <c r="B708" s="1">
        <v>83176</v>
      </c>
      <c r="C708" s="3">
        <v>863.38</v>
      </c>
      <c r="D708" s="2">
        <v>43668</v>
      </c>
      <c r="E708" s="1" t="str">
        <f>"201907160577"</f>
        <v>201907160577</v>
      </c>
      <c r="F708" s="1" t="str">
        <f>"INDIGENT HEALTH"</f>
        <v>INDIGENT HEALTH</v>
      </c>
      <c r="G708" s="3">
        <v>863.38</v>
      </c>
      <c r="H708" s="1" t="str">
        <f>"INDIGENT HEALTH"</f>
        <v>INDIGENT HEALTH</v>
      </c>
    </row>
    <row r="709" spans="1:8" x14ac:dyDescent="0.25">
      <c r="E709" s="1" t="str">
        <f>""</f>
        <v/>
      </c>
      <c r="F709" s="1" t="str">
        <f>""</f>
        <v/>
      </c>
      <c r="H709" s="1" t="str">
        <f>"INDIGENT HEALTH"</f>
        <v>INDIGENT HEALTH</v>
      </c>
    </row>
    <row r="710" spans="1:8" x14ac:dyDescent="0.25">
      <c r="A710" s="1" t="s">
        <v>237</v>
      </c>
      <c r="B710" s="1">
        <v>83177</v>
      </c>
      <c r="C710" s="3">
        <v>205.74</v>
      </c>
      <c r="D710" s="2">
        <v>43668</v>
      </c>
      <c r="E710" s="1" t="str">
        <f>"INV001811113"</f>
        <v>INV001811113</v>
      </c>
      <c r="F710" s="1" t="str">
        <f>"INV001811113"</f>
        <v>INV001811113</v>
      </c>
      <c r="G710" s="3">
        <v>205.74</v>
      </c>
      <c r="H710" s="1" t="str">
        <f>"INV001811113"</f>
        <v>INV001811113</v>
      </c>
    </row>
    <row r="711" spans="1:8" x14ac:dyDescent="0.25">
      <c r="A711" s="1" t="s">
        <v>238</v>
      </c>
      <c r="B711" s="1">
        <v>1022</v>
      </c>
      <c r="C711" s="3">
        <v>450</v>
      </c>
      <c r="D711" s="2">
        <v>43655</v>
      </c>
      <c r="E711" s="1" t="str">
        <f>"201906280194"</f>
        <v>201906280194</v>
      </c>
      <c r="F711" s="1" t="str">
        <f>"02-0222-4 9295-352-1120 190001"</f>
        <v>02-0222-4 9295-352-1120 190001</v>
      </c>
      <c r="G711" s="3">
        <v>125</v>
      </c>
      <c r="H711" s="1" t="str">
        <f>"02-0222-4 9295-352-1120 190001"</f>
        <v>02-0222-4 9295-352-1120 190001</v>
      </c>
    </row>
    <row r="712" spans="1:8" x14ac:dyDescent="0.25">
      <c r="E712" s="1" t="str">
        <f>"201906280195"</f>
        <v>201906280195</v>
      </c>
      <c r="F712" s="1" t="str">
        <f>"CH20270603D 925-345-848819001"</f>
        <v>CH20270603D 925-345-848819001</v>
      </c>
      <c r="G712" s="3">
        <v>125</v>
      </c>
      <c r="H712" s="1" t="str">
        <f>"CH20270603D 925-345-848819001"</f>
        <v>CH20270603D 925-345-848819001</v>
      </c>
    </row>
    <row r="713" spans="1:8" x14ac:dyDescent="0.25">
      <c r="E713" s="1" t="str">
        <f>"201907020242"</f>
        <v>201907020242</v>
      </c>
      <c r="F713" s="1" t="str">
        <f>"JUVENILE DETENTION HEARING"</f>
        <v>JUVENILE DETENTION HEARING</v>
      </c>
      <c r="G713" s="3">
        <v>200</v>
      </c>
      <c r="H713" s="1" t="str">
        <f>"JUVENILE DETENTION HEARING"</f>
        <v>JUVENILE DETENTION HEARING</v>
      </c>
    </row>
    <row r="714" spans="1:8" x14ac:dyDescent="0.25">
      <c r="A714" s="1" t="s">
        <v>239</v>
      </c>
      <c r="B714" s="1">
        <v>82932</v>
      </c>
      <c r="C714" s="3">
        <v>110.63</v>
      </c>
      <c r="D714" s="2">
        <v>43654</v>
      </c>
      <c r="E714" s="1" t="str">
        <f>"19877610"</f>
        <v>19877610</v>
      </c>
      <c r="F714" s="1" t="str">
        <f>"ACCT#S9549/PCT#1"</f>
        <v>ACCT#S9549/PCT#1</v>
      </c>
      <c r="G714" s="3">
        <v>64.53</v>
      </c>
      <c r="H714" s="1" t="str">
        <f>"ACCT#S9549/PCT#1"</f>
        <v>ACCT#S9549/PCT#1</v>
      </c>
    </row>
    <row r="715" spans="1:8" x14ac:dyDescent="0.25">
      <c r="E715" s="1" t="str">
        <f>"19877611"</f>
        <v>19877611</v>
      </c>
      <c r="F715" s="1" t="str">
        <f>"ACCT#S9549/PCT#1"</f>
        <v>ACCT#S9549/PCT#1</v>
      </c>
      <c r="G715" s="3">
        <v>46.1</v>
      </c>
      <c r="H715" s="1" t="str">
        <f>"ACCT#S9549/PCT#1"</f>
        <v>ACCT#S9549/PCT#1</v>
      </c>
    </row>
    <row r="716" spans="1:8" x14ac:dyDescent="0.25">
      <c r="A716" s="1" t="s">
        <v>239</v>
      </c>
      <c r="B716" s="1">
        <v>83178</v>
      </c>
      <c r="C716" s="3">
        <v>259.60000000000002</v>
      </c>
      <c r="D716" s="2">
        <v>43668</v>
      </c>
      <c r="E716" s="1" t="str">
        <f>"19952342"</f>
        <v>19952342</v>
      </c>
      <c r="F716" s="1" t="str">
        <f>"ACCT#41472/PCT#1"</f>
        <v>ACCT#41472/PCT#1</v>
      </c>
      <c r="G716" s="3">
        <v>25.23</v>
      </c>
      <c r="H716" s="1" t="str">
        <f>"ACCT#41472/PCT#1"</f>
        <v>ACCT#41472/PCT#1</v>
      </c>
    </row>
    <row r="717" spans="1:8" x14ac:dyDescent="0.25">
      <c r="E717" s="1" t="str">
        <f>"19952429"</f>
        <v>19952429</v>
      </c>
      <c r="F717" s="1" t="str">
        <f>"ACCT#45057/PCT#4"</f>
        <v>ACCT#45057/PCT#4</v>
      </c>
      <c r="G717" s="3">
        <v>45.73</v>
      </c>
      <c r="H717" s="1" t="str">
        <f>"ACCT#45057/PCT#4"</f>
        <v>ACCT#45057/PCT#4</v>
      </c>
    </row>
    <row r="718" spans="1:8" x14ac:dyDescent="0.25">
      <c r="E718" s="1" t="str">
        <f>"19952488"</f>
        <v>19952488</v>
      </c>
      <c r="F718" s="1" t="str">
        <f>"INV 19952488"</f>
        <v>INV 19952488</v>
      </c>
      <c r="G718" s="3">
        <v>53.64</v>
      </c>
      <c r="H718" s="1" t="str">
        <f>"INV 19952488"</f>
        <v>INV 19952488</v>
      </c>
    </row>
    <row r="719" spans="1:8" x14ac:dyDescent="0.25">
      <c r="E719" s="1" t="str">
        <f>"19960183"</f>
        <v>19960183</v>
      </c>
      <c r="F719" s="1" t="str">
        <f>"ACCT#S9549/PCT#1"</f>
        <v>ACCT#S9549/PCT#1</v>
      </c>
      <c r="G719" s="3">
        <v>135</v>
      </c>
      <c r="H719" s="1" t="str">
        <f>"ACCT#S9549/PCT#1"</f>
        <v>ACCT#S9549/PCT#1</v>
      </c>
    </row>
    <row r="720" spans="1:8" x14ac:dyDescent="0.25">
      <c r="A720" s="1" t="s">
        <v>240</v>
      </c>
      <c r="B720" s="1">
        <v>1046</v>
      </c>
      <c r="C720" s="3">
        <v>39.1</v>
      </c>
      <c r="D720" s="2">
        <v>43655</v>
      </c>
      <c r="E720" s="1" t="str">
        <f>"673970"</f>
        <v>673970</v>
      </c>
      <c r="F720" s="1" t="str">
        <f>"ACCT#0900-98011130-001/SIGN SH"</f>
        <v>ACCT#0900-98011130-001/SIGN SH</v>
      </c>
      <c r="G720" s="3">
        <v>39.1</v>
      </c>
      <c r="H720" s="1" t="str">
        <f>"ACCT#0900-98011130-001/SIGN SH"</f>
        <v>ACCT#0900-98011130-001/SIGN SH</v>
      </c>
    </row>
    <row r="721" spans="1:8" x14ac:dyDescent="0.25">
      <c r="A721" s="1" t="s">
        <v>240</v>
      </c>
      <c r="B721" s="1">
        <v>1122</v>
      </c>
      <c r="C721" s="3">
        <v>34.619999999999997</v>
      </c>
      <c r="D721" s="2">
        <v>43669</v>
      </c>
      <c r="E721" s="1" t="str">
        <f>"674516"</f>
        <v>674516</v>
      </c>
      <c r="F721" s="1" t="str">
        <f>"ACCT#0900-98011130-001/PCT#3"</f>
        <v>ACCT#0900-98011130-001/PCT#3</v>
      </c>
      <c r="G721" s="3">
        <v>34.619999999999997</v>
      </c>
      <c r="H721" s="1" t="str">
        <f>"ACCT#0900-98011130-001/PCT#3"</f>
        <v>ACCT#0900-98011130-001/PCT#3</v>
      </c>
    </row>
    <row r="722" spans="1:8" x14ac:dyDescent="0.25">
      <c r="A722" s="1" t="s">
        <v>241</v>
      </c>
      <c r="B722" s="1">
        <v>82933</v>
      </c>
      <c r="C722" s="3">
        <v>18161.89</v>
      </c>
      <c r="D722" s="2">
        <v>43654</v>
      </c>
      <c r="E722" s="1" t="str">
        <f>"12268"</f>
        <v>12268</v>
      </c>
      <c r="F722" s="1" t="str">
        <f>"ABST FEE 04/04/19"</f>
        <v>ABST FEE 04/04/19</v>
      </c>
      <c r="G722" s="3">
        <v>175</v>
      </c>
      <c r="H722" s="1" t="str">
        <f>"ABST FEE 04/04/19"</f>
        <v>ABST FEE 04/04/19</v>
      </c>
    </row>
    <row r="723" spans="1:8" x14ac:dyDescent="0.25">
      <c r="E723" s="1" t="str">
        <f>"12632"</f>
        <v>12632</v>
      </c>
      <c r="F723" s="1" t="str">
        <f>"ABST FEE  04/04/19"</f>
        <v>ABST FEE  04/04/19</v>
      </c>
      <c r="G723" s="3">
        <v>225</v>
      </c>
      <c r="H723" s="1" t="str">
        <f>"ABST FEE  04/04/19"</f>
        <v>ABST FEE  04/04/19</v>
      </c>
    </row>
    <row r="724" spans="1:8" x14ac:dyDescent="0.25">
      <c r="E724" s="1" t="str">
        <f>"12756"</f>
        <v>12756</v>
      </c>
      <c r="F724" s="1" t="str">
        <f>"ABST FEE 04/04/19"</f>
        <v>ABST FEE 04/04/19</v>
      </c>
      <c r="G724" s="3">
        <v>225</v>
      </c>
      <c r="H724" s="1" t="str">
        <f>"ABST FEE 04/04/19"</f>
        <v>ABST FEE 04/04/19</v>
      </c>
    </row>
    <row r="725" spans="1:8" x14ac:dyDescent="0.25">
      <c r="E725" s="1" t="str">
        <f>"12765"</f>
        <v>12765</v>
      </c>
      <c r="F725" s="1" t="str">
        <f>"ABST FEE 04/04/19"</f>
        <v>ABST FEE 04/04/19</v>
      </c>
      <c r="G725" s="3">
        <v>225</v>
      </c>
      <c r="H725" s="1" t="str">
        <f>"ABST FEE 04/04/19"</f>
        <v>ABST FEE 04/04/19</v>
      </c>
    </row>
    <row r="726" spans="1:8" x14ac:dyDescent="0.25">
      <c r="E726" s="1" t="str">
        <f>"12846"</f>
        <v>12846</v>
      </c>
      <c r="F726" s="1" t="str">
        <f>"ABST FEE 04/04/19"</f>
        <v>ABST FEE 04/04/19</v>
      </c>
      <c r="G726" s="3">
        <v>225</v>
      </c>
      <c r="H726" s="1" t="str">
        <f>"ABST FEE 04/04/19"</f>
        <v>ABST FEE 04/04/19</v>
      </c>
    </row>
    <row r="727" spans="1:8" x14ac:dyDescent="0.25">
      <c r="E727" s="1" t="str">
        <f>"12848"</f>
        <v>12848</v>
      </c>
      <c r="F727" s="1" t="str">
        <f>"ABST FEE"</f>
        <v>ABST FEE</v>
      </c>
      <c r="G727" s="3">
        <v>225</v>
      </c>
      <c r="H727" s="1" t="str">
        <f>"ABST FEE"</f>
        <v>ABST FEE</v>
      </c>
    </row>
    <row r="728" spans="1:8" x14ac:dyDescent="0.25">
      <c r="E728" s="1" t="str">
        <f>"12850"</f>
        <v>12850</v>
      </c>
      <c r="F728" s="1" t="str">
        <f>"ABST FEE 04/04/19"</f>
        <v>ABST FEE 04/04/19</v>
      </c>
      <c r="G728" s="3">
        <v>225</v>
      </c>
      <c r="H728" s="1" t="str">
        <f>"ABST FEE 04/04/19"</f>
        <v>ABST FEE 04/04/19</v>
      </c>
    </row>
    <row r="729" spans="1:8" x14ac:dyDescent="0.25">
      <c r="E729" s="1" t="str">
        <f>"12870"</f>
        <v>12870</v>
      </c>
      <c r="F729" s="1" t="str">
        <f>"ABST FEE 04/04/19"</f>
        <v>ABST FEE 04/04/19</v>
      </c>
      <c r="G729" s="3">
        <v>225</v>
      </c>
      <c r="H729" s="1" t="str">
        <f>"ABST FEE 04/04/19"</f>
        <v>ABST FEE 04/04/19</v>
      </c>
    </row>
    <row r="730" spans="1:8" x14ac:dyDescent="0.25">
      <c r="E730" s="1" t="str">
        <f>"12871"</f>
        <v>12871</v>
      </c>
      <c r="F730" s="1" t="str">
        <f>"ABST FEE-$225 SERVICE-$55 4/4"</f>
        <v>ABST FEE-$225 SERVICE-$55 4/4</v>
      </c>
      <c r="G730" s="3">
        <v>280</v>
      </c>
      <c r="H730" s="1" t="str">
        <f>"ABST FEE-$225 SERVICE-$55 4/4"</f>
        <v>ABST FEE-$225 SERVICE-$55 4/4</v>
      </c>
    </row>
    <row r="731" spans="1:8" x14ac:dyDescent="0.25">
      <c r="E731" s="1" t="str">
        <f>"12907"</f>
        <v>12907</v>
      </c>
      <c r="F731" s="1" t="str">
        <f>"ABST FEE 04/04/19"</f>
        <v>ABST FEE 04/04/19</v>
      </c>
      <c r="G731" s="3">
        <v>225</v>
      </c>
      <c r="H731" s="1" t="str">
        <f>"ABST FEE 04/04/19"</f>
        <v>ABST FEE 04/04/19</v>
      </c>
    </row>
    <row r="732" spans="1:8" x14ac:dyDescent="0.25">
      <c r="E732" s="1" t="str">
        <f>"12909"</f>
        <v>12909</v>
      </c>
      <c r="F732" s="1" t="str">
        <f>"ABST FEE 04/04/19"</f>
        <v>ABST FEE 04/04/19</v>
      </c>
      <c r="G732" s="3">
        <v>225</v>
      </c>
      <c r="H732" s="1" t="str">
        <f>"ABST FEE 04/04/19"</f>
        <v>ABST FEE 04/04/19</v>
      </c>
    </row>
    <row r="733" spans="1:8" x14ac:dyDescent="0.25">
      <c r="E733" s="1" t="str">
        <f>"12932"</f>
        <v>12932</v>
      </c>
      <c r="F733" s="1" t="str">
        <f>"ABST FEE 04/04/19"</f>
        <v>ABST FEE 04/04/19</v>
      </c>
      <c r="G733" s="3">
        <v>225</v>
      </c>
      <c r="H733" s="1" t="str">
        <f>"ABST FEE 04/04/19"</f>
        <v>ABST FEE 04/04/19</v>
      </c>
    </row>
    <row r="734" spans="1:8" x14ac:dyDescent="0.25">
      <c r="E734" s="1" t="str">
        <f>"12933"</f>
        <v>12933</v>
      </c>
      <c r="F734" s="1" t="str">
        <f>"ABST FEE 04/04/19"</f>
        <v>ABST FEE 04/04/19</v>
      </c>
      <c r="G734" s="3">
        <v>225</v>
      </c>
      <c r="H734" s="1" t="str">
        <f>"ABST FEE 04/04/19"</f>
        <v>ABST FEE 04/04/19</v>
      </c>
    </row>
    <row r="735" spans="1:8" x14ac:dyDescent="0.25">
      <c r="E735" s="1" t="str">
        <f>"13053"</f>
        <v>13053</v>
      </c>
      <c r="F735" s="1" t="str">
        <f>"ABST FEE"</f>
        <v>ABST FEE</v>
      </c>
      <c r="G735" s="3">
        <v>225</v>
      </c>
      <c r="H735" s="1" t="str">
        <f>"ABST FEE"</f>
        <v>ABST FEE</v>
      </c>
    </row>
    <row r="736" spans="1:8" x14ac:dyDescent="0.25">
      <c r="E736" s="1" t="str">
        <f>"201907020257"</f>
        <v>201907020257</v>
      </c>
      <c r="F736" s="1" t="str">
        <f>"ATTORNEY FEES-JUNE 2019"</f>
        <v>ATTORNEY FEES-JUNE 2019</v>
      </c>
      <c r="G736" s="3">
        <v>15006.89</v>
      </c>
      <c r="H736" s="1" t="str">
        <f>"ATTORNEY FEES-JUNE 2019"</f>
        <v>ATTORNEY FEES-JUNE 2019</v>
      </c>
    </row>
    <row r="737" spans="1:8" x14ac:dyDescent="0.25">
      <c r="A737" s="1" t="s">
        <v>241</v>
      </c>
      <c r="B737" s="1">
        <v>83179</v>
      </c>
      <c r="C737" s="3">
        <v>1575</v>
      </c>
      <c r="D737" s="2">
        <v>43668</v>
      </c>
      <c r="E737" s="1" t="str">
        <f>"12656"</f>
        <v>12656</v>
      </c>
      <c r="F737" s="1" t="str">
        <f t="shared" ref="F737:F743" si="13">"ABST FEE"</f>
        <v>ABST FEE</v>
      </c>
      <c r="G737" s="3">
        <v>225</v>
      </c>
      <c r="H737" s="1" t="str">
        <f t="shared" ref="H737:H743" si="14">"ABST FEE"</f>
        <v>ABST FEE</v>
      </c>
    </row>
    <row r="738" spans="1:8" x14ac:dyDescent="0.25">
      <c r="E738" s="1" t="str">
        <f>"12733"</f>
        <v>12733</v>
      </c>
      <c r="F738" s="1" t="str">
        <f t="shared" si="13"/>
        <v>ABST FEE</v>
      </c>
      <c r="G738" s="3">
        <v>225</v>
      </c>
      <c r="H738" s="1" t="str">
        <f t="shared" si="14"/>
        <v>ABST FEE</v>
      </c>
    </row>
    <row r="739" spans="1:8" x14ac:dyDescent="0.25">
      <c r="E739" s="1" t="str">
        <f>"13185"</f>
        <v>13185</v>
      </c>
      <c r="F739" s="1" t="str">
        <f t="shared" si="13"/>
        <v>ABST FEE</v>
      </c>
      <c r="G739" s="3">
        <v>225</v>
      </c>
      <c r="H739" s="1" t="str">
        <f t="shared" si="14"/>
        <v>ABST FEE</v>
      </c>
    </row>
    <row r="740" spans="1:8" x14ac:dyDescent="0.25">
      <c r="E740" s="1" t="str">
        <f>"13192"</f>
        <v>13192</v>
      </c>
      <c r="F740" s="1" t="str">
        <f t="shared" si="13"/>
        <v>ABST FEE</v>
      </c>
      <c r="G740" s="3">
        <v>225</v>
      </c>
      <c r="H740" s="1" t="str">
        <f t="shared" si="14"/>
        <v>ABST FEE</v>
      </c>
    </row>
    <row r="741" spans="1:8" x14ac:dyDescent="0.25">
      <c r="E741" s="1" t="str">
        <f>"13198"</f>
        <v>13198</v>
      </c>
      <c r="F741" s="1" t="str">
        <f t="shared" si="13"/>
        <v>ABST FEE</v>
      </c>
      <c r="G741" s="3">
        <v>225</v>
      </c>
      <c r="H741" s="1" t="str">
        <f t="shared" si="14"/>
        <v>ABST FEE</v>
      </c>
    </row>
    <row r="742" spans="1:8" x14ac:dyDescent="0.25">
      <c r="E742" s="1" t="str">
        <f>"13210"</f>
        <v>13210</v>
      </c>
      <c r="F742" s="1" t="str">
        <f t="shared" si="13"/>
        <v>ABST FEE</v>
      </c>
      <c r="G742" s="3">
        <v>225</v>
      </c>
      <c r="H742" s="1" t="str">
        <f t="shared" si="14"/>
        <v>ABST FEE</v>
      </c>
    </row>
    <row r="743" spans="1:8" x14ac:dyDescent="0.25">
      <c r="E743" s="1" t="str">
        <f>"13214"</f>
        <v>13214</v>
      </c>
      <c r="F743" s="1" t="str">
        <f t="shared" si="13"/>
        <v>ABST FEE</v>
      </c>
      <c r="G743" s="3">
        <v>225</v>
      </c>
      <c r="H743" s="1" t="str">
        <f t="shared" si="14"/>
        <v>ABST FEE</v>
      </c>
    </row>
    <row r="744" spans="1:8" x14ac:dyDescent="0.25">
      <c r="A744" s="1" t="s">
        <v>242</v>
      </c>
      <c r="B744" s="1">
        <v>82934</v>
      </c>
      <c r="C744" s="3">
        <v>1249.6400000000001</v>
      </c>
      <c r="D744" s="2">
        <v>43654</v>
      </c>
      <c r="E744" s="1" t="str">
        <f>"56856152 56890097"</f>
        <v>56856152 56890097</v>
      </c>
      <c r="F744" s="1" t="str">
        <f>"INV 56856152"</f>
        <v>INV 56856152</v>
      </c>
      <c r="G744" s="3">
        <v>1249.6400000000001</v>
      </c>
      <c r="H744" s="1" t="str">
        <f>"INV 56856152"</f>
        <v>INV 56856152</v>
      </c>
    </row>
    <row r="745" spans="1:8" x14ac:dyDescent="0.25">
      <c r="E745" s="1" t="str">
        <f>""</f>
        <v/>
      </c>
      <c r="F745" s="1" t="str">
        <f>""</f>
        <v/>
      </c>
      <c r="H745" s="1" t="str">
        <f>"INV 56890097"</f>
        <v>INV 56890097</v>
      </c>
    </row>
    <row r="746" spans="1:8" x14ac:dyDescent="0.25">
      <c r="E746" s="1" t="str">
        <f>""</f>
        <v/>
      </c>
      <c r="F746" s="1" t="str">
        <f>""</f>
        <v/>
      </c>
      <c r="H746" s="1" t="str">
        <f>"INV 57234797"</f>
        <v>INV 57234797</v>
      </c>
    </row>
    <row r="747" spans="1:8" x14ac:dyDescent="0.25">
      <c r="A747" s="1" t="s">
        <v>242</v>
      </c>
      <c r="B747" s="1">
        <v>83180</v>
      </c>
      <c r="C747" s="3">
        <v>1736.43</v>
      </c>
      <c r="D747" s="2">
        <v>43668</v>
      </c>
      <c r="E747" s="1" t="str">
        <f>"57718646 57707101"</f>
        <v>57718646 57707101</v>
      </c>
      <c r="F747" s="1" t="str">
        <f>"INV 57718646"</f>
        <v>INV 57718646</v>
      </c>
      <c r="G747" s="3">
        <v>1170.3800000000001</v>
      </c>
      <c r="H747" s="1" t="str">
        <f>"INV 57718646"</f>
        <v>INV 57718646</v>
      </c>
    </row>
    <row r="748" spans="1:8" x14ac:dyDescent="0.25">
      <c r="E748" s="1" t="str">
        <f>""</f>
        <v/>
      </c>
      <c r="F748" s="1" t="str">
        <f>""</f>
        <v/>
      </c>
      <c r="H748" s="1" t="str">
        <f>"INV 57707101"</f>
        <v>INV 57707101</v>
      </c>
    </row>
    <row r="749" spans="1:8" x14ac:dyDescent="0.25">
      <c r="E749" s="1" t="str">
        <f>""</f>
        <v/>
      </c>
      <c r="F749" s="1" t="str">
        <f>""</f>
        <v/>
      </c>
      <c r="H749" s="1" t="str">
        <f>"INV 58752853"</f>
        <v>INV 58752853</v>
      </c>
    </row>
    <row r="750" spans="1:8" x14ac:dyDescent="0.25">
      <c r="E750" s="1" t="str">
        <f>"70102147 42219608"</f>
        <v>70102147 42219608</v>
      </c>
      <c r="F750" s="1" t="str">
        <f>"INV 70102147"</f>
        <v>INV 70102147</v>
      </c>
      <c r="G750" s="3">
        <v>566.04999999999995</v>
      </c>
      <c r="H750" s="1" t="str">
        <f>"INV 70102147"</f>
        <v>INV 70102147</v>
      </c>
    </row>
    <row r="751" spans="1:8" x14ac:dyDescent="0.25">
      <c r="E751" s="1" t="str">
        <f>""</f>
        <v/>
      </c>
      <c r="F751" s="1" t="str">
        <f>""</f>
        <v/>
      </c>
      <c r="H751" s="1" t="str">
        <f>"INV 42219608"</f>
        <v>INV 42219608</v>
      </c>
    </row>
    <row r="752" spans="1:8" x14ac:dyDescent="0.25">
      <c r="E752" s="1" t="str">
        <f>""</f>
        <v/>
      </c>
      <c r="F752" s="1" t="str">
        <f>""</f>
        <v/>
      </c>
      <c r="H752" s="1" t="str">
        <f>"INV 43373824"</f>
        <v>INV 43373824</v>
      </c>
    </row>
    <row r="753" spans="1:8" x14ac:dyDescent="0.25">
      <c r="A753" s="1" t="s">
        <v>243</v>
      </c>
      <c r="B753" s="1">
        <v>1085</v>
      </c>
      <c r="C753" s="3">
        <v>375</v>
      </c>
      <c r="D753" s="2">
        <v>43669</v>
      </c>
      <c r="E753" s="1" t="str">
        <f>"3287782-IN"</f>
        <v>3287782-IN</v>
      </c>
      <c r="F753" s="1" t="str">
        <f>"INV 3287782-IN"</f>
        <v>INV 3287782-IN</v>
      </c>
      <c r="G753" s="3">
        <v>375</v>
      </c>
      <c r="H753" s="1" t="str">
        <f>"INV 3287782-IN"</f>
        <v>INV 3287782-IN</v>
      </c>
    </row>
    <row r="754" spans="1:8" x14ac:dyDescent="0.25">
      <c r="A754" s="1" t="s">
        <v>244</v>
      </c>
      <c r="B754" s="1">
        <v>83181</v>
      </c>
      <c r="C754" s="3">
        <v>1475.01</v>
      </c>
      <c r="D754" s="2">
        <v>43668</v>
      </c>
      <c r="E754" s="1" t="str">
        <f>"201907160578"</f>
        <v>201907160578</v>
      </c>
      <c r="F754" s="1" t="str">
        <f>"INDIGENT HEALTH"</f>
        <v>INDIGENT HEALTH</v>
      </c>
      <c r="G754" s="3">
        <v>1475.01</v>
      </c>
      <c r="H754" s="1" t="str">
        <f>"INDIGENT HEALTH"</f>
        <v>INDIGENT HEALTH</v>
      </c>
    </row>
    <row r="755" spans="1:8" x14ac:dyDescent="0.25">
      <c r="E755" s="1" t="str">
        <f>""</f>
        <v/>
      </c>
      <c r="F755" s="1" t="str">
        <f>""</f>
        <v/>
      </c>
      <c r="H755" s="1" t="str">
        <f>"INDIGENT HEALTH"</f>
        <v>INDIGENT HEALTH</v>
      </c>
    </row>
    <row r="756" spans="1:8" x14ac:dyDescent="0.25">
      <c r="A756" s="1" t="s">
        <v>245</v>
      </c>
      <c r="B756" s="1">
        <v>1031</v>
      </c>
      <c r="C756" s="3">
        <v>1500</v>
      </c>
      <c r="D756" s="2">
        <v>43655</v>
      </c>
      <c r="E756" s="1" t="str">
        <f>"201907020256"</f>
        <v>201907020256</v>
      </c>
      <c r="F756" s="1" t="str">
        <f>"VET SURG SVCS 6/24 6/27 &amp; 7/1"</f>
        <v>VET SURG SVCS 6/24 6/27 &amp; 7/1</v>
      </c>
      <c r="G756" s="3">
        <v>1500</v>
      </c>
      <c r="H756" s="1" t="str">
        <f>"VET SURG SVCS 6/24 6/27 &amp; 7/1"</f>
        <v>VET SURG SVCS 6/24 6/27 &amp; 7/1</v>
      </c>
    </row>
    <row r="757" spans="1:8" x14ac:dyDescent="0.25">
      <c r="A757" s="1" t="s">
        <v>245</v>
      </c>
      <c r="B757" s="1">
        <v>1105</v>
      </c>
      <c r="C757" s="3">
        <v>1500</v>
      </c>
      <c r="D757" s="2">
        <v>43669</v>
      </c>
      <c r="E757" s="1" t="str">
        <f>"201907170608"</f>
        <v>201907170608</v>
      </c>
      <c r="F757" s="1" t="str">
        <f>"VET SURGICAL SVCS-JULY 8 11 15"</f>
        <v>VET SURGICAL SVCS-JULY 8 11 15</v>
      </c>
      <c r="G757" s="3">
        <v>1500</v>
      </c>
      <c r="H757" s="1" t="str">
        <f>"VET SURGICAL SVCS-JULY 8 11 15"</f>
        <v>VET SURGICAL SVCS-JULY 8 11 15</v>
      </c>
    </row>
    <row r="758" spans="1:8" x14ac:dyDescent="0.25">
      <c r="A758" s="1" t="s">
        <v>246</v>
      </c>
      <c r="B758" s="1">
        <v>1027</v>
      </c>
      <c r="C758" s="3">
        <v>630.51</v>
      </c>
      <c r="D758" s="2">
        <v>43655</v>
      </c>
      <c r="E758" s="1" t="str">
        <f>"201906260110"</f>
        <v>201906260110</v>
      </c>
      <c r="F758" s="1" t="str">
        <f>"REIMBURSE-MEALS/HOTEL"</f>
        <v>REIMBURSE-MEALS/HOTEL</v>
      </c>
      <c r="G758" s="3">
        <v>630.51</v>
      </c>
      <c r="H758" s="1" t="str">
        <f>"REIMBURSE-MEALS/HOTEL"</f>
        <v>REIMBURSE-MEALS/HOTEL</v>
      </c>
    </row>
    <row r="759" spans="1:8" x14ac:dyDescent="0.25">
      <c r="A759" s="1" t="s">
        <v>247</v>
      </c>
      <c r="B759" s="1">
        <v>82935</v>
      </c>
      <c r="C759" s="3">
        <v>1080.26</v>
      </c>
      <c r="D759" s="2">
        <v>43654</v>
      </c>
      <c r="E759" s="1" t="str">
        <f>"201907010220"</f>
        <v>201907010220</v>
      </c>
      <c r="F759" s="1" t="str">
        <f>"REIMBURSE MEAL/HOTEL/CONF REG"</f>
        <v>REIMBURSE MEAL/HOTEL/CONF REG</v>
      </c>
      <c r="G759" s="3">
        <v>380.2</v>
      </c>
      <c r="H759" s="1" t="str">
        <f>"REIMBURSE MEAL/HOTEL/CONF REG"</f>
        <v>REIMBURSE MEAL/HOTEL/CONF REG</v>
      </c>
    </row>
    <row r="760" spans="1:8" x14ac:dyDescent="0.25">
      <c r="E760" s="1" t="str">
        <f>"201907020255"</f>
        <v>201907020255</v>
      </c>
      <c r="F760" s="1" t="str">
        <f>"MILEAGE REIMBURSEMENT"</f>
        <v>MILEAGE REIMBURSEMENT</v>
      </c>
      <c r="G760" s="3">
        <v>700.06</v>
      </c>
      <c r="H760" s="1" t="str">
        <f>"MILEAGE REIMBURSEMENT"</f>
        <v>MILEAGE REIMBURSEMENT</v>
      </c>
    </row>
    <row r="761" spans="1:8" x14ac:dyDescent="0.25">
      <c r="A761" s="1" t="s">
        <v>248</v>
      </c>
      <c r="B761" s="1">
        <v>82936</v>
      </c>
      <c r="C761" s="3">
        <v>18</v>
      </c>
      <c r="D761" s="2">
        <v>43654</v>
      </c>
      <c r="E761" s="1" t="str">
        <f>"201907010239"</f>
        <v>201907010239</v>
      </c>
      <c r="F761" s="1" t="str">
        <f>"PARKING REIMBURSEMENT"</f>
        <v>PARKING REIMBURSEMENT</v>
      </c>
      <c r="G761" s="3">
        <v>18</v>
      </c>
      <c r="H761" s="1" t="str">
        <f>"PARKING REIMBURSEMENT"</f>
        <v>PARKING REIMBURSEMENT</v>
      </c>
    </row>
    <row r="762" spans="1:8" x14ac:dyDescent="0.25">
      <c r="A762" s="1" t="s">
        <v>249</v>
      </c>
      <c r="B762" s="1">
        <v>1047</v>
      </c>
      <c r="C762" s="3">
        <v>3558</v>
      </c>
      <c r="D762" s="2">
        <v>43655</v>
      </c>
      <c r="E762" s="1" t="str">
        <f>"19-005"</f>
        <v>19-005</v>
      </c>
      <c r="F762" s="1" t="str">
        <f>"807-21"</f>
        <v>807-21</v>
      </c>
      <c r="G762" s="3">
        <v>3558</v>
      </c>
      <c r="H762" s="1" t="str">
        <f>"807-21"</f>
        <v>807-21</v>
      </c>
    </row>
    <row r="763" spans="1:8" x14ac:dyDescent="0.25">
      <c r="A763" s="1" t="s">
        <v>250</v>
      </c>
      <c r="B763" s="1">
        <v>82937</v>
      </c>
      <c r="C763" s="3">
        <v>594.6</v>
      </c>
      <c r="D763" s="2">
        <v>43654</v>
      </c>
      <c r="E763" s="1" t="str">
        <f>"19895"</f>
        <v>19895</v>
      </c>
      <c r="F763" s="1" t="str">
        <f>"FREIGHT SALES/PCT#2"</f>
        <v>FREIGHT SALES/PCT#2</v>
      </c>
      <c r="G763" s="3">
        <v>594.6</v>
      </c>
      <c r="H763" s="1" t="str">
        <f>"FREIGHT SALES/PCT#2"</f>
        <v>FREIGHT SALES/PCT#2</v>
      </c>
    </row>
    <row r="764" spans="1:8" x14ac:dyDescent="0.25">
      <c r="A764" s="1" t="s">
        <v>250</v>
      </c>
      <c r="B764" s="1">
        <v>83182</v>
      </c>
      <c r="C764" s="3">
        <v>3233.3</v>
      </c>
      <c r="D764" s="2">
        <v>43668</v>
      </c>
      <c r="E764" s="1" t="str">
        <f>"19939"</f>
        <v>19939</v>
      </c>
      <c r="F764" s="1" t="str">
        <f>"FREIGHT SALES/PCT#2"</f>
        <v>FREIGHT SALES/PCT#2</v>
      </c>
      <c r="G764" s="3">
        <v>967.85</v>
      </c>
      <c r="H764" s="1" t="str">
        <f>"FREIGHT SALES/PCT#2"</f>
        <v>FREIGHT SALES/PCT#2</v>
      </c>
    </row>
    <row r="765" spans="1:8" x14ac:dyDescent="0.25">
      <c r="E765" s="1" t="str">
        <f>"19977"</f>
        <v>19977</v>
      </c>
      <c r="F765" s="1" t="str">
        <f>"FREIGHT SALES/PCT#2"</f>
        <v>FREIGHT SALES/PCT#2</v>
      </c>
      <c r="G765" s="3">
        <v>1656.55</v>
      </c>
      <c r="H765" s="1" t="str">
        <f>"FREIGHT SALES/PCT#2"</f>
        <v>FREIGHT SALES/PCT#2</v>
      </c>
    </row>
    <row r="766" spans="1:8" x14ac:dyDescent="0.25">
      <c r="E766" s="1" t="str">
        <f>"20012"</f>
        <v>20012</v>
      </c>
      <c r="F766" s="1" t="str">
        <f>"FREIGHT SALES/PCT#2"</f>
        <v>FREIGHT SALES/PCT#2</v>
      </c>
      <c r="G766" s="3">
        <v>608.9</v>
      </c>
      <c r="H766" s="1" t="str">
        <f>"FREIGHT SALES/PCT#2"</f>
        <v>FREIGHT SALES/PCT#2</v>
      </c>
    </row>
    <row r="767" spans="1:8" x14ac:dyDescent="0.25">
      <c r="A767" s="1" t="s">
        <v>251</v>
      </c>
      <c r="B767" s="1">
        <v>83183</v>
      </c>
      <c r="C767" s="3">
        <v>100</v>
      </c>
      <c r="D767" s="2">
        <v>43668</v>
      </c>
      <c r="E767" s="1" t="str">
        <f>"13185"</f>
        <v>13185</v>
      </c>
      <c r="F767" s="1" t="str">
        <f>"SERVICE"</f>
        <v>SERVICE</v>
      </c>
      <c r="G767" s="3">
        <v>100</v>
      </c>
      <c r="H767" s="1" t="str">
        <f>"SERVICE"</f>
        <v>SERVICE</v>
      </c>
    </row>
    <row r="768" spans="1:8" x14ac:dyDescent="0.25">
      <c r="A768" s="1" t="s">
        <v>252</v>
      </c>
      <c r="B768" s="1">
        <v>83007</v>
      </c>
      <c r="C768" s="3">
        <v>40</v>
      </c>
      <c r="D768" s="2">
        <v>43655</v>
      </c>
      <c r="E768" s="1" t="str">
        <f>"201907090286"</f>
        <v>201907090286</v>
      </c>
      <c r="F768" s="1" t="str">
        <f>"Misc"</f>
        <v>Misc</v>
      </c>
      <c r="G768" s="3">
        <v>40</v>
      </c>
      <c r="H768" s="1" t="str">
        <f>"ADREA LETRICE BRIDGEMAN"</f>
        <v>ADREA LETRICE BRIDGEMAN</v>
      </c>
    </row>
    <row r="769" spans="1:8" x14ac:dyDescent="0.25">
      <c r="A769" s="1" t="s">
        <v>253</v>
      </c>
      <c r="B769" s="1">
        <v>83008</v>
      </c>
      <c r="C769" s="3">
        <v>40</v>
      </c>
      <c r="D769" s="2">
        <v>43655</v>
      </c>
      <c r="E769" s="1" t="str">
        <f>"201907090287"</f>
        <v>201907090287</v>
      </c>
      <c r="F769" s="1" t="str">
        <f>"Misc"</f>
        <v>Misc</v>
      </c>
      <c r="G769" s="3">
        <v>40</v>
      </c>
      <c r="H769" s="1" t="str">
        <f>"JOSEPH EDWARD GRUNINGER"</f>
        <v>JOSEPH EDWARD GRUNINGER</v>
      </c>
    </row>
    <row r="770" spans="1:8" x14ac:dyDescent="0.25">
      <c r="A770" s="1" t="s">
        <v>254</v>
      </c>
      <c r="B770" s="1">
        <v>83009</v>
      </c>
      <c r="C770" s="3">
        <v>40</v>
      </c>
      <c r="D770" s="2">
        <v>43655</v>
      </c>
      <c r="E770" s="1" t="str">
        <f>"201907090288"</f>
        <v>201907090288</v>
      </c>
      <c r="F770" s="1" t="str">
        <f>"Miscel"</f>
        <v>Miscel</v>
      </c>
      <c r="G770" s="3">
        <v>40</v>
      </c>
      <c r="H770" s="1" t="str">
        <f>"JEFFREY RUSSELL KRITZ"</f>
        <v>JEFFREY RUSSELL KRITZ</v>
      </c>
    </row>
    <row r="771" spans="1:8" x14ac:dyDescent="0.25">
      <c r="A771" s="1" t="s">
        <v>255</v>
      </c>
      <c r="B771" s="1">
        <v>83010</v>
      </c>
      <c r="C771" s="3">
        <v>40</v>
      </c>
      <c r="D771" s="2">
        <v>43655</v>
      </c>
      <c r="E771" s="1" t="str">
        <f>"201907090289"</f>
        <v>201907090289</v>
      </c>
      <c r="F771" s="1" t="str">
        <f>"Miscell"</f>
        <v>Miscell</v>
      </c>
      <c r="G771" s="3">
        <v>40</v>
      </c>
      <c r="H771" s="1" t="str">
        <f>"MICHELLE LYNN HARRIS"</f>
        <v>MICHELLE LYNN HARRIS</v>
      </c>
    </row>
    <row r="772" spans="1:8" x14ac:dyDescent="0.25">
      <c r="A772" s="1" t="s">
        <v>256</v>
      </c>
      <c r="B772" s="1">
        <v>83011</v>
      </c>
      <c r="C772" s="3">
        <v>40</v>
      </c>
      <c r="D772" s="2">
        <v>43655</v>
      </c>
      <c r="E772" s="1" t="str">
        <f>"201907090290"</f>
        <v>201907090290</v>
      </c>
      <c r="F772" s="1" t="str">
        <f>"Miscellane"</f>
        <v>Miscellane</v>
      </c>
      <c r="G772" s="3">
        <v>40</v>
      </c>
      <c r="H772" s="1" t="str">
        <f>"JOHN MICHAEL COON"</f>
        <v>JOHN MICHAEL COON</v>
      </c>
    </row>
    <row r="773" spans="1:8" x14ac:dyDescent="0.25">
      <c r="A773" s="1" t="s">
        <v>257</v>
      </c>
      <c r="B773" s="1">
        <v>83012</v>
      </c>
      <c r="C773" s="3">
        <v>40</v>
      </c>
      <c r="D773" s="2">
        <v>43655</v>
      </c>
      <c r="E773" s="1" t="str">
        <f>"201907090291"</f>
        <v>201907090291</v>
      </c>
      <c r="F773" s="1" t="str">
        <f>"Miscella"</f>
        <v>Miscella</v>
      </c>
      <c r="G773" s="3">
        <v>40</v>
      </c>
      <c r="H773" s="1" t="str">
        <f>"DAVID EARL MCMULLEN"</f>
        <v>DAVID EARL MCMULLEN</v>
      </c>
    </row>
    <row r="774" spans="1:8" x14ac:dyDescent="0.25">
      <c r="A774" s="1" t="s">
        <v>258</v>
      </c>
      <c r="B774" s="1">
        <v>83013</v>
      </c>
      <c r="C774" s="3">
        <v>40</v>
      </c>
      <c r="D774" s="2">
        <v>43655</v>
      </c>
      <c r="E774" s="1" t="str">
        <f>"201907090292"</f>
        <v>201907090292</v>
      </c>
      <c r="F774" s="1" t="str">
        <f>"Misce"</f>
        <v>Misce</v>
      </c>
      <c r="G774" s="3">
        <v>40</v>
      </c>
      <c r="H774" s="1" t="str">
        <f>"ARRION SAVINO ESPINOZA"</f>
        <v>ARRION SAVINO ESPINOZA</v>
      </c>
    </row>
    <row r="775" spans="1:8" x14ac:dyDescent="0.25">
      <c r="A775" s="1" t="s">
        <v>259</v>
      </c>
      <c r="B775" s="1">
        <v>83014</v>
      </c>
      <c r="C775" s="3">
        <v>40</v>
      </c>
      <c r="D775" s="2">
        <v>43655</v>
      </c>
      <c r="E775" s="1" t="str">
        <f>"201907090293"</f>
        <v>201907090293</v>
      </c>
      <c r="F775" s="1" t="str">
        <f>"Miscellaneous"</f>
        <v>Miscellaneous</v>
      </c>
      <c r="G775" s="3">
        <v>40</v>
      </c>
      <c r="H775" s="1" t="str">
        <f>"DIXIE ANN KING"</f>
        <v>DIXIE ANN KING</v>
      </c>
    </row>
    <row r="776" spans="1:8" x14ac:dyDescent="0.25">
      <c r="A776" s="1" t="s">
        <v>260</v>
      </c>
      <c r="B776" s="1">
        <v>83015</v>
      </c>
      <c r="C776" s="3">
        <v>40</v>
      </c>
      <c r="D776" s="2">
        <v>43655</v>
      </c>
      <c r="E776" s="1" t="str">
        <f>"201907090294"</f>
        <v>201907090294</v>
      </c>
      <c r="F776" s="1" t="str">
        <f>"Miscellaneou"</f>
        <v>Miscellaneou</v>
      </c>
      <c r="G776" s="3">
        <v>40</v>
      </c>
      <c r="H776" s="1" t="str">
        <f>"ROBYNE M TAYLOR"</f>
        <v>ROBYNE M TAYLOR</v>
      </c>
    </row>
    <row r="777" spans="1:8" x14ac:dyDescent="0.25">
      <c r="A777" s="1" t="s">
        <v>261</v>
      </c>
      <c r="B777" s="1">
        <v>83016</v>
      </c>
      <c r="C777" s="3">
        <v>40</v>
      </c>
      <c r="D777" s="2">
        <v>43655</v>
      </c>
      <c r="E777" s="1" t="str">
        <f>"201907090295"</f>
        <v>201907090295</v>
      </c>
      <c r="F777" s="1" t="str">
        <f>"Miscella"</f>
        <v>Miscella</v>
      </c>
      <c r="G777" s="3">
        <v>40</v>
      </c>
      <c r="H777" s="1" t="str">
        <f>"MAIRA LORENA GORMAN"</f>
        <v>MAIRA LORENA GORMAN</v>
      </c>
    </row>
    <row r="778" spans="1:8" x14ac:dyDescent="0.25">
      <c r="A778" s="1" t="s">
        <v>262</v>
      </c>
      <c r="B778" s="1">
        <v>83022</v>
      </c>
      <c r="C778" s="3">
        <v>20</v>
      </c>
      <c r="D778" s="2">
        <v>43662</v>
      </c>
      <c r="E778" s="1" t="str">
        <f>"201907160493"</f>
        <v>201907160493</v>
      </c>
      <c r="F778" s="1" t="str">
        <f>"Miscellan"</f>
        <v>Miscellan</v>
      </c>
      <c r="G778" s="3">
        <v>20</v>
      </c>
      <c r="H778" s="1" t="str">
        <f>"DANA DENISE GOERTZ"</f>
        <v>DANA DENISE GOERTZ</v>
      </c>
    </row>
    <row r="779" spans="1:8" x14ac:dyDescent="0.25">
      <c r="A779" s="1" t="s">
        <v>263</v>
      </c>
      <c r="B779" s="1">
        <v>83023</v>
      </c>
      <c r="C779" s="3">
        <v>20</v>
      </c>
      <c r="D779" s="2">
        <v>43662</v>
      </c>
      <c r="E779" s="1" t="str">
        <f>"201907160494"</f>
        <v>201907160494</v>
      </c>
      <c r="F779" s="1" t="str">
        <f>"Miscellan"</f>
        <v>Miscellan</v>
      </c>
      <c r="G779" s="3">
        <v>20</v>
      </c>
      <c r="H779" s="1" t="str">
        <f>"JULIE DENISE RHONE"</f>
        <v>JULIE DENISE RHONE</v>
      </c>
    </row>
    <row r="780" spans="1:8" x14ac:dyDescent="0.25">
      <c r="A780" s="1" t="s">
        <v>264</v>
      </c>
      <c r="B780" s="1">
        <v>83024</v>
      </c>
      <c r="C780" s="3">
        <v>20</v>
      </c>
      <c r="D780" s="2">
        <v>43662</v>
      </c>
      <c r="E780" s="1" t="str">
        <f>"201907160495"</f>
        <v>201907160495</v>
      </c>
      <c r="F780" s="1" t="str">
        <f>"Mis"</f>
        <v>Mis</v>
      </c>
      <c r="G780" s="3">
        <v>20</v>
      </c>
      <c r="H780" s="1" t="str">
        <f>"JEFFERY LEE TUFFENTSAMER"</f>
        <v>JEFFERY LEE TUFFENTSAMER</v>
      </c>
    </row>
    <row r="781" spans="1:8" x14ac:dyDescent="0.25">
      <c r="A781" s="1" t="s">
        <v>265</v>
      </c>
      <c r="B781" s="1">
        <v>83025</v>
      </c>
      <c r="C781" s="3">
        <v>20</v>
      </c>
      <c r="D781" s="2">
        <v>43662</v>
      </c>
      <c r="E781" s="1" t="str">
        <f>"201907160496"</f>
        <v>201907160496</v>
      </c>
      <c r="F781" s="1" t="str">
        <f>"Miscellaneo"</f>
        <v>Miscellaneo</v>
      </c>
      <c r="G781" s="3">
        <v>20</v>
      </c>
      <c r="H781" s="1" t="str">
        <f>"JACOB BOYD HENRY"</f>
        <v>JACOB BOYD HENRY</v>
      </c>
    </row>
    <row r="782" spans="1:8" x14ac:dyDescent="0.25">
      <c r="A782" s="1" t="s">
        <v>266</v>
      </c>
      <c r="B782" s="1">
        <v>83026</v>
      </c>
      <c r="C782" s="3">
        <v>20</v>
      </c>
      <c r="D782" s="2">
        <v>43662</v>
      </c>
      <c r="E782" s="1" t="str">
        <f>"201907160497"</f>
        <v>201907160497</v>
      </c>
      <c r="F782" s="1" t="str">
        <f>"Miscellaneou"</f>
        <v>Miscellaneou</v>
      </c>
      <c r="G782" s="3">
        <v>20</v>
      </c>
      <c r="H782" s="1" t="str">
        <f>"BEN ALLEN HIGGS"</f>
        <v>BEN ALLEN HIGGS</v>
      </c>
    </row>
    <row r="783" spans="1:8" x14ac:dyDescent="0.25">
      <c r="A783" s="1" t="s">
        <v>267</v>
      </c>
      <c r="B783" s="1">
        <v>83027</v>
      </c>
      <c r="C783" s="3">
        <v>20</v>
      </c>
      <c r="D783" s="2">
        <v>43662</v>
      </c>
      <c r="E783" s="1" t="str">
        <f>"201907160498"</f>
        <v>201907160498</v>
      </c>
      <c r="F783" s="1" t="str">
        <f>"Miscella"</f>
        <v>Miscella</v>
      </c>
      <c r="G783" s="3">
        <v>20</v>
      </c>
      <c r="H783" s="1" t="str">
        <f>"LINDA MARIE WINKLER"</f>
        <v>LINDA MARIE WINKLER</v>
      </c>
    </row>
    <row r="784" spans="1:8" x14ac:dyDescent="0.25">
      <c r="A784" s="1" t="s">
        <v>268</v>
      </c>
      <c r="B784" s="1">
        <v>83028</v>
      </c>
      <c r="C784" s="3">
        <v>20</v>
      </c>
      <c r="D784" s="2">
        <v>43662</v>
      </c>
      <c r="E784" s="1" t="str">
        <f>"201907160499"</f>
        <v>201907160499</v>
      </c>
      <c r="F784" s="1" t="str">
        <f>"Miscellan"</f>
        <v>Miscellan</v>
      </c>
      <c r="G784" s="3">
        <v>20</v>
      </c>
      <c r="H784" s="1" t="str">
        <f>"SCOTT TYLER TUCKER"</f>
        <v>SCOTT TYLER TUCKER</v>
      </c>
    </row>
    <row r="785" spans="1:8" x14ac:dyDescent="0.25">
      <c r="A785" s="1" t="s">
        <v>269</v>
      </c>
      <c r="B785" s="1">
        <v>83029</v>
      </c>
      <c r="C785" s="3">
        <v>20</v>
      </c>
      <c r="D785" s="2">
        <v>43662</v>
      </c>
      <c r="E785" s="1" t="str">
        <f>"201907160500"</f>
        <v>201907160500</v>
      </c>
      <c r="F785" s="1" t="str">
        <f>"Mis"</f>
        <v>Mis</v>
      </c>
      <c r="G785" s="3">
        <v>20</v>
      </c>
      <c r="H785" s="1" t="str">
        <f>"FABIAN HERNANDEZ-DELGADO"</f>
        <v>FABIAN HERNANDEZ-DELGADO</v>
      </c>
    </row>
    <row r="786" spans="1:8" x14ac:dyDescent="0.25">
      <c r="A786" s="1" t="s">
        <v>270</v>
      </c>
      <c r="B786" s="1">
        <v>83030</v>
      </c>
      <c r="C786" s="3">
        <v>20</v>
      </c>
      <c r="D786" s="2">
        <v>43662</v>
      </c>
      <c r="E786" s="1" t="str">
        <f>"201907160501"</f>
        <v>201907160501</v>
      </c>
      <c r="F786" s="1" t="str">
        <f>"Miscel"</f>
        <v>Miscel</v>
      </c>
      <c r="G786" s="3">
        <v>20</v>
      </c>
      <c r="H786" s="1" t="str">
        <f>"ROBERT VINCENT HARPER"</f>
        <v>ROBERT VINCENT HARPER</v>
      </c>
    </row>
    <row r="787" spans="1:8" x14ac:dyDescent="0.25">
      <c r="A787" s="1" t="s">
        <v>271</v>
      </c>
      <c r="B787" s="1">
        <v>83031</v>
      </c>
      <c r="C787" s="3">
        <v>20</v>
      </c>
      <c r="D787" s="2">
        <v>43662</v>
      </c>
      <c r="E787" s="1" t="str">
        <f>"201907160502"</f>
        <v>201907160502</v>
      </c>
      <c r="F787" s="1" t="str">
        <f>"M"</f>
        <v>M</v>
      </c>
      <c r="G787" s="3">
        <v>20</v>
      </c>
      <c r="H787" s="1" t="str">
        <f>"CHRISTOPHER THOMAS WHITSON"</f>
        <v>CHRISTOPHER THOMAS WHITSON</v>
      </c>
    </row>
    <row r="788" spans="1:8" x14ac:dyDescent="0.25">
      <c r="A788" s="1" t="s">
        <v>272</v>
      </c>
      <c r="B788" s="1">
        <v>83032</v>
      </c>
      <c r="C788" s="3">
        <v>20</v>
      </c>
      <c r="D788" s="2">
        <v>43662</v>
      </c>
      <c r="E788" s="1" t="str">
        <f>"201907160503"</f>
        <v>201907160503</v>
      </c>
      <c r="F788" s="1" t="str">
        <f>"Miscellaneous"</f>
        <v>Miscellaneous</v>
      </c>
      <c r="G788" s="3">
        <v>20</v>
      </c>
      <c r="H788" s="1" t="str">
        <f>"TOM GRIEGO"</f>
        <v>TOM GRIEGO</v>
      </c>
    </row>
    <row r="789" spans="1:8" x14ac:dyDescent="0.25">
      <c r="A789" s="1" t="s">
        <v>273</v>
      </c>
      <c r="B789" s="1">
        <v>83033</v>
      </c>
      <c r="C789" s="3">
        <v>20</v>
      </c>
      <c r="D789" s="2">
        <v>43662</v>
      </c>
      <c r="E789" s="1" t="str">
        <f>"201907160504"</f>
        <v>201907160504</v>
      </c>
      <c r="F789" s="1" t="str">
        <f>"Miscellane"</f>
        <v>Miscellane</v>
      </c>
      <c r="G789" s="3">
        <v>20</v>
      </c>
      <c r="H789" s="1" t="str">
        <f>"GARY LEE SYVERSON"</f>
        <v>GARY LEE SYVERSON</v>
      </c>
    </row>
    <row r="790" spans="1:8" x14ac:dyDescent="0.25">
      <c r="A790" s="1" t="s">
        <v>274</v>
      </c>
      <c r="B790" s="1">
        <v>83034</v>
      </c>
      <c r="C790" s="3">
        <v>20</v>
      </c>
      <c r="D790" s="2">
        <v>43662</v>
      </c>
      <c r="E790" s="1" t="str">
        <f>"201907160505"</f>
        <v>201907160505</v>
      </c>
      <c r="F790" s="1" t="str">
        <f>"Misce"</f>
        <v>Misce</v>
      </c>
      <c r="G790" s="3">
        <v>20</v>
      </c>
      <c r="H790" s="1" t="str">
        <f>"ISAAC ARTHUR HERNANDEZ"</f>
        <v>ISAAC ARTHUR HERNANDEZ</v>
      </c>
    </row>
    <row r="791" spans="1:8" x14ac:dyDescent="0.25">
      <c r="A791" s="1" t="s">
        <v>275</v>
      </c>
      <c r="B791" s="1">
        <v>83035</v>
      </c>
      <c r="C791" s="3">
        <v>20</v>
      </c>
      <c r="D791" s="2">
        <v>43662</v>
      </c>
      <c r="E791" s="1" t="str">
        <f>"201907160506"</f>
        <v>201907160506</v>
      </c>
      <c r="F791" s="1" t="str">
        <f>"Miscel"</f>
        <v>Miscel</v>
      </c>
      <c r="G791" s="3">
        <v>20</v>
      </c>
      <c r="H791" s="1" t="str">
        <f>"LAURA MILDRED RAYMOND"</f>
        <v>LAURA MILDRED RAYMOND</v>
      </c>
    </row>
    <row r="792" spans="1:8" x14ac:dyDescent="0.25">
      <c r="A792" s="1" t="s">
        <v>276</v>
      </c>
      <c r="B792" s="1">
        <v>83036</v>
      </c>
      <c r="C792" s="3">
        <v>20</v>
      </c>
      <c r="D792" s="2">
        <v>43662</v>
      </c>
      <c r="E792" s="1" t="str">
        <f>"201907160507"</f>
        <v>201907160507</v>
      </c>
      <c r="F792" s="1" t="str">
        <f>"Miscell"</f>
        <v>Miscell</v>
      </c>
      <c r="G792" s="3">
        <v>20</v>
      </c>
      <c r="H792" s="1" t="str">
        <f>"CAMERON JOSEPH BURNS"</f>
        <v>CAMERON JOSEPH BURNS</v>
      </c>
    </row>
    <row r="793" spans="1:8" x14ac:dyDescent="0.25">
      <c r="A793" s="1" t="s">
        <v>277</v>
      </c>
      <c r="B793" s="1">
        <v>83037</v>
      </c>
      <c r="C793" s="3">
        <v>20</v>
      </c>
      <c r="D793" s="2">
        <v>43662</v>
      </c>
      <c r="E793" s="1" t="str">
        <f>"201907160508"</f>
        <v>201907160508</v>
      </c>
      <c r="F793" s="1" t="str">
        <f>"Miscel"</f>
        <v>Miscel</v>
      </c>
      <c r="G793" s="3">
        <v>20</v>
      </c>
      <c r="H793" s="1" t="str">
        <f>"WILLIAM TAYLOR RHODES"</f>
        <v>WILLIAM TAYLOR RHODES</v>
      </c>
    </row>
    <row r="794" spans="1:8" x14ac:dyDescent="0.25">
      <c r="A794" s="1" t="s">
        <v>278</v>
      </c>
      <c r="B794" s="1">
        <v>83038</v>
      </c>
      <c r="C794" s="3">
        <v>20</v>
      </c>
      <c r="D794" s="2">
        <v>43662</v>
      </c>
      <c r="E794" s="1" t="str">
        <f>"201907160509"</f>
        <v>201907160509</v>
      </c>
      <c r="F794" s="1" t="str">
        <f>"Miscellan"</f>
        <v>Miscellan</v>
      </c>
      <c r="G794" s="3">
        <v>20</v>
      </c>
      <c r="H794" s="1" t="str">
        <f>"SCOTT ALAN SYMONDS"</f>
        <v>SCOTT ALAN SYMONDS</v>
      </c>
    </row>
    <row r="795" spans="1:8" x14ac:dyDescent="0.25">
      <c r="A795" s="1" t="s">
        <v>279</v>
      </c>
      <c r="B795" s="1">
        <v>83039</v>
      </c>
      <c r="C795" s="3">
        <v>20</v>
      </c>
      <c r="D795" s="2">
        <v>43662</v>
      </c>
      <c r="E795" s="1" t="str">
        <f>"201907160510"</f>
        <v>201907160510</v>
      </c>
      <c r="F795" s="1" t="str">
        <f>"Miscellan"</f>
        <v>Miscellan</v>
      </c>
      <c r="G795" s="3">
        <v>20</v>
      </c>
      <c r="H795" s="1" t="str">
        <f>"SARA ILENE TRIBBLE"</f>
        <v>SARA ILENE TRIBBLE</v>
      </c>
    </row>
    <row r="796" spans="1:8" x14ac:dyDescent="0.25">
      <c r="A796" s="1" t="s">
        <v>280</v>
      </c>
      <c r="B796" s="1">
        <v>83040</v>
      </c>
      <c r="C796" s="3">
        <v>20</v>
      </c>
      <c r="D796" s="2">
        <v>43662</v>
      </c>
      <c r="E796" s="1" t="str">
        <f>"201907160511"</f>
        <v>201907160511</v>
      </c>
      <c r="F796" s="1" t="str">
        <f>"Miscell"</f>
        <v>Miscell</v>
      </c>
      <c r="G796" s="3">
        <v>20</v>
      </c>
      <c r="H796" s="1" t="str">
        <f>"DARIUS ANTHONY LAIRD"</f>
        <v>DARIUS ANTHONY LAIRD</v>
      </c>
    </row>
    <row r="797" spans="1:8" x14ac:dyDescent="0.25">
      <c r="A797" s="1" t="s">
        <v>281</v>
      </c>
      <c r="B797" s="1">
        <v>83041</v>
      </c>
      <c r="C797" s="3">
        <v>20</v>
      </c>
      <c r="D797" s="2">
        <v>43662</v>
      </c>
      <c r="E797" s="1" t="str">
        <f>"201907160512"</f>
        <v>201907160512</v>
      </c>
      <c r="F797" s="1" t="str">
        <f>"Misce"</f>
        <v>Misce</v>
      </c>
      <c r="G797" s="3">
        <v>20</v>
      </c>
      <c r="H797" s="1" t="str">
        <f>"THOMAS RICHARD GUTHERY"</f>
        <v>THOMAS RICHARD GUTHERY</v>
      </c>
    </row>
    <row r="798" spans="1:8" x14ac:dyDescent="0.25">
      <c r="A798" s="1" t="s">
        <v>282</v>
      </c>
      <c r="B798" s="1">
        <v>83042</v>
      </c>
      <c r="C798" s="3">
        <v>20</v>
      </c>
      <c r="D798" s="2">
        <v>43662</v>
      </c>
      <c r="E798" s="1" t="str">
        <f>"201907160513"</f>
        <v>201907160513</v>
      </c>
      <c r="F798" s="1" t="str">
        <f>"Miscellaneo"</f>
        <v>Miscellaneo</v>
      </c>
      <c r="G798" s="3">
        <v>20</v>
      </c>
      <c r="H798" s="1" t="str">
        <f>"CODY RAY SCROGUM"</f>
        <v>CODY RAY SCROGUM</v>
      </c>
    </row>
    <row r="799" spans="1:8" x14ac:dyDescent="0.25">
      <c r="A799" s="1" t="s">
        <v>283</v>
      </c>
      <c r="B799" s="1">
        <v>83043</v>
      </c>
      <c r="C799" s="3">
        <v>20</v>
      </c>
      <c r="D799" s="2">
        <v>43662</v>
      </c>
      <c r="E799" s="1" t="str">
        <f>"201907160514"</f>
        <v>201907160514</v>
      </c>
      <c r="F799" s="1" t="str">
        <f>"Miscellaneo"</f>
        <v>Miscellaneo</v>
      </c>
      <c r="G799" s="3">
        <v>20</v>
      </c>
      <c r="H799" s="1" t="str">
        <f>"LARRY EDWARD OTT"</f>
        <v>LARRY EDWARD OTT</v>
      </c>
    </row>
    <row r="800" spans="1:8" x14ac:dyDescent="0.25">
      <c r="A800" s="1" t="s">
        <v>284</v>
      </c>
      <c r="B800" s="1">
        <v>83044</v>
      </c>
      <c r="C800" s="3">
        <v>20</v>
      </c>
      <c r="D800" s="2">
        <v>43662</v>
      </c>
      <c r="E800" s="1" t="str">
        <f>"201907160515"</f>
        <v>201907160515</v>
      </c>
      <c r="F800" s="1" t="str">
        <f>"Miscella"</f>
        <v>Miscella</v>
      </c>
      <c r="G800" s="3">
        <v>20</v>
      </c>
      <c r="H800" s="1" t="str">
        <f>"MARTIN DALE FINDLEY"</f>
        <v>MARTIN DALE FINDLEY</v>
      </c>
    </row>
    <row r="801" spans="1:8" x14ac:dyDescent="0.25">
      <c r="A801" s="1" t="s">
        <v>285</v>
      </c>
      <c r="B801" s="1">
        <v>83045</v>
      </c>
      <c r="C801" s="3">
        <v>20</v>
      </c>
      <c r="D801" s="2">
        <v>43662</v>
      </c>
      <c r="E801" s="1" t="str">
        <f>"201907160516"</f>
        <v>201907160516</v>
      </c>
      <c r="F801" s="1" t="str">
        <f>"Miscellane"</f>
        <v>Miscellane</v>
      </c>
      <c r="G801" s="3">
        <v>20</v>
      </c>
      <c r="H801" s="1" t="str">
        <f>"JEREMY COLE MOSES"</f>
        <v>JEREMY COLE MOSES</v>
      </c>
    </row>
    <row r="802" spans="1:8" x14ac:dyDescent="0.25">
      <c r="A802" s="1" t="s">
        <v>286</v>
      </c>
      <c r="B802" s="1">
        <v>83046</v>
      </c>
      <c r="C802" s="3">
        <v>20</v>
      </c>
      <c r="D802" s="2">
        <v>43662</v>
      </c>
      <c r="E802" s="1" t="str">
        <f>"201907160517"</f>
        <v>201907160517</v>
      </c>
      <c r="F802" s="1" t="str">
        <f>"Miscellaneo"</f>
        <v>Miscellaneo</v>
      </c>
      <c r="G802" s="3">
        <v>20</v>
      </c>
      <c r="H802" s="1" t="str">
        <f>"KAREN LEE BITZER"</f>
        <v>KAREN LEE BITZER</v>
      </c>
    </row>
    <row r="803" spans="1:8" x14ac:dyDescent="0.25">
      <c r="A803" s="1" t="s">
        <v>287</v>
      </c>
      <c r="B803" s="1">
        <v>83047</v>
      </c>
      <c r="C803" s="3">
        <v>20</v>
      </c>
      <c r="D803" s="2">
        <v>43662</v>
      </c>
      <c r="E803" s="1" t="str">
        <f>"201907160518"</f>
        <v>201907160518</v>
      </c>
      <c r="F803" s="1" t="str">
        <f>"Miscellan"</f>
        <v>Miscellan</v>
      </c>
      <c r="G803" s="3">
        <v>20</v>
      </c>
      <c r="H803" s="1" t="str">
        <f>"PEGGY MILLER YOUNG"</f>
        <v>PEGGY MILLER YOUNG</v>
      </c>
    </row>
    <row r="804" spans="1:8" x14ac:dyDescent="0.25">
      <c r="A804" s="1" t="s">
        <v>288</v>
      </c>
      <c r="B804" s="1">
        <v>83048</v>
      </c>
      <c r="C804" s="3">
        <v>20</v>
      </c>
      <c r="D804" s="2">
        <v>43662</v>
      </c>
      <c r="E804" s="1" t="str">
        <f>"201907160519"</f>
        <v>201907160519</v>
      </c>
      <c r="F804" s="1" t="str">
        <f>"Miscellaneou"</f>
        <v>Miscellaneou</v>
      </c>
      <c r="G804" s="3">
        <v>20</v>
      </c>
      <c r="H804" s="1" t="str">
        <f>"TREY A MOLINARI"</f>
        <v>TREY A MOLINARI</v>
      </c>
    </row>
    <row r="805" spans="1:8" x14ac:dyDescent="0.25">
      <c r="A805" s="1" t="s">
        <v>289</v>
      </c>
      <c r="B805" s="1">
        <v>83049</v>
      </c>
      <c r="C805" s="3">
        <v>20</v>
      </c>
      <c r="D805" s="2">
        <v>43662</v>
      </c>
      <c r="E805" s="1" t="str">
        <f>"201907160520"</f>
        <v>201907160520</v>
      </c>
      <c r="F805" s="1" t="str">
        <f>"Miscellane"</f>
        <v>Miscellane</v>
      </c>
      <c r="G805" s="3">
        <v>20</v>
      </c>
      <c r="H805" s="1" t="str">
        <f>"RONALD LEE SOWELL"</f>
        <v>RONALD LEE SOWELL</v>
      </c>
    </row>
    <row r="806" spans="1:8" x14ac:dyDescent="0.25">
      <c r="A806" s="1" t="s">
        <v>290</v>
      </c>
      <c r="B806" s="1">
        <v>83050</v>
      </c>
      <c r="C806" s="3">
        <v>20</v>
      </c>
      <c r="D806" s="2">
        <v>43662</v>
      </c>
      <c r="E806" s="1" t="str">
        <f>"201907160521"</f>
        <v>201907160521</v>
      </c>
      <c r="F806" s="1" t="str">
        <f>"Miscella"</f>
        <v>Miscella</v>
      </c>
      <c r="G806" s="3">
        <v>20</v>
      </c>
      <c r="H806" s="1" t="str">
        <f>"LANCE LEE LEIFERMAN"</f>
        <v>LANCE LEE LEIFERMAN</v>
      </c>
    </row>
    <row r="807" spans="1:8" x14ac:dyDescent="0.25">
      <c r="A807" s="1" t="s">
        <v>291</v>
      </c>
      <c r="B807" s="1">
        <v>83051</v>
      </c>
      <c r="C807" s="3">
        <v>20</v>
      </c>
      <c r="D807" s="2">
        <v>43662</v>
      </c>
      <c r="E807" s="1" t="str">
        <f>"201907160522"</f>
        <v>201907160522</v>
      </c>
      <c r="F807" s="1" t="str">
        <f>"Miscellaneous"</f>
        <v>Miscellaneous</v>
      </c>
      <c r="G807" s="3">
        <v>20</v>
      </c>
      <c r="H807" s="1" t="str">
        <f>"PAULA MAE WITT"</f>
        <v>PAULA MAE WITT</v>
      </c>
    </row>
    <row r="808" spans="1:8" x14ac:dyDescent="0.25">
      <c r="A808" s="1" t="s">
        <v>292</v>
      </c>
      <c r="B808" s="1">
        <v>83052</v>
      </c>
      <c r="C808" s="3">
        <v>20</v>
      </c>
      <c r="D808" s="2">
        <v>43662</v>
      </c>
      <c r="E808" s="1" t="str">
        <f>"201907160523"</f>
        <v>201907160523</v>
      </c>
      <c r="F808" s="1" t="str">
        <f>"Miscell"</f>
        <v>Miscell</v>
      </c>
      <c r="G808" s="3">
        <v>20</v>
      </c>
      <c r="H808" s="1" t="str">
        <f>"KIMBERLY ANN MORALES"</f>
        <v>KIMBERLY ANN MORALES</v>
      </c>
    </row>
    <row r="809" spans="1:8" x14ac:dyDescent="0.25">
      <c r="A809" s="1" t="s">
        <v>293</v>
      </c>
      <c r="B809" s="1">
        <v>83053</v>
      </c>
      <c r="C809" s="3">
        <v>20</v>
      </c>
      <c r="D809" s="2">
        <v>43662</v>
      </c>
      <c r="E809" s="1" t="str">
        <f>"201907160524"</f>
        <v>201907160524</v>
      </c>
      <c r="F809" s="1" t="str">
        <f>"Miscellane"</f>
        <v>Miscellane</v>
      </c>
      <c r="G809" s="3">
        <v>20</v>
      </c>
      <c r="H809" s="1" t="str">
        <f>"LARRY GENE HANSEN"</f>
        <v>LARRY GENE HANSEN</v>
      </c>
    </row>
    <row r="810" spans="1:8" x14ac:dyDescent="0.25">
      <c r="A810" s="1" t="s">
        <v>294</v>
      </c>
      <c r="B810" s="1">
        <v>83054</v>
      </c>
      <c r="C810" s="3">
        <v>20</v>
      </c>
      <c r="D810" s="2">
        <v>43662</v>
      </c>
      <c r="E810" s="1" t="str">
        <f>"201907160525"</f>
        <v>201907160525</v>
      </c>
      <c r="F810" s="1" t="str">
        <f>"Miscellan"</f>
        <v>Miscellan</v>
      </c>
      <c r="G810" s="3">
        <v>20</v>
      </c>
      <c r="H810" s="1" t="str">
        <f>"RITA DOROTHY FLOYD"</f>
        <v>RITA DOROTHY FLOYD</v>
      </c>
    </row>
    <row r="811" spans="1:8" x14ac:dyDescent="0.25">
      <c r="A811" s="1" t="s">
        <v>295</v>
      </c>
      <c r="B811" s="1">
        <v>83055</v>
      </c>
      <c r="C811" s="3">
        <v>20</v>
      </c>
      <c r="D811" s="2">
        <v>43662</v>
      </c>
      <c r="E811" s="1" t="str">
        <f>"201907160526"</f>
        <v>201907160526</v>
      </c>
      <c r="F811" s="1" t="str">
        <f>"Miscella"</f>
        <v>Miscella</v>
      </c>
      <c r="G811" s="3">
        <v>20</v>
      </c>
      <c r="H811" s="1" t="str">
        <f>"ANDRES LEE MARTINEZ"</f>
        <v>ANDRES LEE MARTINEZ</v>
      </c>
    </row>
    <row r="812" spans="1:8" x14ac:dyDescent="0.25">
      <c r="A812" s="1" t="s">
        <v>296</v>
      </c>
      <c r="B812" s="1">
        <v>83056</v>
      </c>
      <c r="C812" s="3">
        <v>20</v>
      </c>
      <c r="D812" s="2">
        <v>43662</v>
      </c>
      <c r="E812" s="1" t="str">
        <f>"201907160527"</f>
        <v>201907160527</v>
      </c>
      <c r="F812" s="1" t="str">
        <f>"Miscellaneo"</f>
        <v>Miscellaneo</v>
      </c>
      <c r="G812" s="3">
        <v>20</v>
      </c>
      <c r="H812" s="1" t="str">
        <f>"LONNY RAY BOSTIC"</f>
        <v>LONNY RAY BOSTIC</v>
      </c>
    </row>
    <row r="813" spans="1:8" x14ac:dyDescent="0.25">
      <c r="A813" s="1" t="s">
        <v>297</v>
      </c>
      <c r="B813" s="1">
        <v>83057</v>
      </c>
      <c r="C813" s="3">
        <v>20</v>
      </c>
      <c r="D813" s="2">
        <v>43662</v>
      </c>
      <c r="E813" s="1" t="str">
        <f>"201907160528"</f>
        <v>201907160528</v>
      </c>
      <c r="F813" s="1" t="str">
        <f>"Miscellaneous"</f>
        <v>Miscellaneous</v>
      </c>
      <c r="G813" s="3">
        <v>20</v>
      </c>
      <c r="H813" s="1" t="str">
        <f>"JAMIE DEE FORD"</f>
        <v>JAMIE DEE FORD</v>
      </c>
    </row>
    <row r="814" spans="1:8" x14ac:dyDescent="0.25">
      <c r="A814" s="1" t="s">
        <v>298</v>
      </c>
      <c r="B814" s="1">
        <v>83058</v>
      </c>
      <c r="C814" s="3">
        <v>20</v>
      </c>
      <c r="D814" s="2">
        <v>43662</v>
      </c>
      <c r="E814" s="1" t="str">
        <f>"201907160529"</f>
        <v>201907160529</v>
      </c>
      <c r="F814" s="1" t="str">
        <f>""</f>
        <v/>
      </c>
      <c r="G814" s="3">
        <v>20</v>
      </c>
      <c r="H814" s="1" t="str">
        <f>"ADRIANNA GONZALES HERNANDEZ"</f>
        <v>ADRIANNA GONZALES HERNANDEZ</v>
      </c>
    </row>
    <row r="815" spans="1:8" x14ac:dyDescent="0.25">
      <c r="A815" s="1" t="s">
        <v>299</v>
      </c>
      <c r="B815" s="1">
        <v>83059</v>
      </c>
      <c r="C815" s="3">
        <v>20</v>
      </c>
      <c r="D815" s="2">
        <v>43662</v>
      </c>
      <c r="E815" s="1" t="str">
        <f>"201907160530"</f>
        <v>201907160530</v>
      </c>
      <c r="F815" s="1" t="str">
        <f>""</f>
        <v/>
      </c>
      <c r="G815" s="3">
        <v>20</v>
      </c>
      <c r="H815" s="1" t="str">
        <f>"HAYDEN CHRISTIAN DAVID DICKSON"</f>
        <v>HAYDEN CHRISTIAN DAVID DICKSON</v>
      </c>
    </row>
    <row r="816" spans="1:8" x14ac:dyDescent="0.25">
      <c r="A816" s="1" t="s">
        <v>300</v>
      </c>
      <c r="B816" s="1">
        <v>83060</v>
      </c>
      <c r="C816" s="3">
        <v>20</v>
      </c>
      <c r="D816" s="2">
        <v>43662</v>
      </c>
      <c r="E816" s="1" t="str">
        <f>"201907160531"</f>
        <v>201907160531</v>
      </c>
      <c r="F816" s="1" t="str">
        <f>"Miscellan"</f>
        <v>Miscellan</v>
      </c>
      <c r="G816" s="3">
        <v>20</v>
      </c>
      <c r="H816" s="1" t="str">
        <f>"JACK CLIFTON ADAMS"</f>
        <v>JACK CLIFTON ADAMS</v>
      </c>
    </row>
    <row r="817" spans="1:8" x14ac:dyDescent="0.25">
      <c r="A817" s="1" t="s">
        <v>301</v>
      </c>
      <c r="B817" s="1">
        <v>83061</v>
      </c>
      <c r="C817" s="3">
        <v>20</v>
      </c>
      <c r="D817" s="2">
        <v>43662</v>
      </c>
      <c r="E817" s="1" t="str">
        <f>"201907160532"</f>
        <v>201907160532</v>
      </c>
      <c r="F817" s="1" t="str">
        <f>"Miscellane"</f>
        <v>Miscellane</v>
      </c>
      <c r="G817" s="3">
        <v>20</v>
      </c>
      <c r="H817" s="1" t="str">
        <f>"KAREN DELENE HAYS"</f>
        <v>KAREN DELENE HAYS</v>
      </c>
    </row>
    <row r="818" spans="1:8" x14ac:dyDescent="0.25">
      <c r="A818" s="1" t="s">
        <v>302</v>
      </c>
      <c r="B818" s="1">
        <v>83062</v>
      </c>
      <c r="C818" s="3">
        <v>20</v>
      </c>
      <c r="D818" s="2">
        <v>43662</v>
      </c>
      <c r="E818" s="1" t="str">
        <f>"201907160533"</f>
        <v>201907160533</v>
      </c>
      <c r="F818" s="1" t="str">
        <f>"Miscella"</f>
        <v>Miscella</v>
      </c>
      <c r="G818" s="3">
        <v>20</v>
      </c>
      <c r="H818" s="1" t="str">
        <f>"GERALDINE ANN MCCOY"</f>
        <v>GERALDINE ANN MCCOY</v>
      </c>
    </row>
    <row r="819" spans="1:8" x14ac:dyDescent="0.25">
      <c r="A819" s="1" t="s">
        <v>303</v>
      </c>
      <c r="B819" s="1">
        <v>83063</v>
      </c>
      <c r="C819" s="3">
        <v>20</v>
      </c>
      <c r="D819" s="2">
        <v>43662</v>
      </c>
      <c r="E819" s="1" t="str">
        <f>"201907160534"</f>
        <v>201907160534</v>
      </c>
      <c r="F819" s="1" t="str">
        <f>"Misc"</f>
        <v>Misc</v>
      </c>
      <c r="G819" s="3">
        <v>20</v>
      </c>
      <c r="H819" s="1" t="str">
        <f>"ELDRICH ALBERT KUNZE JR"</f>
        <v>ELDRICH ALBERT KUNZE JR</v>
      </c>
    </row>
    <row r="820" spans="1:8" x14ac:dyDescent="0.25">
      <c r="A820" s="1" t="s">
        <v>304</v>
      </c>
      <c r="B820" s="1">
        <v>83064</v>
      </c>
      <c r="C820" s="3">
        <v>20</v>
      </c>
      <c r="D820" s="2">
        <v>43662</v>
      </c>
      <c r="E820" s="1" t="str">
        <f>"201907160535"</f>
        <v>201907160535</v>
      </c>
      <c r="F820" s="1" t="str">
        <f>"Miscellan"</f>
        <v>Miscellan</v>
      </c>
      <c r="G820" s="3">
        <v>20</v>
      </c>
      <c r="H820" s="1" t="str">
        <f>"PAMELA PIPER CRABB"</f>
        <v>PAMELA PIPER CRABB</v>
      </c>
    </row>
    <row r="821" spans="1:8" x14ac:dyDescent="0.25">
      <c r="A821" s="1" t="s">
        <v>305</v>
      </c>
      <c r="B821" s="1">
        <v>83065</v>
      </c>
      <c r="C821" s="3">
        <v>20</v>
      </c>
      <c r="D821" s="2">
        <v>43662</v>
      </c>
      <c r="E821" s="1" t="str">
        <f>"201907160536"</f>
        <v>201907160536</v>
      </c>
      <c r="F821" s="1" t="str">
        <f>"Miscel"</f>
        <v>Miscel</v>
      </c>
      <c r="G821" s="3">
        <v>20</v>
      </c>
      <c r="H821" s="1" t="str">
        <f>"CLINTON JAMES MCPHAUL"</f>
        <v>CLINTON JAMES MCPHAUL</v>
      </c>
    </row>
    <row r="822" spans="1:8" x14ac:dyDescent="0.25">
      <c r="A822" s="1" t="s">
        <v>306</v>
      </c>
      <c r="B822" s="1">
        <v>83066</v>
      </c>
      <c r="C822" s="3">
        <v>20</v>
      </c>
      <c r="D822" s="2">
        <v>43662</v>
      </c>
      <c r="E822" s="1" t="str">
        <f>"201907160537"</f>
        <v>201907160537</v>
      </c>
      <c r="F822" s="1" t="str">
        <f>"Misc"</f>
        <v>Misc</v>
      </c>
      <c r="G822" s="3">
        <v>20</v>
      </c>
      <c r="H822" s="1" t="str">
        <f>"SHERILYN KAATZ KISAMORE"</f>
        <v>SHERILYN KAATZ KISAMORE</v>
      </c>
    </row>
    <row r="823" spans="1:8" x14ac:dyDescent="0.25">
      <c r="A823" s="1" t="s">
        <v>307</v>
      </c>
      <c r="B823" s="1">
        <v>83067</v>
      </c>
      <c r="C823" s="3">
        <v>20</v>
      </c>
      <c r="D823" s="2">
        <v>43662</v>
      </c>
      <c r="E823" s="1" t="str">
        <f>"201907160538"</f>
        <v>201907160538</v>
      </c>
      <c r="F823" s="1" t="str">
        <f>"Misce"</f>
        <v>Misce</v>
      </c>
      <c r="G823" s="3">
        <v>20</v>
      </c>
      <c r="H823" s="1" t="str">
        <f>"STACY ROY CARPENTER JR"</f>
        <v>STACY ROY CARPENTER JR</v>
      </c>
    </row>
    <row r="824" spans="1:8" x14ac:dyDescent="0.25">
      <c r="A824" s="1" t="s">
        <v>308</v>
      </c>
      <c r="B824" s="1">
        <v>83068</v>
      </c>
      <c r="C824" s="3">
        <v>20</v>
      </c>
      <c r="D824" s="2">
        <v>43662</v>
      </c>
      <c r="E824" s="1" t="str">
        <f>"201907160539"</f>
        <v>201907160539</v>
      </c>
      <c r="F824" s="1" t="str">
        <f>"Miscellan"</f>
        <v>Miscellan</v>
      </c>
      <c r="G824" s="3">
        <v>20</v>
      </c>
      <c r="H824" s="1" t="str">
        <f>"TIMOTHY DON PHARES"</f>
        <v>TIMOTHY DON PHARES</v>
      </c>
    </row>
    <row r="825" spans="1:8" x14ac:dyDescent="0.25">
      <c r="A825" s="1" t="s">
        <v>309</v>
      </c>
      <c r="B825" s="1">
        <v>83069</v>
      </c>
      <c r="C825" s="3">
        <v>20</v>
      </c>
      <c r="D825" s="2">
        <v>43662</v>
      </c>
      <c r="E825" s="1" t="str">
        <f>"201907160540"</f>
        <v>201907160540</v>
      </c>
      <c r="F825" s="1" t="str">
        <f>"Mi"</f>
        <v>Mi</v>
      </c>
      <c r="G825" s="3">
        <v>20</v>
      </c>
      <c r="H825" s="1" t="str">
        <f>"GARRETT ANTHONY GUTIERREZ"</f>
        <v>GARRETT ANTHONY GUTIERREZ</v>
      </c>
    </row>
    <row r="826" spans="1:8" x14ac:dyDescent="0.25">
      <c r="A826" s="1" t="s">
        <v>310</v>
      </c>
      <c r="B826" s="1">
        <v>83070</v>
      </c>
      <c r="C826" s="3">
        <v>20</v>
      </c>
      <c r="D826" s="2">
        <v>43662</v>
      </c>
      <c r="E826" s="1" t="str">
        <f>"201907160541"</f>
        <v>201907160541</v>
      </c>
      <c r="F826" s="1" t="str">
        <f>"Mis"</f>
        <v>Mis</v>
      </c>
      <c r="G826" s="3">
        <v>20</v>
      </c>
      <c r="H826" s="1" t="str">
        <f>"LISA KAY TANTAKSINANUKIJ"</f>
        <v>LISA KAY TANTAKSINANUKIJ</v>
      </c>
    </row>
    <row r="827" spans="1:8" x14ac:dyDescent="0.25">
      <c r="A827" s="1" t="s">
        <v>311</v>
      </c>
      <c r="B827" s="1">
        <v>83071</v>
      </c>
      <c r="C827" s="3">
        <v>20</v>
      </c>
      <c r="D827" s="2">
        <v>43662</v>
      </c>
      <c r="E827" s="1" t="str">
        <f>"201907160542"</f>
        <v>201907160542</v>
      </c>
      <c r="F827" s="1" t="str">
        <f>"Miscel"</f>
        <v>Miscel</v>
      </c>
      <c r="G827" s="3">
        <v>20</v>
      </c>
      <c r="H827" s="1" t="str">
        <f>"SCOTT JAY QUINTANILLA"</f>
        <v>SCOTT JAY QUINTANILLA</v>
      </c>
    </row>
    <row r="828" spans="1:8" x14ac:dyDescent="0.25">
      <c r="A828" s="1" t="s">
        <v>312</v>
      </c>
      <c r="B828" s="1">
        <v>83072</v>
      </c>
      <c r="C828" s="3">
        <v>20</v>
      </c>
      <c r="D828" s="2">
        <v>43662</v>
      </c>
      <c r="E828" s="1" t="str">
        <f>"201907160543"</f>
        <v>201907160543</v>
      </c>
      <c r="F828" s="1" t="str">
        <f>"Miscellane"</f>
        <v>Miscellane</v>
      </c>
      <c r="G828" s="3">
        <v>20</v>
      </c>
      <c r="H828" s="1" t="str">
        <f>"DAVID MIGUEL BYRD"</f>
        <v>DAVID MIGUEL BYRD</v>
      </c>
    </row>
    <row r="829" spans="1:8" x14ac:dyDescent="0.25">
      <c r="A829" s="1" t="s">
        <v>313</v>
      </c>
      <c r="B829" s="1">
        <v>83073</v>
      </c>
      <c r="C829" s="3">
        <v>20</v>
      </c>
      <c r="D829" s="2">
        <v>43662</v>
      </c>
      <c r="E829" s="1" t="str">
        <f>"201907160544"</f>
        <v>201907160544</v>
      </c>
      <c r="F829" s="1" t="str">
        <f>"Miscellaneou"</f>
        <v>Miscellaneou</v>
      </c>
      <c r="G829" s="3">
        <v>20</v>
      </c>
      <c r="H829" s="1" t="str">
        <f>"JOHN JASON LARA"</f>
        <v>JOHN JASON LARA</v>
      </c>
    </row>
    <row r="830" spans="1:8" x14ac:dyDescent="0.25">
      <c r="A830" s="1" t="s">
        <v>314</v>
      </c>
      <c r="B830" s="1">
        <v>83074</v>
      </c>
      <c r="C830" s="3">
        <v>20</v>
      </c>
      <c r="D830" s="2">
        <v>43662</v>
      </c>
      <c r="E830" s="1" t="str">
        <f>"201907160545"</f>
        <v>201907160545</v>
      </c>
      <c r="F830" s="1" t="str">
        <f>"Miscellane"</f>
        <v>Miscellane</v>
      </c>
      <c r="G830" s="3">
        <v>20</v>
      </c>
      <c r="H830" s="1" t="str">
        <f>"JON HAROLD KEENER"</f>
        <v>JON HAROLD KEENER</v>
      </c>
    </row>
    <row r="831" spans="1:8" x14ac:dyDescent="0.25">
      <c r="A831" s="1" t="s">
        <v>315</v>
      </c>
      <c r="B831" s="1">
        <v>83075</v>
      </c>
      <c r="C831" s="3">
        <v>20</v>
      </c>
      <c r="D831" s="2">
        <v>43662</v>
      </c>
      <c r="E831" s="1" t="str">
        <f>"201907160546"</f>
        <v>201907160546</v>
      </c>
      <c r="F831" s="1" t="str">
        <f>"Mi"</f>
        <v>Mi</v>
      </c>
      <c r="G831" s="3">
        <v>20</v>
      </c>
      <c r="H831" s="1" t="str">
        <f>"ANTOINETTE BEATRICE SMITH"</f>
        <v>ANTOINETTE BEATRICE SMITH</v>
      </c>
    </row>
    <row r="832" spans="1:8" x14ac:dyDescent="0.25">
      <c r="A832" s="1" t="s">
        <v>316</v>
      </c>
      <c r="B832" s="1">
        <v>83076</v>
      </c>
      <c r="C832" s="3">
        <v>20</v>
      </c>
      <c r="D832" s="2">
        <v>43662</v>
      </c>
      <c r="E832" s="1" t="str">
        <f>"201907160547"</f>
        <v>201907160547</v>
      </c>
      <c r="F832" s="1" t="str">
        <f>"Miscel"</f>
        <v>Miscel</v>
      </c>
      <c r="G832" s="3">
        <v>20</v>
      </c>
      <c r="H832" s="1" t="str">
        <f>"MAGDELENA LOPEZ PEREZ"</f>
        <v>MAGDELENA LOPEZ PEREZ</v>
      </c>
    </row>
    <row r="833" spans="1:9" x14ac:dyDescent="0.25">
      <c r="A833" s="1" t="s">
        <v>317</v>
      </c>
      <c r="B833" s="1">
        <v>83077</v>
      </c>
      <c r="C833" s="3">
        <v>20</v>
      </c>
      <c r="D833" s="2">
        <v>43662</v>
      </c>
      <c r="E833" s="1" t="str">
        <f>"201907160548"</f>
        <v>201907160548</v>
      </c>
      <c r="F833" s="1" t="str">
        <f>"Miscellaneo"</f>
        <v>Miscellaneo</v>
      </c>
      <c r="G833" s="3">
        <v>20</v>
      </c>
      <c r="H833" s="1" t="str">
        <f>"MARTIN RAY PEREZ"</f>
        <v>MARTIN RAY PEREZ</v>
      </c>
    </row>
    <row r="834" spans="1:9" x14ac:dyDescent="0.25">
      <c r="A834" s="1" t="s">
        <v>318</v>
      </c>
      <c r="B834" s="1">
        <v>83078</v>
      </c>
      <c r="C834" s="3">
        <v>20</v>
      </c>
      <c r="D834" s="2">
        <v>43662</v>
      </c>
      <c r="E834" s="1" t="str">
        <f>"201907160549"</f>
        <v>201907160549</v>
      </c>
      <c r="F834" s="1" t="str">
        <f>"Miscellane"</f>
        <v>Miscellane</v>
      </c>
      <c r="G834" s="3">
        <v>20</v>
      </c>
      <c r="H834" s="1" t="str">
        <f>"DONNA JAYE MEZERA"</f>
        <v>DONNA JAYE MEZERA</v>
      </c>
    </row>
    <row r="835" spans="1:9" x14ac:dyDescent="0.25">
      <c r="A835" s="1" t="s">
        <v>319</v>
      </c>
      <c r="B835" s="1">
        <v>83079</v>
      </c>
      <c r="C835" s="3">
        <v>20</v>
      </c>
      <c r="D835" s="2">
        <v>43662</v>
      </c>
      <c r="E835" s="1" t="str">
        <f>"201907160550"</f>
        <v>201907160550</v>
      </c>
      <c r="F835" s="1" t="str">
        <f>"Miscellaneou"</f>
        <v>Miscellaneou</v>
      </c>
      <c r="G835" s="3">
        <v>20</v>
      </c>
      <c r="H835" s="1" t="str">
        <f>"RUSSELL JAY ASH"</f>
        <v>RUSSELL JAY ASH</v>
      </c>
    </row>
    <row r="836" spans="1:9" x14ac:dyDescent="0.25">
      <c r="A836" s="1" t="s">
        <v>320</v>
      </c>
      <c r="B836" s="1">
        <v>83080</v>
      </c>
      <c r="C836" s="3">
        <v>20</v>
      </c>
      <c r="D836" s="2">
        <v>43662</v>
      </c>
      <c r="E836" s="1" t="str">
        <f>"201907160551"</f>
        <v>201907160551</v>
      </c>
      <c r="F836" s="1" t="str">
        <f>"Miscellan"</f>
        <v>Miscellan</v>
      </c>
      <c r="G836" s="3">
        <v>20</v>
      </c>
      <c r="H836" s="1" t="str">
        <f>"NORMAN LEON KISNER"</f>
        <v>NORMAN LEON KISNER</v>
      </c>
    </row>
    <row r="837" spans="1:9" x14ac:dyDescent="0.25">
      <c r="A837" s="1" t="s">
        <v>321</v>
      </c>
      <c r="B837" s="1">
        <v>83270</v>
      </c>
      <c r="C837" s="3">
        <v>6</v>
      </c>
      <c r="D837" s="2">
        <v>43671</v>
      </c>
      <c r="E837" s="1" t="str">
        <f>"201907250667"</f>
        <v>201907250667</v>
      </c>
      <c r="F837" s="1" t="str">
        <f>""</f>
        <v/>
      </c>
      <c r="G837" s="3">
        <v>6</v>
      </c>
      <c r="H837" s="1" t="str">
        <f>"CHRISTOPHER MICHAEL WHATLEY"</f>
        <v>CHRISTOPHER MICHAEL WHATLEY</v>
      </c>
    </row>
    <row r="838" spans="1:9" x14ac:dyDescent="0.25">
      <c r="A838" s="1" t="s">
        <v>322</v>
      </c>
      <c r="B838" s="1">
        <v>83271</v>
      </c>
      <c r="C838" s="3">
        <v>6</v>
      </c>
      <c r="D838" s="2">
        <v>43671</v>
      </c>
      <c r="E838" s="1" t="str">
        <f>"201907250668"</f>
        <v>201907250668</v>
      </c>
      <c r="F838" s="1" t="str">
        <f>"Miscell"</f>
        <v>Miscell</v>
      </c>
      <c r="G838" s="3">
        <v>6</v>
      </c>
      <c r="H838" s="1" t="str">
        <f>"SEAN MICHAEL MONAHAN"</f>
        <v>SEAN MICHAEL MONAHAN</v>
      </c>
    </row>
    <row r="839" spans="1:9" x14ac:dyDescent="0.25">
      <c r="A839" s="1" t="s">
        <v>323</v>
      </c>
      <c r="B839" s="1">
        <v>83272</v>
      </c>
      <c r="C839" s="3">
        <v>6</v>
      </c>
      <c r="D839" s="2">
        <v>43671</v>
      </c>
      <c r="E839" s="1" t="str">
        <f>"201907250669"</f>
        <v>201907250669</v>
      </c>
      <c r="F839" s="1" t="str">
        <f>"Miscellan"</f>
        <v>Miscellan</v>
      </c>
      <c r="G839" s="3">
        <v>6</v>
      </c>
      <c r="H839" s="1" t="str">
        <f>"JUSTIN WAYNE MEUTH"</f>
        <v>JUSTIN WAYNE MEUTH</v>
      </c>
    </row>
    <row r="840" spans="1:9" x14ac:dyDescent="0.25">
      <c r="A840" s="1" t="s">
        <v>324</v>
      </c>
      <c r="B840" s="1">
        <v>83273</v>
      </c>
      <c r="C840" s="3">
        <v>6</v>
      </c>
      <c r="D840" s="2">
        <v>43671</v>
      </c>
      <c r="E840" s="1" t="str">
        <f>"201907250670"</f>
        <v>201907250670</v>
      </c>
      <c r="F840" s="1" t="str">
        <f>"Miscell"</f>
        <v>Miscell</v>
      </c>
      <c r="G840" s="3">
        <v>6</v>
      </c>
      <c r="H840" s="1" t="str">
        <f>"RICHARD CARLTON CROW"</f>
        <v>RICHARD CARLTON CROW</v>
      </c>
    </row>
    <row r="841" spans="1:9" x14ac:dyDescent="0.25">
      <c r="A841" s="1" t="s">
        <v>325</v>
      </c>
      <c r="B841" s="1">
        <v>83274</v>
      </c>
      <c r="C841" s="3">
        <v>6</v>
      </c>
      <c r="D841" s="2">
        <v>43671</v>
      </c>
      <c r="E841" s="1" t="str">
        <f>"201907250671"</f>
        <v>201907250671</v>
      </c>
      <c r="F841" s="1" t="str">
        <f>"Miscell"</f>
        <v>Miscell</v>
      </c>
      <c r="G841" s="3">
        <v>6</v>
      </c>
      <c r="H841" s="1" t="str">
        <f>"GAILENE BAKER GAMBOL"</f>
        <v>GAILENE BAKER GAMBOL</v>
      </c>
    </row>
    <row r="842" spans="1:9" x14ac:dyDescent="0.25">
      <c r="A842" s="1" t="s">
        <v>326</v>
      </c>
      <c r="B842" s="1">
        <v>83275</v>
      </c>
      <c r="C842" s="3">
        <v>6</v>
      </c>
      <c r="D842" s="2">
        <v>43671</v>
      </c>
      <c r="E842" s="1" t="str">
        <f>"201907250672"</f>
        <v>201907250672</v>
      </c>
      <c r="F842" s="1" t="str">
        <f>"Miscellane"</f>
        <v>Miscellane</v>
      </c>
      <c r="G842" s="3">
        <v>6</v>
      </c>
      <c r="H842" s="1" t="str">
        <f>"ASHTON E LAFUENTE"</f>
        <v>ASHTON E LAFUENTE</v>
      </c>
    </row>
    <row r="843" spans="1:9" x14ac:dyDescent="0.25">
      <c r="A843" s="1" t="s">
        <v>327</v>
      </c>
      <c r="B843" s="1">
        <v>83184</v>
      </c>
      <c r="C843" s="3">
        <v>430</v>
      </c>
      <c r="D843" s="2">
        <v>43668</v>
      </c>
      <c r="E843" s="1" t="str">
        <f>"324098"</f>
        <v>324098</v>
      </c>
      <c r="F843" s="1" t="str">
        <f>"WORK ORD#09161/GEN SVCS"</f>
        <v>WORK ORD#09161/GEN SVCS</v>
      </c>
      <c r="G843" s="3">
        <v>430</v>
      </c>
      <c r="H843" s="1" t="str">
        <f>"WORK ORD#09161/GEN SVCS"</f>
        <v>WORK ORD#09161/GEN SVCS</v>
      </c>
    </row>
    <row r="844" spans="1:9" x14ac:dyDescent="0.25">
      <c r="A844" s="1" t="s">
        <v>328</v>
      </c>
      <c r="B844" s="1">
        <v>83185</v>
      </c>
      <c r="C844" s="3">
        <v>50</v>
      </c>
      <c r="D844" s="2">
        <v>43668</v>
      </c>
      <c r="E844" s="1" t="s">
        <v>329</v>
      </c>
      <c r="F844" s="1" t="s">
        <v>330</v>
      </c>
      <c r="G844" s="3" t="str">
        <f>"RESTITUTION - O. CABALLERO"</f>
        <v>RESTITUTION - O. CABALLERO</v>
      </c>
      <c r="H844" s="1" t="str">
        <f>"210-0000"</f>
        <v>210-0000</v>
      </c>
      <c r="I844" s="1" t="str">
        <f>""</f>
        <v/>
      </c>
    </row>
    <row r="845" spans="1:9" x14ac:dyDescent="0.25">
      <c r="A845" s="1" t="s">
        <v>331</v>
      </c>
      <c r="B845" s="1">
        <v>83186</v>
      </c>
      <c r="C845" s="3">
        <v>155</v>
      </c>
      <c r="D845" s="2">
        <v>43668</v>
      </c>
      <c r="E845" s="1" t="str">
        <f>"7200"</f>
        <v>7200</v>
      </c>
      <c r="F845" s="1" t="str">
        <f>"DUMPSTER RENTAL-JULY"</f>
        <v>DUMPSTER RENTAL-JULY</v>
      </c>
      <c r="G845" s="3">
        <v>155</v>
      </c>
      <c r="H845" s="1" t="str">
        <f>"DUMPSTER RENTAL-JULY"</f>
        <v>DUMPSTER RENTAL-JULY</v>
      </c>
    </row>
    <row r="846" spans="1:9" x14ac:dyDescent="0.25">
      <c r="A846" s="1" t="s">
        <v>332</v>
      </c>
      <c r="B846" s="1">
        <v>82938</v>
      </c>
      <c r="C846" s="3">
        <v>75</v>
      </c>
      <c r="D846" s="2">
        <v>43654</v>
      </c>
      <c r="E846" s="1" t="str">
        <f>"12756"</f>
        <v>12756</v>
      </c>
      <c r="F846" s="1" t="str">
        <f>"SERVICE 04/04/19"</f>
        <v>SERVICE 04/04/19</v>
      </c>
      <c r="G846" s="3">
        <v>75</v>
      </c>
      <c r="H846" s="1" t="str">
        <f>"SERVICE 04/04/19"</f>
        <v>SERVICE 04/04/19</v>
      </c>
    </row>
    <row r="847" spans="1:9" x14ac:dyDescent="0.25">
      <c r="A847" s="1" t="s">
        <v>333</v>
      </c>
      <c r="B847" s="1">
        <v>82939</v>
      </c>
      <c r="C847" s="3">
        <v>75</v>
      </c>
      <c r="D847" s="2">
        <v>43654</v>
      </c>
      <c r="E847" s="1" t="str">
        <f>"12933"</f>
        <v>12933</v>
      </c>
      <c r="F847" s="1" t="str">
        <f>"SERVICE  04/04/19"</f>
        <v>SERVICE  04/04/19</v>
      </c>
      <c r="G847" s="3">
        <v>75</v>
      </c>
      <c r="H847" s="1" t="str">
        <f>"SERVICE  04/04/19"</f>
        <v>SERVICE  04/04/19</v>
      </c>
    </row>
    <row r="848" spans="1:9" x14ac:dyDescent="0.25">
      <c r="A848" s="1" t="s">
        <v>334</v>
      </c>
      <c r="B848" s="1">
        <v>83187</v>
      </c>
      <c r="C848" s="3">
        <v>20533.73</v>
      </c>
      <c r="D848" s="2">
        <v>43668</v>
      </c>
      <c r="E848" s="1" t="str">
        <f>"8230212827"</f>
        <v>8230212827</v>
      </c>
      <c r="F848" s="1" t="str">
        <f>"ACCT#1036125277/RADIO SVC AGRE"</f>
        <v>ACCT#1036125277/RADIO SVC AGRE</v>
      </c>
      <c r="G848" s="3">
        <v>20462.48</v>
      </c>
      <c r="H848" s="1" t="str">
        <f>"ACCT#1036125277/RADIO SVC AGRE"</f>
        <v>ACCT#1036125277/RADIO SVC AGRE</v>
      </c>
    </row>
    <row r="849" spans="1:8" x14ac:dyDescent="0.25">
      <c r="E849" s="1" t="str">
        <f>"NNTN8525A"</f>
        <v>NNTN8525A</v>
      </c>
      <c r="F849" s="1" t="str">
        <f>"Travel Chargers for APX40"</f>
        <v>Travel Chargers for APX40</v>
      </c>
      <c r="G849" s="3">
        <v>71.25</v>
      </c>
      <c r="H849" s="1" t="str">
        <f>"NNTN8525A"</f>
        <v>NNTN8525A</v>
      </c>
    </row>
    <row r="850" spans="1:8" x14ac:dyDescent="0.25">
      <c r="A850" s="1" t="s">
        <v>335</v>
      </c>
      <c r="B850" s="1">
        <v>82940</v>
      </c>
      <c r="C850" s="3">
        <v>2005</v>
      </c>
      <c r="D850" s="2">
        <v>43654</v>
      </c>
      <c r="E850" s="1" t="str">
        <f>"6-20-19-01"</f>
        <v>6-20-19-01</v>
      </c>
      <c r="F850" s="1" t="str">
        <f>" JOB 6-20-19-01"</f>
        <v xml:space="preserve"> JOB 6-20-19-01</v>
      </c>
      <c r="G850" s="3">
        <v>680</v>
      </c>
      <c r="H850" s="1" t="str">
        <f>" JOB 6-20-19-01"</f>
        <v xml:space="preserve"> JOB 6-20-19-01</v>
      </c>
    </row>
    <row r="851" spans="1:8" x14ac:dyDescent="0.25">
      <c r="E851" s="1" t="str">
        <f>"6-25-19-01"</f>
        <v>6-25-19-01</v>
      </c>
      <c r="F851" s="1" t="str">
        <f>"JOB 6-25-19-01"</f>
        <v>JOB 6-25-19-01</v>
      </c>
      <c r="G851" s="3">
        <v>1325</v>
      </c>
      <c r="H851" s="1" t="str">
        <f>"JOB 6-25-19-01"</f>
        <v>JOB 6-25-19-01</v>
      </c>
    </row>
    <row r="852" spans="1:8" x14ac:dyDescent="0.25">
      <c r="A852" s="1" t="s">
        <v>335</v>
      </c>
      <c r="B852" s="1">
        <v>83188</v>
      </c>
      <c r="C852" s="3">
        <v>1572.5</v>
      </c>
      <c r="D852" s="2">
        <v>43668</v>
      </c>
      <c r="E852" s="1" t="str">
        <f>"201907170600"</f>
        <v>201907170600</v>
      </c>
      <c r="F852" s="1" t="str">
        <f>"JOB 7-9-16-02"</f>
        <v>JOB 7-9-16-02</v>
      </c>
      <c r="G852" s="3">
        <v>212.5</v>
      </c>
      <c r="H852" s="1" t="str">
        <f>"JOB 7-9-16-02"</f>
        <v>JOB 7-9-16-02</v>
      </c>
    </row>
    <row r="853" spans="1:8" x14ac:dyDescent="0.25">
      <c r="E853" s="1" t="str">
        <f>"201907170601"</f>
        <v>201907170601</v>
      </c>
      <c r="F853" s="1" t="str">
        <f>"JOB 6-28-19-01"</f>
        <v>JOB 6-28-19-01</v>
      </c>
      <c r="G853" s="3">
        <v>1105</v>
      </c>
      <c r="H853" s="1" t="str">
        <f>"JOB 6-28-19-01"</f>
        <v>JOB 6-28-19-01</v>
      </c>
    </row>
    <row r="854" spans="1:8" x14ac:dyDescent="0.25">
      <c r="E854" s="1" t="str">
        <f>"201907170602"</f>
        <v>201907170602</v>
      </c>
      <c r="F854" s="1" t="str">
        <f>"JOB 6-27-19-01"</f>
        <v>JOB 6-27-19-01</v>
      </c>
      <c r="G854" s="3">
        <v>255</v>
      </c>
      <c r="H854" s="1" t="str">
        <f>"JOB 6-27-19-01"</f>
        <v>JOB 6-27-19-01</v>
      </c>
    </row>
    <row r="855" spans="1:8" x14ac:dyDescent="0.25">
      <c r="A855" s="1" t="s">
        <v>336</v>
      </c>
      <c r="B855" s="1">
        <v>83189</v>
      </c>
      <c r="C855" s="3">
        <v>225</v>
      </c>
      <c r="D855" s="2">
        <v>43668</v>
      </c>
      <c r="E855" s="1" t="str">
        <f>"201907120421"</f>
        <v>201907120421</v>
      </c>
      <c r="F855" s="1" t="str">
        <f>"REFUND-DEVELOPMENT PERMIT FEE"</f>
        <v>REFUND-DEVELOPMENT PERMIT FEE</v>
      </c>
      <c r="G855" s="3">
        <v>225</v>
      </c>
      <c r="H855" s="1" t="str">
        <f>"REFUND-DEVELOPMENT PERMIT FEE"</f>
        <v>REFUND-DEVELOPMENT PERMIT FEE</v>
      </c>
    </row>
    <row r="856" spans="1:8" x14ac:dyDescent="0.25">
      <c r="A856" s="1" t="s">
        <v>337</v>
      </c>
      <c r="B856" s="1">
        <v>1010</v>
      </c>
      <c r="C856" s="3">
        <v>9293.7199999999993</v>
      </c>
      <c r="D856" s="2">
        <v>43655</v>
      </c>
      <c r="E856" s="1" t="str">
        <f>"IN0824749 IN082494"</f>
        <v>IN0824749 IN082494</v>
      </c>
      <c r="F856" s="1" t="str">
        <f>"INV IN0824749"</f>
        <v>INV IN0824749</v>
      </c>
      <c r="G856" s="3">
        <v>4536</v>
      </c>
      <c r="H856" s="1" t="str">
        <f>"INV IN0824749"</f>
        <v>INV IN0824749</v>
      </c>
    </row>
    <row r="857" spans="1:8" x14ac:dyDescent="0.25">
      <c r="E857" s="1" t="str">
        <f>""</f>
        <v/>
      </c>
      <c r="F857" s="1" t="str">
        <f>""</f>
        <v/>
      </c>
      <c r="H857" s="1" t="str">
        <f>"INV IN0824947"</f>
        <v>INV IN0824947</v>
      </c>
    </row>
    <row r="858" spans="1:8" x14ac:dyDescent="0.25">
      <c r="E858" s="1" t="str">
        <f>"IN0824810"</f>
        <v>IN0824810</v>
      </c>
      <c r="F858" s="1" t="str">
        <f>"INV IN0824810"</f>
        <v>INV IN0824810</v>
      </c>
      <c r="G858" s="3">
        <v>4757.72</v>
      </c>
      <c r="H858" s="1" t="str">
        <f>"INV IN0824810"</f>
        <v>INV IN0824810</v>
      </c>
    </row>
    <row r="859" spans="1:8" x14ac:dyDescent="0.25">
      <c r="A859" s="1" t="s">
        <v>337</v>
      </c>
      <c r="B859" s="1">
        <v>1074</v>
      </c>
      <c r="C859" s="3">
        <v>2143.0500000000002</v>
      </c>
      <c r="D859" s="2">
        <v>43669</v>
      </c>
      <c r="E859" s="1" t="str">
        <f>"IN0824980"</f>
        <v>IN0824980</v>
      </c>
      <c r="F859" s="1" t="str">
        <f>"INV IN0824980"</f>
        <v>INV IN0824980</v>
      </c>
      <c r="G859" s="3">
        <v>2143.0500000000002</v>
      </c>
      <c r="H859" s="1" t="str">
        <f>"INV IN0824980"</f>
        <v>INV IN0824980</v>
      </c>
    </row>
    <row r="860" spans="1:8" x14ac:dyDescent="0.25">
      <c r="A860" s="1" t="s">
        <v>338</v>
      </c>
      <c r="B860" s="1">
        <v>82941</v>
      </c>
      <c r="C860" s="3">
        <v>189</v>
      </c>
      <c r="D860" s="2">
        <v>43654</v>
      </c>
      <c r="E860" s="1" t="str">
        <f>"201906270119"</f>
        <v>201906270119</v>
      </c>
      <c r="F860" s="1" t="str">
        <f>"REIMBURSE-REGISTRATION"</f>
        <v>REIMBURSE-REGISTRATION</v>
      </c>
      <c r="G860" s="3">
        <v>189</v>
      </c>
      <c r="H860" s="1" t="str">
        <f>"REIMBURSE-REGISTRATION"</f>
        <v>REIMBURSE-REGISTRATION</v>
      </c>
    </row>
    <row r="861" spans="1:8" x14ac:dyDescent="0.25">
      <c r="A861" s="1" t="s">
        <v>339</v>
      </c>
      <c r="B861" s="1">
        <v>1136</v>
      </c>
      <c r="C861" s="3">
        <v>307.77</v>
      </c>
      <c r="D861" s="2">
        <v>43669</v>
      </c>
      <c r="E861" s="1" t="str">
        <f>"201907100394"</f>
        <v>201907100394</v>
      </c>
      <c r="F861" s="1" t="str">
        <f>"CUST#99088/PCT#4"</f>
        <v>CUST#99088/PCT#4</v>
      </c>
      <c r="G861" s="3">
        <v>307.77</v>
      </c>
      <c r="H861" s="1" t="str">
        <f>"CUST#99088/PCT#4"</f>
        <v>CUST#99088/PCT#4</v>
      </c>
    </row>
    <row r="862" spans="1:8" x14ac:dyDescent="0.25">
      <c r="A862" s="1" t="s">
        <v>340</v>
      </c>
      <c r="B862" s="1">
        <v>82942</v>
      </c>
      <c r="C862" s="3">
        <v>981.53</v>
      </c>
      <c r="D862" s="2">
        <v>43654</v>
      </c>
      <c r="E862" s="1" t="str">
        <f>"1664102 1666295 16"</f>
        <v>1664102 1666295 16</v>
      </c>
      <c r="F862" s="1" t="str">
        <f>"INV 1664102"</f>
        <v>INV 1664102</v>
      </c>
      <c r="G862" s="3">
        <v>981.53</v>
      </c>
      <c r="H862" s="1" t="str">
        <f>"INV 1664102"</f>
        <v>INV 1664102</v>
      </c>
    </row>
    <row r="863" spans="1:8" x14ac:dyDescent="0.25">
      <c r="E863" s="1" t="str">
        <f>""</f>
        <v/>
      </c>
      <c r="F863" s="1" t="str">
        <f>""</f>
        <v/>
      </c>
      <c r="H863" s="1" t="str">
        <f>"INV 1666295"</f>
        <v>INV 1666295</v>
      </c>
    </row>
    <row r="864" spans="1:8" x14ac:dyDescent="0.25">
      <c r="E864" s="1" t="str">
        <f>""</f>
        <v/>
      </c>
      <c r="F864" s="1" t="str">
        <f>""</f>
        <v/>
      </c>
      <c r="H864" s="1" t="str">
        <f>"INV 1669747"</f>
        <v>INV 1669747</v>
      </c>
    </row>
    <row r="865" spans="1:8" x14ac:dyDescent="0.25">
      <c r="E865" s="1" t="str">
        <f>""</f>
        <v/>
      </c>
      <c r="F865" s="1" t="str">
        <f>""</f>
        <v/>
      </c>
      <c r="H865" s="1" t="str">
        <f>"INV 1672029"</f>
        <v>INV 1672029</v>
      </c>
    </row>
    <row r="866" spans="1:8" x14ac:dyDescent="0.25">
      <c r="A866" s="1" t="s">
        <v>340</v>
      </c>
      <c r="B866" s="1">
        <v>83190</v>
      </c>
      <c r="C866" s="3">
        <v>873.12</v>
      </c>
      <c r="D866" s="2">
        <v>43668</v>
      </c>
      <c r="E866" s="1" t="str">
        <f>"1675412 1677659 16"</f>
        <v>1675412 1677659 16</v>
      </c>
      <c r="F866" s="1" t="str">
        <f>"INV 1675412"</f>
        <v>INV 1675412</v>
      </c>
      <c r="G866" s="3">
        <v>873.12</v>
      </c>
      <c r="H866" s="1" t="str">
        <f>"INV 1675412"</f>
        <v>INV 1675412</v>
      </c>
    </row>
    <row r="867" spans="1:8" x14ac:dyDescent="0.25">
      <c r="E867" s="1" t="str">
        <f>""</f>
        <v/>
      </c>
      <c r="F867" s="1" t="str">
        <f>""</f>
        <v/>
      </c>
      <c r="H867" s="1" t="str">
        <f>"INV 1677659"</f>
        <v>INV 1677659</v>
      </c>
    </row>
    <row r="868" spans="1:8" x14ac:dyDescent="0.25">
      <c r="E868" s="1" t="str">
        <f>""</f>
        <v/>
      </c>
      <c r="F868" s="1" t="str">
        <f>""</f>
        <v/>
      </c>
      <c r="H868" s="1" t="str">
        <f>"INV 1680580"</f>
        <v>INV 1680580</v>
      </c>
    </row>
    <row r="869" spans="1:8" x14ac:dyDescent="0.25">
      <c r="E869" s="1" t="str">
        <f>""</f>
        <v/>
      </c>
      <c r="F869" s="1" t="str">
        <f>""</f>
        <v/>
      </c>
      <c r="H869" s="1" t="str">
        <f>"INV 1682827"</f>
        <v>INV 1682827</v>
      </c>
    </row>
    <row r="870" spans="1:8" x14ac:dyDescent="0.25">
      <c r="A870" s="1" t="s">
        <v>341</v>
      </c>
      <c r="B870" s="1">
        <v>82943</v>
      </c>
      <c r="C870" s="3">
        <v>1883.19</v>
      </c>
      <c r="D870" s="2">
        <v>43654</v>
      </c>
      <c r="E870" s="1" t="str">
        <f>"11766850"</f>
        <v>11766850</v>
      </c>
      <c r="F870" s="1" t="str">
        <f>"bill# 11766850"</f>
        <v>bill# 11766850</v>
      </c>
      <c r="G870" s="3">
        <v>1883.19</v>
      </c>
      <c r="H870" s="1" t="str">
        <f>"ord# 322283442001"</f>
        <v>ord# 322283442001</v>
      </c>
    </row>
    <row r="871" spans="1:8" x14ac:dyDescent="0.25">
      <c r="E871" s="1" t="str">
        <f>""</f>
        <v/>
      </c>
      <c r="F871" s="1" t="str">
        <f>""</f>
        <v/>
      </c>
      <c r="H871" s="1" t="str">
        <f>"Ord# 329949115001"</f>
        <v>Ord# 329949115001</v>
      </c>
    </row>
    <row r="872" spans="1:8" x14ac:dyDescent="0.25">
      <c r="E872" s="1" t="str">
        <f>""</f>
        <v/>
      </c>
      <c r="F872" s="1" t="str">
        <f>""</f>
        <v/>
      </c>
      <c r="H872" s="1" t="str">
        <f>"Ord# 328701583001"</f>
        <v>Ord# 328701583001</v>
      </c>
    </row>
    <row r="873" spans="1:8" x14ac:dyDescent="0.25">
      <c r="E873" s="1" t="str">
        <f>""</f>
        <v/>
      </c>
      <c r="F873" s="1" t="str">
        <f>""</f>
        <v/>
      </c>
      <c r="H873" s="1" t="str">
        <f>"Ord# 328703285001"</f>
        <v>Ord# 328703285001</v>
      </c>
    </row>
    <row r="874" spans="1:8" x14ac:dyDescent="0.25">
      <c r="E874" s="1" t="str">
        <f>""</f>
        <v/>
      </c>
      <c r="F874" s="1" t="str">
        <f>""</f>
        <v/>
      </c>
      <c r="H874" s="1" t="str">
        <f>"Ord# 328676505001"</f>
        <v>Ord# 328676505001</v>
      </c>
    </row>
    <row r="875" spans="1:8" x14ac:dyDescent="0.25">
      <c r="E875" s="1" t="str">
        <f>""</f>
        <v/>
      </c>
      <c r="F875" s="1" t="str">
        <f>""</f>
        <v/>
      </c>
      <c r="H875" s="1" t="str">
        <f>"Ord# 328441961001"</f>
        <v>Ord# 328441961001</v>
      </c>
    </row>
    <row r="876" spans="1:8" x14ac:dyDescent="0.25">
      <c r="E876" s="1" t="str">
        <f>""</f>
        <v/>
      </c>
      <c r="F876" s="1" t="str">
        <f>""</f>
        <v/>
      </c>
      <c r="H876" s="1" t="str">
        <f>"Ord# 331602817001"</f>
        <v>Ord# 331602817001</v>
      </c>
    </row>
    <row r="877" spans="1:8" x14ac:dyDescent="0.25">
      <c r="E877" s="1" t="str">
        <f>""</f>
        <v/>
      </c>
      <c r="F877" s="1" t="str">
        <f>""</f>
        <v/>
      </c>
      <c r="H877" s="1" t="str">
        <f>"Ord# 331603689001"</f>
        <v>Ord# 331603689001</v>
      </c>
    </row>
    <row r="878" spans="1:8" x14ac:dyDescent="0.25">
      <c r="E878" s="1" t="str">
        <f>""</f>
        <v/>
      </c>
      <c r="F878" s="1" t="str">
        <f>""</f>
        <v/>
      </c>
      <c r="H878" s="1" t="str">
        <f>"Ord# 331277181001"</f>
        <v>Ord# 331277181001</v>
      </c>
    </row>
    <row r="879" spans="1:8" x14ac:dyDescent="0.25">
      <c r="E879" s="1" t="str">
        <f>""</f>
        <v/>
      </c>
      <c r="F879" s="1" t="str">
        <f>""</f>
        <v/>
      </c>
      <c r="H879" s="1" t="str">
        <f>"Ord# 331279478001"</f>
        <v>Ord# 331279478001</v>
      </c>
    </row>
    <row r="880" spans="1:8" x14ac:dyDescent="0.25">
      <c r="E880" s="1" t="str">
        <f>""</f>
        <v/>
      </c>
      <c r="F880" s="1" t="str">
        <f>""</f>
        <v/>
      </c>
      <c r="H880" s="1" t="str">
        <f>"Ord# 331279480001"</f>
        <v>Ord# 331279480001</v>
      </c>
    </row>
    <row r="881" spans="1:8" x14ac:dyDescent="0.25">
      <c r="E881" s="1" t="str">
        <f>""</f>
        <v/>
      </c>
      <c r="F881" s="1" t="str">
        <f>""</f>
        <v/>
      </c>
      <c r="H881" s="1" t="str">
        <f>"Ord# 331279481001"</f>
        <v>Ord# 331279481001</v>
      </c>
    </row>
    <row r="882" spans="1:8" x14ac:dyDescent="0.25">
      <c r="A882" s="1" t="s">
        <v>341</v>
      </c>
      <c r="B882" s="1">
        <v>83191</v>
      </c>
      <c r="C882" s="3">
        <v>1498.02</v>
      </c>
      <c r="D882" s="2">
        <v>43668</v>
      </c>
      <c r="E882" s="1" t="str">
        <f>"11900510"</f>
        <v>11900510</v>
      </c>
      <c r="F882" s="1" t="str">
        <f>"bill# 11900510"</f>
        <v>bill# 11900510</v>
      </c>
      <c r="G882" s="3">
        <v>1498.02</v>
      </c>
      <c r="H882" s="1" t="str">
        <f>"order# 333633285001"</f>
        <v>order# 333633285001</v>
      </c>
    </row>
    <row r="883" spans="1:8" x14ac:dyDescent="0.25">
      <c r="E883" s="1" t="str">
        <f>""</f>
        <v/>
      </c>
      <c r="F883" s="1" t="str">
        <f>""</f>
        <v/>
      </c>
      <c r="H883" s="1" t="str">
        <f>"order# 335899481001"</f>
        <v>order# 335899481001</v>
      </c>
    </row>
    <row r="884" spans="1:8" x14ac:dyDescent="0.25">
      <c r="E884" s="1" t="str">
        <f>""</f>
        <v/>
      </c>
      <c r="F884" s="1" t="str">
        <f>""</f>
        <v/>
      </c>
      <c r="H884" s="1" t="str">
        <f>"order# 336817305001"</f>
        <v>order# 336817305001</v>
      </c>
    </row>
    <row r="885" spans="1:8" x14ac:dyDescent="0.25">
      <c r="E885" s="1" t="str">
        <f>""</f>
        <v/>
      </c>
      <c r="F885" s="1" t="str">
        <f>""</f>
        <v/>
      </c>
      <c r="H885" s="1" t="str">
        <f>"order# 335162245001"</f>
        <v>order# 335162245001</v>
      </c>
    </row>
    <row r="886" spans="1:8" x14ac:dyDescent="0.25">
      <c r="E886" s="1" t="str">
        <f>""</f>
        <v/>
      </c>
      <c r="F886" s="1" t="str">
        <f>""</f>
        <v/>
      </c>
      <c r="H886" s="1" t="str">
        <f>"order# 335637512001"</f>
        <v>order# 335637512001</v>
      </c>
    </row>
    <row r="887" spans="1:8" x14ac:dyDescent="0.25">
      <c r="E887" s="1" t="str">
        <f>""</f>
        <v/>
      </c>
      <c r="F887" s="1" t="str">
        <f>""</f>
        <v/>
      </c>
      <c r="H887" s="1" t="str">
        <f>"order# 335639554001"</f>
        <v>order# 335639554001</v>
      </c>
    </row>
    <row r="888" spans="1:8" x14ac:dyDescent="0.25">
      <c r="E888" s="1" t="str">
        <f>""</f>
        <v/>
      </c>
      <c r="F888" s="1" t="str">
        <f>""</f>
        <v/>
      </c>
      <c r="H888" s="1" t="str">
        <f>"order# 334731366001"</f>
        <v>order# 334731366001</v>
      </c>
    </row>
    <row r="889" spans="1:8" x14ac:dyDescent="0.25">
      <c r="E889" s="1" t="str">
        <f>""</f>
        <v/>
      </c>
      <c r="F889" s="1" t="str">
        <f>""</f>
        <v/>
      </c>
      <c r="H889" s="1" t="str">
        <f>"order# 334732301001"</f>
        <v>order# 334732301001</v>
      </c>
    </row>
    <row r="890" spans="1:8" x14ac:dyDescent="0.25">
      <c r="E890" s="1" t="str">
        <f>""</f>
        <v/>
      </c>
      <c r="F890" s="1" t="str">
        <f>""</f>
        <v/>
      </c>
      <c r="H890" s="1" t="str">
        <f>"order# 332275908001"</f>
        <v>order# 332275908001</v>
      </c>
    </row>
    <row r="891" spans="1:8" x14ac:dyDescent="0.25">
      <c r="E891" s="1" t="str">
        <f>""</f>
        <v/>
      </c>
      <c r="F891" s="1" t="str">
        <f>""</f>
        <v/>
      </c>
      <c r="H891" s="1" t="str">
        <f>"order# 332695203001"</f>
        <v>order# 332695203001</v>
      </c>
    </row>
    <row r="892" spans="1:8" x14ac:dyDescent="0.25">
      <c r="E892" s="1" t="str">
        <f>""</f>
        <v/>
      </c>
      <c r="F892" s="1" t="str">
        <f>""</f>
        <v/>
      </c>
      <c r="H892" s="1" t="str">
        <f>"order# 332695801001"</f>
        <v>order# 332695801001</v>
      </c>
    </row>
    <row r="893" spans="1:8" x14ac:dyDescent="0.25">
      <c r="E893" s="1" t="str">
        <f>""</f>
        <v/>
      </c>
      <c r="F893" s="1" t="str">
        <f>""</f>
        <v/>
      </c>
      <c r="H893" s="1" t="str">
        <f>"order# 332695802001"</f>
        <v>order# 332695802001</v>
      </c>
    </row>
    <row r="894" spans="1:8" x14ac:dyDescent="0.25">
      <c r="E894" s="1" t="str">
        <f>""</f>
        <v/>
      </c>
      <c r="F894" s="1" t="str">
        <f>""</f>
        <v/>
      </c>
      <c r="H894" s="1" t="str">
        <f>"order# 333783154001"</f>
        <v>order# 333783154001</v>
      </c>
    </row>
    <row r="895" spans="1:8" x14ac:dyDescent="0.25">
      <c r="E895" s="1" t="str">
        <f>""</f>
        <v/>
      </c>
      <c r="F895" s="1" t="str">
        <f>""</f>
        <v/>
      </c>
      <c r="H895" s="1" t="str">
        <f>"order# 332297537001"</f>
        <v>order# 332297537001</v>
      </c>
    </row>
    <row r="896" spans="1:8" x14ac:dyDescent="0.25">
      <c r="E896" s="1" t="str">
        <f>""</f>
        <v/>
      </c>
      <c r="F896" s="1" t="str">
        <f>""</f>
        <v/>
      </c>
      <c r="H896" s="1" t="str">
        <f>"order# 334835553001"</f>
        <v>order# 334835553001</v>
      </c>
    </row>
    <row r="897" spans="1:8" x14ac:dyDescent="0.25">
      <c r="E897" s="1" t="str">
        <f>""</f>
        <v/>
      </c>
      <c r="F897" s="1" t="str">
        <f>""</f>
        <v/>
      </c>
      <c r="H897" s="1" t="str">
        <f>"order# 334836134001"</f>
        <v>order# 334836134001</v>
      </c>
    </row>
    <row r="898" spans="1:8" x14ac:dyDescent="0.25">
      <c r="A898" s="1" t="s">
        <v>342</v>
      </c>
      <c r="B898" s="1">
        <v>83192</v>
      </c>
      <c r="C898" s="3">
        <v>2838</v>
      </c>
      <c r="D898" s="2">
        <v>43668</v>
      </c>
      <c r="E898" s="1" t="str">
        <f>"219-001011"</f>
        <v>219-001011</v>
      </c>
      <c r="F898" s="1" t="str">
        <f>"2ND QTR ACTIVITY/PCT#1"</f>
        <v>2ND QTR ACTIVITY/PCT#1</v>
      </c>
      <c r="G898" s="3">
        <v>300</v>
      </c>
      <c r="H898" s="1" t="str">
        <f>"2ND QTR ACTIVITY/PCT#1"</f>
        <v>2ND QTR ACTIVITY/PCT#1</v>
      </c>
    </row>
    <row r="899" spans="1:8" x14ac:dyDescent="0.25">
      <c r="E899" s="1" t="str">
        <f>"219-002011"</f>
        <v>219-002011</v>
      </c>
      <c r="F899" s="1" t="str">
        <f>"2ND QTR ACTIVITY/PCT#2"</f>
        <v>2ND QTR ACTIVITY/PCT#2</v>
      </c>
      <c r="G899" s="3">
        <v>942</v>
      </c>
      <c r="H899" s="1" t="str">
        <f>"2ND QTR ACTIVITY/PCT#2"</f>
        <v>2ND QTR ACTIVITY/PCT#2</v>
      </c>
    </row>
    <row r="900" spans="1:8" x14ac:dyDescent="0.25">
      <c r="E900" s="1" t="str">
        <f>"219-003011"</f>
        <v>219-003011</v>
      </c>
      <c r="F900" s="1" t="str">
        <f>"2ND QTR ACTIVITY 2019/PCT#3"</f>
        <v>2ND QTR ACTIVITY 2019/PCT#3</v>
      </c>
      <c r="G900" s="3">
        <v>816</v>
      </c>
      <c r="H900" s="1" t="str">
        <f>"2ND QTR ACTIVITY 2019/PCT#3"</f>
        <v>2ND QTR ACTIVITY 2019/PCT#3</v>
      </c>
    </row>
    <row r="901" spans="1:8" x14ac:dyDescent="0.25">
      <c r="E901" s="1" t="str">
        <f>"219-004011"</f>
        <v>219-004011</v>
      </c>
      <c r="F901" s="1" t="str">
        <f>"2ND QTR ACTIVITY 2019/PCT#4"</f>
        <v>2ND QTR ACTIVITY 2019/PCT#4</v>
      </c>
      <c r="G901" s="3">
        <v>684</v>
      </c>
      <c r="H901" s="1" t="str">
        <f>"2ND QTR ACTIVITY 2019/PCT#4"</f>
        <v>2ND QTR ACTIVITY 2019/PCT#4</v>
      </c>
    </row>
    <row r="902" spans="1:8" x14ac:dyDescent="0.25">
      <c r="E902" s="1" t="str">
        <f>"219-008011"</f>
        <v>219-008011</v>
      </c>
      <c r="F902" s="1" t="str">
        <f>"2ND QTR ACTIVITY 2019/MISDEMEA"</f>
        <v>2ND QTR ACTIVITY 2019/MISDEMEA</v>
      </c>
      <c r="G902" s="3">
        <v>84</v>
      </c>
      <c r="H902" s="1" t="str">
        <f>"2ND QTR ACTIVITY 2019/MISDEMEA"</f>
        <v>2ND QTR ACTIVITY 2019/MISDEMEA</v>
      </c>
    </row>
    <row r="903" spans="1:8" x14ac:dyDescent="0.25">
      <c r="E903" s="1" t="str">
        <f>"219-009011"</f>
        <v>219-009011</v>
      </c>
      <c r="F903" s="1" t="str">
        <f>"2ND QTR ACTIVITY/DIST CLERK"</f>
        <v>2ND QTR ACTIVITY/DIST CLERK</v>
      </c>
      <c r="G903" s="3">
        <v>12</v>
      </c>
      <c r="H903" s="1" t="str">
        <f>"2ND QTR ACTIVITY/DIST CLERK"</f>
        <v>2ND QTR ACTIVITY/DIST CLERK</v>
      </c>
    </row>
    <row r="904" spans="1:8" x14ac:dyDescent="0.25">
      <c r="A904" s="1" t="s">
        <v>343</v>
      </c>
      <c r="B904" s="1">
        <v>82944</v>
      </c>
      <c r="C904" s="3">
        <v>1532</v>
      </c>
      <c r="D904" s="2">
        <v>43654</v>
      </c>
      <c r="E904" s="1" t="str">
        <f>"19230"</f>
        <v>19230</v>
      </c>
      <c r="F904" s="1" t="str">
        <f>"PLUMBING SVCS-ANNEX BLDG"</f>
        <v>PLUMBING SVCS-ANNEX BLDG</v>
      </c>
      <c r="G904" s="3">
        <v>1532</v>
      </c>
      <c r="H904" s="1" t="str">
        <f>"PLUMBING SVCS-ANNEX BLDG"</f>
        <v>PLUMBING SVCS-ANNEX BLDG</v>
      </c>
    </row>
    <row r="905" spans="1:8" x14ac:dyDescent="0.25">
      <c r="A905" s="1" t="s">
        <v>343</v>
      </c>
      <c r="B905" s="1">
        <v>83193</v>
      </c>
      <c r="C905" s="3">
        <v>1542</v>
      </c>
      <c r="D905" s="2">
        <v>43668</v>
      </c>
      <c r="E905" s="1" t="str">
        <f>"19272"</f>
        <v>19272</v>
      </c>
      <c r="F905" s="1" t="str">
        <f>"PLUMBING SVCS-COURTHOUSE"</f>
        <v>PLUMBING SVCS-COURTHOUSE</v>
      </c>
      <c r="G905" s="3">
        <v>582</v>
      </c>
      <c r="H905" s="1" t="str">
        <f>"PLUMBING SVCS-COURTHOUSE"</f>
        <v>PLUMBING SVCS-COURTHOUSE</v>
      </c>
    </row>
    <row r="906" spans="1:8" x14ac:dyDescent="0.25">
      <c r="E906" s="1" t="str">
        <f>"19273"</f>
        <v>19273</v>
      </c>
      <c r="F906" s="1" t="str">
        <f>"PLUMBING SVCS=COURTHOUSE"</f>
        <v>PLUMBING SVCS=COURTHOUSE</v>
      </c>
      <c r="G906" s="3">
        <v>537</v>
      </c>
      <c r="H906" s="1" t="str">
        <f>"PLUMBING SVCS=COURTHOUSE"</f>
        <v>PLUMBING SVCS=COURTHOUSE</v>
      </c>
    </row>
    <row r="907" spans="1:8" x14ac:dyDescent="0.25">
      <c r="E907" s="1" t="str">
        <f>"19307"</f>
        <v>19307</v>
      </c>
      <c r="F907" s="1" t="str">
        <f>"REPAIR LEAK/OLD JAIL"</f>
        <v>REPAIR LEAK/OLD JAIL</v>
      </c>
      <c r="G907" s="3">
        <v>423</v>
      </c>
      <c r="H907" s="1" t="str">
        <f>"REPAIR LEAK/OLD JAIL"</f>
        <v>REPAIR LEAK/OLD JAIL</v>
      </c>
    </row>
    <row r="908" spans="1:8" x14ac:dyDescent="0.25">
      <c r="A908" s="1" t="s">
        <v>344</v>
      </c>
      <c r="B908" s="1">
        <v>83194</v>
      </c>
      <c r="C908" s="3">
        <v>220.5</v>
      </c>
      <c r="D908" s="2">
        <v>43668</v>
      </c>
      <c r="E908" s="1" t="str">
        <f>"266874"</f>
        <v>266874</v>
      </c>
      <c r="F908" s="1" t="str">
        <f>"Sign Shop Material"</f>
        <v>Sign Shop Material</v>
      </c>
      <c r="G908" s="3">
        <v>220.5</v>
      </c>
      <c r="H908" s="1" t="str">
        <f>"3M Diam. Gr. Marking"</f>
        <v>3M Diam. Gr. Marking</v>
      </c>
    </row>
    <row r="909" spans="1:8" x14ac:dyDescent="0.25">
      <c r="A909" s="1" t="s">
        <v>345</v>
      </c>
      <c r="B909" s="1">
        <v>82945</v>
      </c>
      <c r="C909" s="3">
        <v>74933.460000000006</v>
      </c>
      <c r="D909" s="2">
        <v>43654</v>
      </c>
      <c r="E909" s="1" t="str">
        <f>"19223"</f>
        <v>19223</v>
      </c>
      <c r="F909" s="1" t="str">
        <f>"ASPHALT EMULSION/PCT#2"</f>
        <v>ASPHALT EMULSION/PCT#2</v>
      </c>
      <c r="G909" s="3">
        <v>15784.92</v>
      </c>
      <c r="H909" s="1" t="str">
        <f>"ASPHALT EMULSION/PCT#2"</f>
        <v>ASPHALT EMULSION/PCT#2</v>
      </c>
    </row>
    <row r="910" spans="1:8" x14ac:dyDescent="0.25">
      <c r="E910" s="1" t="str">
        <f>"19226"</f>
        <v>19226</v>
      </c>
      <c r="F910" s="1" t="str">
        <f>"ASPHALT EMULSION/PCT#2"</f>
        <v>ASPHALT EMULSION/PCT#2</v>
      </c>
      <c r="G910" s="3">
        <v>27734.720000000001</v>
      </c>
      <c r="H910" s="1" t="str">
        <f>"ASPHALT EMULSION/PCT#2"</f>
        <v>ASPHALT EMULSION/PCT#2</v>
      </c>
    </row>
    <row r="911" spans="1:8" x14ac:dyDescent="0.25">
      <c r="E911" s="1" t="str">
        <f>"19231"</f>
        <v>19231</v>
      </c>
      <c r="F911" s="1" t="str">
        <f>"ASPHALT EMULSION/PCT#2"</f>
        <v>ASPHALT EMULSION/PCT#2</v>
      </c>
      <c r="G911" s="3">
        <v>31413.82</v>
      </c>
      <c r="H911" s="1" t="str">
        <f>"ASPHALT EMULSION/PCT#2"</f>
        <v>ASPHALT EMULSION/PCT#2</v>
      </c>
    </row>
    <row r="912" spans="1:8" x14ac:dyDescent="0.25">
      <c r="A912" s="1" t="s">
        <v>345</v>
      </c>
      <c r="B912" s="1">
        <v>83195</v>
      </c>
      <c r="C912" s="3">
        <v>32542.62</v>
      </c>
      <c r="D912" s="2">
        <v>43668</v>
      </c>
      <c r="E912" s="1" t="str">
        <f>"19252"</f>
        <v>19252</v>
      </c>
      <c r="F912" s="1" t="str">
        <f>"ASPHALT EMULSION/PCT#2"</f>
        <v>ASPHALT EMULSION/PCT#2</v>
      </c>
      <c r="G912" s="3">
        <v>32542.62</v>
      </c>
      <c r="H912" s="1" t="str">
        <f>"ASPHALT EMULSION/PCT#2"</f>
        <v>ASPHALT EMULSION/PCT#2</v>
      </c>
    </row>
    <row r="913" spans="1:8" x14ac:dyDescent="0.25">
      <c r="A913" s="1" t="s">
        <v>346</v>
      </c>
      <c r="B913" s="1">
        <v>82946</v>
      </c>
      <c r="C913" s="3">
        <v>115.02</v>
      </c>
      <c r="D913" s="2">
        <v>43654</v>
      </c>
      <c r="E913" s="1" t="str">
        <f>"68574"</f>
        <v>68574</v>
      </c>
      <c r="F913" s="1" t="str">
        <f>"IGNITION MODULE/TANK/HARNESS"</f>
        <v>IGNITION MODULE/TANK/HARNESS</v>
      </c>
      <c r="G913" s="3">
        <v>115.02</v>
      </c>
      <c r="H913" s="1" t="str">
        <f>"IGNITION MODULE/TANK/HARNESS"</f>
        <v>IGNITION MODULE/TANK/HARNESS</v>
      </c>
    </row>
    <row r="914" spans="1:8" x14ac:dyDescent="0.25">
      <c r="A914" s="1" t="s">
        <v>347</v>
      </c>
      <c r="B914" s="1">
        <v>83196</v>
      </c>
      <c r="C914" s="3">
        <v>308.91000000000003</v>
      </c>
      <c r="D914" s="2">
        <v>43668</v>
      </c>
      <c r="E914" s="1" t="str">
        <f>"201907090317"</f>
        <v>201907090317</v>
      </c>
      <c r="F914" s="1" t="str">
        <f>"ACCT#1137/PCT#4"</f>
        <v>ACCT#1137/PCT#4</v>
      </c>
      <c r="G914" s="3">
        <v>308.91000000000003</v>
      </c>
      <c r="H914" s="1" t="str">
        <f>"ACCT#1137/PCT#4"</f>
        <v>ACCT#1137/PCT#4</v>
      </c>
    </row>
    <row r="915" spans="1:8" x14ac:dyDescent="0.25">
      <c r="A915" s="1" t="s">
        <v>348</v>
      </c>
      <c r="B915" s="1">
        <v>82947</v>
      </c>
      <c r="C915" s="3">
        <v>878.75</v>
      </c>
      <c r="D915" s="2">
        <v>43654</v>
      </c>
      <c r="E915" s="1" t="str">
        <f>"2907"</f>
        <v>2907</v>
      </c>
      <c r="F915" s="1" t="str">
        <f>"ITEM#30908/SIGN SHOP"</f>
        <v>ITEM#30908/SIGN SHOP</v>
      </c>
      <c r="G915" s="3">
        <v>878.75</v>
      </c>
      <c r="H915" s="1" t="str">
        <f>"ITEM#30908/SIGN SHOP"</f>
        <v>ITEM#30908/SIGN SHOP</v>
      </c>
    </row>
    <row r="916" spans="1:8" x14ac:dyDescent="0.25">
      <c r="A916" s="1" t="s">
        <v>349</v>
      </c>
      <c r="B916" s="1">
        <v>82948</v>
      </c>
      <c r="C916" s="3">
        <v>189</v>
      </c>
      <c r="D916" s="2">
        <v>43654</v>
      </c>
      <c r="E916" s="1" t="str">
        <f>"201906270117"</f>
        <v>201906270117</v>
      </c>
      <c r="F916" s="1" t="str">
        <f>"REIMBURSE-CLASS REGISTRATION"</f>
        <v>REIMBURSE-CLASS REGISTRATION</v>
      </c>
      <c r="G916" s="3">
        <v>189</v>
      </c>
      <c r="H916" s="1" t="str">
        <f>"REIMBURSE-CLASS REGISTRATION"</f>
        <v>REIMBURSE-CLASS REGISTRATION</v>
      </c>
    </row>
    <row r="917" spans="1:8" x14ac:dyDescent="0.25">
      <c r="A917" s="1" t="s">
        <v>350</v>
      </c>
      <c r="B917" s="1">
        <v>1016</v>
      </c>
      <c r="C917" s="3">
        <v>777.7</v>
      </c>
      <c r="D917" s="2">
        <v>43655</v>
      </c>
      <c r="E917" s="1" t="str">
        <f>"2008387"</f>
        <v>2008387</v>
      </c>
      <c r="F917" s="1" t="str">
        <f>"MATERIALS/LABOR/MIKE FISHER BL"</f>
        <v>MATERIALS/LABOR/MIKE FISHER BL</v>
      </c>
      <c r="G917" s="3">
        <v>358.5</v>
      </c>
      <c r="H917" s="1" t="str">
        <f>"MATERIALS/LABOR/MIKE FISHER BL"</f>
        <v>MATERIALS/LABOR/MIKE FISHER BL</v>
      </c>
    </row>
    <row r="918" spans="1:8" x14ac:dyDescent="0.25">
      <c r="E918" s="1" t="str">
        <f>"2008388"</f>
        <v>2008388</v>
      </c>
      <c r="F918" s="1" t="str">
        <f>"MATERIALS/LABOR/MIKE FISHER BL"</f>
        <v>MATERIALS/LABOR/MIKE FISHER BL</v>
      </c>
      <c r="G918" s="3">
        <v>272.2</v>
      </c>
      <c r="H918" s="1" t="str">
        <f>"MATERIALS/LABOR/MIKE FISHER BL"</f>
        <v>MATERIALS/LABOR/MIKE FISHER BL</v>
      </c>
    </row>
    <row r="919" spans="1:8" x14ac:dyDescent="0.25">
      <c r="E919" s="1" t="str">
        <f>"2008389"</f>
        <v>2008389</v>
      </c>
      <c r="F919" s="1" t="str">
        <f>"TROUBLE SHOOT OUTLETS/ROSANKY"</f>
        <v>TROUBLE SHOOT OUTLETS/ROSANKY</v>
      </c>
      <c r="G919" s="3">
        <v>147</v>
      </c>
      <c r="H919" s="1" t="str">
        <f>"TROUBLE SHOOT OUTLETS/ROSANKY"</f>
        <v>TROUBLE SHOOT OUTLETS/ROSANKY</v>
      </c>
    </row>
    <row r="920" spans="1:8" x14ac:dyDescent="0.25">
      <c r="A920" s="1" t="s">
        <v>351</v>
      </c>
      <c r="B920" s="1">
        <v>82949</v>
      </c>
      <c r="C920" s="3">
        <v>2689.22</v>
      </c>
      <c r="D920" s="2">
        <v>43654</v>
      </c>
      <c r="E920" s="1" t="str">
        <f>"201907010211"</f>
        <v>201907010211</v>
      </c>
      <c r="F920" s="1" t="str">
        <f>"ACCT#0200140783"</f>
        <v>ACCT#0200140783</v>
      </c>
      <c r="G920" s="3">
        <v>2689.22</v>
      </c>
      <c r="H920" s="1" t="str">
        <f>"ACCT#0200140783"</f>
        <v>ACCT#0200140783</v>
      </c>
    </row>
    <row r="921" spans="1:8" x14ac:dyDescent="0.25">
      <c r="A921" s="1" t="s">
        <v>352</v>
      </c>
      <c r="B921" s="1">
        <v>1049</v>
      </c>
      <c r="C921" s="3">
        <v>375</v>
      </c>
      <c r="D921" s="2">
        <v>43655</v>
      </c>
      <c r="E921" s="1" t="str">
        <f>"201906270150"</f>
        <v>201906270150</v>
      </c>
      <c r="F921" s="1" t="str">
        <f>"56738  56739"</f>
        <v>56738  56739</v>
      </c>
      <c r="G921" s="3">
        <v>375</v>
      </c>
      <c r="H921" s="1" t="str">
        <f>"56738  56739"</f>
        <v>56738  56739</v>
      </c>
    </row>
    <row r="922" spans="1:8" x14ac:dyDescent="0.25">
      <c r="A922" s="1" t="s">
        <v>352</v>
      </c>
      <c r="B922" s="1">
        <v>1124</v>
      </c>
      <c r="C922" s="3">
        <v>1000</v>
      </c>
      <c r="D922" s="2">
        <v>43669</v>
      </c>
      <c r="E922" s="1" t="str">
        <f>"201907160470"</f>
        <v>201907160470</v>
      </c>
      <c r="F922" s="1" t="str">
        <f>"56555"</f>
        <v>56555</v>
      </c>
      <c r="G922" s="3">
        <v>250</v>
      </c>
      <c r="H922" s="1" t="str">
        <f>"56555"</f>
        <v>56555</v>
      </c>
    </row>
    <row r="923" spans="1:8" x14ac:dyDescent="0.25">
      <c r="E923" s="1" t="str">
        <f>"201907160471"</f>
        <v>201907160471</v>
      </c>
      <c r="F923" s="1" t="str">
        <f>"55982"</f>
        <v>55982</v>
      </c>
      <c r="G923" s="3">
        <v>250</v>
      </c>
      <c r="H923" s="1" t="str">
        <f>"55982"</f>
        <v>55982</v>
      </c>
    </row>
    <row r="924" spans="1:8" x14ac:dyDescent="0.25">
      <c r="E924" s="1" t="str">
        <f>"201907160472"</f>
        <v>201907160472</v>
      </c>
      <c r="F924" s="1" t="str">
        <f>"52735"</f>
        <v>52735</v>
      </c>
      <c r="G924" s="3">
        <v>250</v>
      </c>
      <c r="H924" s="1" t="str">
        <f>"52735"</f>
        <v>52735</v>
      </c>
    </row>
    <row r="925" spans="1:8" x14ac:dyDescent="0.25">
      <c r="E925" s="1" t="str">
        <f>"201907160473"</f>
        <v>201907160473</v>
      </c>
      <c r="F925" s="1" t="str">
        <f>"404049.5"</f>
        <v>404049.5</v>
      </c>
      <c r="G925" s="3">
        <v>250</v>
      </c>
      <c r="H925" s="1" t="str">
        <f>"404049.5"</f>
        <v>404049.5</v>
      </c>
    </row>
    <row r="926" spans="1:8" x14ac:dyDescent="0.25">
      <c r="A926" s="1" t="s">
        <v>353</v>
      </c>
      <c r="B926" s="1">
        <v>83197</v>
      </c>
      <c r="C926" s="3">
        <v>500</v>
      </c>
      <c r="D926" s="2">
        <v>43668</v>
      </c>
      <c r="E926" s="1" t="str">
        <f>"201907160476"</f>
        <v>201907160476</v>
      </c>
      <c r="F926" s="1" t="str">
        <f>"TRN925-352-894XA001/4050495"</f>
        <v>TRN925-352-894XA001/4050495</v>
      </c>
      <c r="G926" s="3">
        <v>250</v>
      </c>
      <c r="H926" s="1" t="str">
        <f>"TRN925-352-894XA001/4050495"</f>
        <v>TRN925-352-894XA001/4050495</v>
      </c>
    </row>
    <row r="927" spans="1:8" x14ac:dyDescent="0.25">
      <c r="E927" s="1" t="str">
        <f>"201907160477"</f>
        <v>201907160477</v>
      </c>
      <c r="F927" s="1" t="str">
        <f>"TRN925-353-0650A001/4020691W"</f>
        <v>TRN925-353-0650A001/4020691W</v>
      </c>
      <c r="G927" s="3">
        <v>250</v>
      </c>
      <c r="H927" s="1" t="str">
        <f>"TRN925-353-0650A001/4020691W"</f>
        <v>TRN925-353-0650A001/4020691W</v>
      </c>
    </row>
    <row r="928" spans="1:8" x14ac:dyDescent="0.25">
      <c r="A928" s="1" t="s">
        <v>354</v>
      </c>
      <c r="B928" s="1">
        <v>1123</v>
      </c>
      <c r="C928" s="3">
        <v>1631.01</v>
      </c>
      <c r="D928" s="2">
        <v>43669</v>
      </c>
      <c r="E928" s="1" t="str">
        <f>"33091911473"</f>
        <v>33091911473</v>
      </c>
      <c r="F928" s="1" t="str">
        <f>"ACCT#0011198047"</f>
        <v>ACCT#0011198047</v>
      </c>
      <c r="G928" s="3">
        <v>1631.01</v>
      </c>
      <c r="H928" s="1" t="str">
        <f>"ACCT#0011198047"</f>
        <v>ACCT#0011198047</v>
      </c>
    </row>
    <row r="929" spans="1:9" x14ac:dyDescent="0.25">
      <c r="A929" s="1" t="s">
        <v>355</v>
      </c>
      <c r="B929" s="1">
        <v>1018</v>
      </c>
      <c r="C929" s="3">
        <v>1250</v>
      </c>
      <c r="D929" s="2">
        <v>43655</v>
      </c>
      <c r="E929" s="1" t="str">
        <f>"201906270138"</f>
        <v>201906270138</v>
      </c>
      <c r="F929" s="1" t="str">
        <f>"56 624"</f>
        <v>56 624</v>
      </c>
      <c r="G929" s="3">
        <v>250</v>
      </c>
      <c r="H929" s="1" t="str">
        <f>"56 624"</f>
        <v>56 624</v>
      </c>
    </row>
    <row r="930" spans="1:9" x14ac:dyDescent="0.25">
      <c r="E930" s="1" t="str">
        <f>"201906270139"</f>
        <v>201906270139</v>
      </c>
      <c r="F930" s="1" t="str">
        <f>"56 639"</f>
        <v>56 639</v>
      </c>
      <c r="G930" s="3">
        <v>250</v>
      </c>
      <c r="H930" s="1" t="str">
        <f>"56 639"</f>
        <v>56 639</v>
      </c>
    </row>
    <row r="931" spans="1:9" x14ac:dyDescent="0.25">
      <c r="E931" s="1" t="str">
        <f>"201906280197"</f>
        <v>201906280197</v>
      </c>
      <c r="F931" s="1" t="str">
        <f>"56 287  56 288  56 289"</f>
        <v>56 287  56 288  56 289</v>
      </c>
      <c r="G931" s="3">
        <v>750</v>
      </c>
      <c r="H931" s="1" t="str">
        <f>"56 287  56 288  56 289"</f>
        <v>56 287  56 288  56 289</v>
      </c>
    </row>
    <row r="932" spans="1:9" x14ac:dyDescent="0.25">
      <c r="A932" s="1" t="s">
        <v>356</v>
      </c>
      <c r="B932" s="1">
        <v>83198</v>
      </c>
      <c r="C932" s="3">
        <v>900</v>
      </c>
      <c r="D932" s="2">
        <v>43668</v>
      </c>
      <c r="E932" s="1" t="str">
        <f>"18239"</f>
        <v>18239</v>
      </c>
      <c r="F932" s="1" t="str">
        <f>"INV 18239"</f>
        <v>INV 18239</v>
      </c>
      <c r="G932" s="3">
        <v>900</v>
      </c>
      <c r="H932" s="1" t="str">
        <f>"INV 18239"</f>
        <v>INV 18239</v>
      </c>
    </row>
    <row r="933" spans="1:9" x14ac:dyDescent="0.25">
      <c r="A933" s="1" t="s">
        <v>357</v>
      </c>
      <c r="B933" s="1">
        <v>1099</v>
      </c>
      <c r="C933" s="3">
        <v>582.74</v>
      </c>
      <c r="D933" s="2">
        <v>43669</v>
      </c>
      <c r="E933" s="1" t="str">
        <f>"201907100393"</f>
        <v>201907100393</v>
      </c>
      <c r="F933" s="1" t="str">
        <f>"ACCT#0005/PCT#4"</f>
        <v>ACCT#0005/PCT#4</v>
      </c>
      <c r="G933" s="3">
        <v>582.74</v>
      </c>
      <c r="H933" s="1" t="str">
        <f>"ACCT#0005/PCT#4"</f>
        <v>ACCT#0005/PCT#4</v>
      </c>
    </row>
    <row r="934" spans="1:9" x14ac:dyDescent="0.25">
      <c r="A934" s="1" t="s">
        <v>358</v>
      </c>
      <c r="B934" s="1">
        <v>83199</v>
      </c>
      <c r="C934" s="3">
        <v>75</v>
      </c>
      <c r="D934" s="2">
        <v>43668</v>
      </c>
      <c r="E934" s="1" t="s">
        <v>205</v>
      </c>
      <c r="F934" s="1" t="s">
        <v>206</v>
      </c>
      <c r="G934" s="3" t="str">
        <f>"RESTITUTION - C. FERRIS"</f>
        <v>RESTITUTION - C. FERRIS</v>
      </c>
      <c r="H934" s="1" t="str">
        <f>"210-0000"</f>
        <v>210-0000</v>
      </c>
      <c r="I934" s="1" t="str">
        <f>""</f>
        <v/>
      </c>
    </row>
    <row r="935" spans="1:9" x14ac:dyDescent="0.25">
      <c r="A935" s="1" t="s">
        <v>359</v>
      </c>
      <c r="B935" s="1">
        <v>1053</v>
      </c>
      <c r="C935" s="3">
        <v>800</v>
      </c>
      <c r="D935" s="2">
        <v>43655</v>
      </c>
      <c r="E935" s="1" t="str">
        <f>"181115"</f>
        <v>181115</v>
      </c>
      <c r="F935" s="1" t="str">
        <f>"INV 181115"</f>
        <v>INV 181115</v>
      </c>
      <c r="G935" s="3">
        <v>800</v>
      </c>
      <c r="H935" s="1" t="str">
        <f>"INV 181115"</f>
        <v>INV 181115</v>
      </c>
    </row>
    <row r="936" spans="1:9" x14ac:dyDescent="0.25">
      <c r="A936" s="1" t="s">
        <v>360</v>
      </c>
      <c r="B936" s="1">
        <v>1008</v>
      </c>
      <c r="C936" s="3">
        <v>344.41</v>
      </c>
      <c r="D936" s="2">
        <v>43655</v>
      </c>
      <c r="E936" s="1" t="str">
        <f>"201907020259"</f>
        <v>201907020259</v>
      </c>
      <c r="F936" s="1" t="str">
        <f>"REIMBURSE-MEALS/HOTEL/PARK/REG"</f>
        <v>REIMBURSE-MEALS/HOTEL/PARK/REG</v>
      </c>
      <c r="G936" s="3">
        <v>250.78</v>
      </c>
      <c r="H936" s="1" t="str">
        <f>"REIMBURSE-MEALS/HOTEL/PARK/REG"</f>
        <v>REIMBURSE-MEALS/HOTEL/PARK/REG</v>
      </c>
    </row>
    <row r="937" spans="1:9" x14ac:dyDescent="0.25">
      <c r="E937" s="1" t="str">
        <f>"201907020260"</f>
        <v>201907020260</v>
      </c>
      <c r="F937" s="1" t="str">
        <f>"REIMBURSE MEALS/REGISTRATION"</f>
        <v>REIMBURSE MEALS/REGISTRATION</v>
      </c>
      <c r="G937" s="3">
        <v>93.63</v>
      </c>
      <c r="H937" s="1" t="str">
        <f>"REIMBURSE MEALS/REGISTRATION"</f>
        <v>REIMBURSE MEALS/REGISTRATION</v>
      </c>
    </row>
    <row r="938" spans="1:9" x14ac:dyDescent="0.25">
      <c r="A938" s="1" t="s">
        <v>361</v>
      </c>
      <c r="B938" s="1">
        <v>82950</v>
      </c>
      <c r="C938" s="3">
        <v>77</v>
      </c>
      <c r="D938" s="2">
        <v>43654</v>
      </c>
      <c r="E938" s="1" t="str">
        <f>"201907010237"</f>
        <v>201907010237</v>
      </c>
      <c r="F938" s="1" t="str">
        <f>"CPR E-CARDS"</f>
        <v>CPR E-CARDS</v>
      </c>
      <c r="G938" s="3">
        <v>77</v>
      </c>
      <c r="H938" s="1" t="str">
        <f>"CPR E-CARDS (LE)"</f>
        <v>CPR E-CARDS (LE)</v>
      </c>
    </row>
    <row r="939" spans="1:9" x14ac:dyDescent="0.25">
      <c r="E939" s="1" t="str">
        <f>""</f>
        <v/>
      </c>
      <c r="F939" s="1" t="str">
        <f>""</f>
        <v/>
      </c>
      <c r="H939" s="1" t="str">
        <f>"CPR E-CARDS (JAIL)"</f>
        <v>CPR E-CARDS (JAIL)</v>
      </c>
    </row>
    <row r="940" spans="1:9" x14ac:dyDescent="0.25">
      <c r="A940" s="1" t="s">
        <v>361</v>
      </c>
      <c r="B940" s="1">
        <v>83200</v>
      </c>
      <c r="C940" s="3">
        <v>91</v>
      </c>
      <c r="D940" s="2">
        <v>43668</v>
      </c>
      <c r="E940" s="1" t="str">
        <f>"INV-004141"</f>
        <v>INV-004141</v>
      </c>
      <c r="F940" s="1" t="str">
        <f>"INV-004141"</f>
        <v>INV-004141</v>
      </c>
      <c r="G940" s="3">
        <v>91</v>
      </c>
      <c r="H940" s="1" t="str">
        <f>"INV-004141"</f>
        <v>INV-004141</v>
      </c>
    </row>
    <row r="941" spans="1:9" x14ac:dyDescent="0.25">
      <c r="A941" s="1" t="s">
        <v>362</v>
      </c>
      <c r="B941" s="1">
        <v>1075</v>
      </c>
      <c r="C941" s="3">
        <v>119.27</v>
      </c>
      <c r="D941" s="2">
        <v>43669</v>
      </c>
      <c r="E941" s="1" t="str">
        <f>"0121587851"</f>
        <v>0121587851</v>
      </c>
      <c r="F941" s="1" t="str">
        <f>"ACCT#0121587851/1133 DILDY DR"</f>
        <v>ACCT#0121587851/1133 DILDY DR</v>
      </c>
      <c r="G941" s="3">
        <v>80.36</v>
      </c>
      <c r="H941" s="1" t="str">
        <f>"ACCT#0121587851/1133 DILDY DR"</f>
        <v>ACCT#0121587851/1133 DILDY DR</v>
      </c>
    </row>
    <row r="942" spans="1:9" x14ac:dyDescent="0.25">
      <c r="E942" s="1" t="str">
        <f>"19G0121569859"</f>
        <v>19G0121569859</v>
      </c>
      <c r="F942" s="1" t="str">
        <f>"ACCT#0121569859/JP#4"</f>
        <v>ACCT#0121569859/JP#4</v>
      </c>
      <c r="G942" s="3">
        <v>38.909999999999997</v>
      </c>
      <c r="H942" s="1" t="str">
        <f>"ACCT#0121569859/JP#4"</f>
        <v>ACCT#0121569859/JP#4</v>
      </c>
    </row>
    <row r="943" spans="1:9" x14ac:dyDescent="0.25">
      <c r="A943" s="1" t="s">
        <v>363</v>
      </c>
      <c r="B943" s="1">
        <v>83201</v>
      </c>
      <c r="C943" s="3">
        <v>1661.76</v>
      </c>
      <c r="D943" s="2">
        <v>43668</v>
      </c>
      <c r="E943" s="1" t="str">
        <f>"383 000 187 985 4"</f>
        <v>383 000 187 985 4</v>
      </c>
      <c r="F943" s="1" t="str">
        <f>"ACCT#15 069 451 - 1/138 LACY"</f>
        <v>ACCT#15 069 451 - 1/138 LACY</v>
      </c>
      <c r="G943" s="3">
        <v>412.12</v>
      </c>
      <c r="H943" s="1" t="str">
        <f>"ACCT#15 069 451 - 1/138 LACY"</f>
        <v>ACCT#15 069 451 - 1/138 LACY</v>
      </c>
    </row>
    <row r="944" spans="1:9" x14ac:dyDescent="0.25">
      <c r="E944" s="1" t="str">
        <f>"396 000 185 143 7"</f>
        <v>396 000 185 143 7</v>
      </c>
      <c r="F944" s="1" t="str">
        <f>"ACCT#15 070 712-3/HWY 290"</f>
        <v>ACCT#15 070 712-3/HWY 290</v>
      </c>
      <c r="G944" s="3">
        <v>17.95</v>
      </c>
      <c r="H944" s="1" t="str">
        <f>"ACCT#15 070 712-3/HWY 290"</f>
        <v>ACCT#15 070 712-3/HWY 290</v>
      </c>
    </row>
    <row r="945" spans="1:8" x14ac:dyDescent="0.25">
      <c r="E945" s="1" t="str">
        <f>"396 000 185 144 5"</f>
        <v>396 000 185 144 5</v>
      </c>
      <c r="F945" s="1" t="str">
        <f>"ACCT#15 070 713-1/708 BULL RUN"</f>
        <v>ACCT#15 070 713-1/708 BULL RUN</v>
      </c>
      <c r="G945" s="3">
        <v>21.48</v>
      </c>
      <c r="H945" s="1" t="str">
        <f>"ACCT#15 070 713-1/708 BULL RUN"</f>
        <v>ACCT#15 070 713-1/708 BULL RUN</v>
      </c>
    </row>
    <row r="946" spans="1:8" x14ac:dyDescent="0.25">
      <c r="E946" s="1" t="str">
        <f>"396 000 185 145 2"</f>
        <v>396 000 185 145 2</v>
      </c>
      <c r="F946" s="1" t="str">
        <f>"ACCT#15 072 199-1/704 HWY 290E"</f>
        <v>ACCT#15 072 199-1/704 HWY 290E</v>
      </c>
      <c r="G946" s="3">
        <v>45.8</v>
      </c>
      <c r="H946" s="1" t="str">
        <f>"ACCT#15 072 199-1/704 HWY 290E"</f>
        <v>ACCT#15 072 199-1/704 HWY 290E</v>
      </c>
    </row>
    <row r="947" spans="1:8" x14ac:dyDescent="0.25">
      <c r="E947" s="1" t="str">
        <f>"396 000 185 146 0"</f>
        <v>396 000 185 146 0</v>
      </c>
      <c r="F947" s="1" t="str">
        <f>"ACCT#15 072 200-7/1133 DILDY"</f>
        <v>ACCT#15 072 200-7/1133 DILDY</v>
      </c>
      <c r="G947" s="3">
        <v>253.49</v>
      </c>
      <c r="H947" s="1" t="str">
        <f>"ACCT#15 072 200-7/1133 DILDY"</f>
        <v>ACCT#15 072 200-7/1133 DILDY</v>
      </c>
    </row>
    <row r="948" spans="1:8" x14ac:dyDescent="0.25">
      <c r="E948" s="1" t="str">
        <f>"396 000 185 147 8"</f>
        <v>396 000 185 147 8</v>
      </c>
      <c r="F948" s="1" t="str">
        <f>"ACCT#15 072 201-5/204 S MAIN"</f>
        <v>ACCT#15 072 201-5/204 S MAIN</v>
      </c>
      <c r="G948" s="3">
        <v>524.16</v>
      </c>
      <c r="H948" s="1" t="str">
        <f>"ACCT#15 072 201-5/204 S MAIN"</f>
        <v>ACCT#15 072 201-5/204 S MAIN</v>
      </c>
    </row>
    <row r="949" spans="1:8" x14ac:dyDescent="0.25">
      <c r="E949" s="1" t="str">
        <f>"396 000 185 148 6"</f>
        <v>396 000 185 148 6</v>
      </c>
      <c r="F949" s="1" t="str">
        <f>"ACCT#15 072 202-3/708 BULL RUN"</f>
        <v>ACCT#15 072 202-3/708 BULL RUN</v>
      </c>
      <c r="G949" s="3">
        <v>27.45</v>
      </c>
      <c r="H949" s="1" t="str">
        <f>"ACCT#15 072 202-3/708 BULL RUN"</f>
        <v>ACCT#15 072 202-3/708 BULL RUN</v>
      </c>
    </row>
    <row r="950" spans="1:8" x14ac:dyDescent="0.25">
      <c r="E950" s="1" t="str">
        <f>"396 000 185 150 2"</f>
        <v>396 000 185 150 2</v>
      </c>
      <c r="F950" s="1" t="str">
        <f>"ACCT#15 072 204 - 9/1125 DILDY"</f>
        <v>ACCT#15 072 204 - 9/1125 DILDY</v>
      </c>
      <c r="G950" s="3">
        <v>343.6</v>
      </c>
      <c r="H950" s="1" t="str">
        <f>"ACCT#15 072 204 - 9/1125 DILDY"</f>
        <v>ACCT#15 072 204 - 9/1125 DILDY</v>
      </c>
    </row>
    <row r="951" spans="1:8" x14ac:dyDescent="0.25">
      <c r="E951" s="1" t="str">
        <f>"396 000 1855 149 4"</f>
        <v>396 000 1855 149 4</v>
      </c>
      <c r="F951" s="1" t="str">
        <f>"ACCT#15072203 -1/130 BULL RUN"</f>
        <v>ACCT#15072203 -1/130 BULL RUN</v>
      </c>
      <c r="G951" s="3">
        <v>15.71</v>
      </c>
      <c r="H951" s="1" t="str">
        <f>"ACCT#15072203 -1/130 BULL RUN"</f>
        <v>ACCT#15072203 -1/130 BULL RUN</v>
      </c>
    </row>
    <row r="952" spans="1:8" x14ac:dyDescent="0.25">
      <c r="A952" s="1" t="s">
        <v>364</v>
      </c>
      <c r="B952" s="1">
        <v>1025</v>
      </c>
      <c r="C952" s="3">
        <v>1013.35</v>
      </c>
      <c r="D952" s="2">
        <v>43655</v>
      </c>
      <c r="E952" s="1" t="str">
        <f>"0000012410"</f>
        <v>0000012410</v>
      </c>
      <c r="F952" s="1" t="str">
        <f>"WK ORD#0000013432/PCT#4"</f>
        <v>WK ORD#0000013432/PCT#4</v>
      </c>
      <c r="G952" s="3">
        <v>885.48</v>
      </c>
      <c r="H952" s="1" t="str">
        <f>"WK ORD#0000013432/PCT#4"</f>
        <v>WK ORD#0000013432/PCT#4</v>
      </c>
    </row>
    <row r="953" spans="1:8" x14ac:dyDescent="0.25">
      <c r="E953" s="1" t="str">
        <f>"0000012415"</f>
        <v>0000012415</v>
      </c>
      <c r="F953" s="1" t="str">
        <f>"WRK ORD#0000013578/PCT#4"</f>
        <v>WRK ORD#0000013578/PCT#4</v>
      </c>
      <c r="G953" s="3">
        <v>127.87</v>
      </c>
      <c r="H953" s="1" t="str">
        <f>"WRK ORD#0000013578/PCT#4"</f>
        <v>WRK ORD#0000013578/PCT#4</v>
      </c>
    </row>
    <row r="954" spans="1:8" x14ac:dyDescent="0.25">
      <c r="A954" s="1" t="s">
        <v>364</v>
      </c>
      <c r="B954" s="1">
        <v>1094</v>
      </c>
      <c r="C954" s="3">
        <v>242.36</v>
      </c>
      <c r="D954" s="2">
        <v>43669</v>
      </c>
      <c r="E954" s="1" t="str">
        <f>"0000012444"</f>
        <v>0000012444</v>
      </c>
      <c r="F954" s="1" t="str">
        <f>"WK ORD#0000013604/PCT#4"</f>
        <v>WK ORD#0000013604/PCT#4</v>
      </c>
      <c r="G954" s="3">
        <v>242.36</v>
      </c>
      <c r="H954" s="1" t="str">
        <f>"WK ORD#0000013604/PCT#4"</f>
        <v>WK ORD#0000013604/PCT#4</v>
      </c>
    </row>
    <row r="955" spans="1:8" x14ac:dyDescent="0.25">
      <c r="A955" s="1" t="s">
        <v>365</v>
      </c>
      <c r="B955" s="1">
        <v>1052</v>
      </c>
      <c r="C955" s="3">
        <v>1225</v>
      </c>
      <c r="D955" s="2">
        <v>43655</v>
      </c>
      <c r="E955" s="1" t="str">
        <f>"201906270158"</f>
        <v>201906270158</v>
      </c>
      <c r="F955" s="1" t="str">
        <f>"56 401  CC20180915-B"</f>
        <v>56 401  CC20180915-B</v>
      </c>
      <c r="G955" s="3">
        <v>375</v>
      </c>
      <c r="H955" s="1" t="str">
        <f>"56 401  CC20180915-B"</f>
        <v>56 401  CC20180915-B</v>
      </c>
    </row>
    <row r="956" spans="1:8" x14ac:dyDescent="0.25">
      <c r="E956" s="1" t="str">
        <f>"201906270159"</f>
        <v>201906270159</v>
      </c>
      <c r="F956" s="1" t="str">
        <f>"56718"</f>
        <v>56718</v>
      </c>
      <c r="G956" s="3">
        <v>250</v>
      </c>
      <c r="H956" s="1" t="str">
        <f>"56718"</f>
        <v>56718</v>
      </c>
    </row>
    <row r="957" spans="1:8" x14ac:dyDescent="0.25">
      <c r="E957" s="1" t="str">
        <f>"201906270160"</f>
        <v>201906270160</v>
      </c>
      <c r="F957" s="1" t="str">
        <f>"56771"</f>
        <v>56771</v>
      </c>
      <c r="G957" s="3">
        <v>250</v>
      </c>
      <c r="H957" s="1" t="str">
        <f>"56771"</f>
        <v>56771</v>
      </c>
    </row>
    <row r="958" spans="1:8" x14ac:dyDescent="0.25">
      <c r="E958" s="1" t="str">
        <f>"201906270161"</f>
        <v>201906270161</v>
      </c>
      <c r="F958" s="1" t="str">
        <f>"55 926"</f>
        <v>55 926</v>
      </c>
      <c r="G958" s="3">
        <v>250</v>
      </c>
      <c r="H958" s="1" t="str">
        <f>"55 926"</f>
        <v>55 926</v>
      </c>
    </row>
    <row r="959" spans="1:8" x14ac:dyDescent="0.25">
      <c r="E959" s="1" t="str">
        <f>"201906280177"</f>
        <v>201906280177</v>
      </c>
      <c r="F959" s="1" t="str">
        <f>"19-19659"</f>
        <v>19-19659</v>
      </c>
      <c r="G959" s="3">
        <v>100</v>
      </c>
      <c r="H959" s="1" t="str">
        <f>"19-19659"</f>
        <v>19-19659</v>
      </c>
    </row>
    <row r="960" spans="1:8" x14ac:dyDescent="0.25">
      <c r="A960" s="1" t="s">
        <v>365</v>
      </c>
      <c r="B960" s="1">
        <v>1127</v>
      </c>
      <c r="C960" s="3">
        <v>700</v>
      </c>
      <c r="D960" s="2">
        <v>43669</v>
      </c>
      <c r="E960" s="1" t="str">
        <f>"201907160475"</f>
        <v>201907160475</v>
      </c>
      <c r="F960" s="1" t="str">
        <f>"JP104192019E"</f>
        <v>JP104192019E</v>
      </c>
      <c r="G960" s="3">
        <v>250</v>
      </c>
      <c r="H960" s="1" t="str">
        <f>"JP104192019E"</f>
        <v>JP104192019E</v>
      </c>
    </row>
    <row r="961" spans="1:8" x14ac:dyDescent="0.25">
      <c r="E961" s="1" t="str">
        <f>"201907160588"</f>
        <v>201907160588</v>
      </c>
      <c r="F961" s="1" t="str">
        <f>"19-19724"</f>
        <v>19-19724</v>
      </c>
      <c r="G961" s="3">
        <v>100</v>
      </c>
      <c r="H961" s="1" t="str">
        <f>"19-19724"</f>
        <v>19-19724</v>
      </c>
    </row>
    <row r="962" spans="1:8" x14ac:dyDescent="0.25">
      <c r="E962" s="1" t="str">
        <f>"201907160589"</f>
        <v>201907160589</v>
      </c>
      <c r="F962" s="1" t="str">
        <f>"19-19725"</f>
        <v>19-19725</v>
      </c>
      <c r="G962" s="3">
        <v>100</v>
      </c>
      <c r="H962" s="1" t="str">
        <f>"19-19725"</f>
        <v>19-19725</v>
      </c>
    </row>
    <row r="963" spans="1:8" x14ac:dyDescent="0.25">
      <c r="E963" s="1" t="str">
        <f>"201907160590"</f>
        <v>201907160590</v>
      </c>
      <c r="F963" s="1" t="str">
        <f>"56 144"</f>
        <v>56 144</v>
      </c>
      <c r="G963" s="3">
        <v>250</v>
      </c>
      <c r="H963" s="1" t="str">
        <f>"56 144"</f>
        <v>56 144</v>
      </c>
    </row>
    <row r="964" spans="1:8" x14ac:dyDescent="0.25">
      <c r="A964" s="1" t="s">
        <v>366</v>
      </c>
      <c r="B964" s="1">
        <v>82951</v>
      </c>
      <c r="C964" s="3">
        <v>30</v>
      </c>
      <c r="D964" s="2">
        <v>43654</v>
      </c>
      <c r="E964" s="1" t="str">
        <f>"201907010235"</f>
        <v>201907010235</v>
      </c>
      <c r="F964" s="1" t="str">
        <f>"REAIR TO GENERATOR"</f>
        <v>REAIR TO GENERATOR</v>
      </c>
      <c r="G964" s="3">
        <v>30</v>
      </c>
      <c r="H964" s="1" t="str">
        <f>"REAIR TO GENERATOR"</f>
        <v>REAIR TO GENERATOR</v>
      </c>
    </row>
    <row r="965" spans="1:8" x14ac:dyDescent="0.25">
      <c r="A965" s="1" t="s">
        <v>367</v>
      </c>
      <c r="B965" s="1">
        <v>83202</v>
      </c>
      <c r="C965" s="3">
        <v>1850</v>
      </c>
      <c r="D965" s="2">
        <v>43668</v>
      </c>
      <c r="E965" s="1" t="str">
        <f>"201907160482"</f>
        <v>201907160482</v>
      </c>
      <c r="F965" s="1" t="str">
        <f>"16 905"</f>
        <v>16 905</v>
      </c>
      <c r="G965" s="3">
        <v>1100</v>
      </c>
      <c r="H965" s="1" t="str">
        <f>"16 905"</f>
        <v>16 905</v>
      </c>
    </row>
    <row r="966" spans="1:8" x14ac:dyDescent="0.25">
      <c r="E966" s="1" t="str">
        <f>"201907160483"</f>
        <v>201907160483</v>
      </c>
      <c r="F966" s="1" t="str">
        <f>"16 171"</f>
        <v>16 171</v>
      </c>
      <c r="G966" s="3">
        <v>750</v>
      </c>
      <c r="H966" s="1" t="str">
        <f>"16 171"</f>
        <v>16 171</v>
      </c>
    </row>
    <row r="967" spans="1:8" x14ac:dyDescent="0.25">
      <c r="A967" s="1" t="s">
        <v>368</v>
      </c>
      <c r="B967" s="1">
        <v>1011</v>
      </c>
      <c r="C967" s="3">
        <v>1637.16</v>
      </c>
      <c r="D967" s="2">
        <v>43655</v>
      </c>
      <c r="E967" s="1" t="str">
        <f>"5056933836"</f>
        <v>5056933836</v>
      </c>
      <c r="F967" s="1" t="str">
        <f>"CONTRACT#4746243"</f>
        <v>CONTRACT#4746243</v>
      </c>
      <c r="G967" s="3">
        <v>1556.17</v>
      </c>
      <c r="H967" s="1" t="str">
        <f t="shared" ref="H967:H990" si="15">"CONTRACT#4746243"</f>
        <v>CONTRACT#4746243</v>
      </c>
    </row>
    <row r="968" spans="1:8" x14ac:dyDescent="0.25">
      <c r="E968" s="1" t="str">
        <f>""</f>
        <v/>
      </c>
      <c r="F968" s="1" t="str">
        <f>""</f>
        <v/>
      </c>
      <c r="H968" s="1" t="str">
        <f t="shared" si="15"/>
        <v>CONTRACT#4746243</v>
      </c>
    </row>
    <row r="969" spans="1:8" x14ac:dyDescent="0.25">
      <c r="E969" s="1" t="str">
        <f>""</f>
        <v/>
      </c>
      <c r="F969" s="1" t="str">
        <f>""</f>
        <v/>
      </c>
      <c r="H969" s="1" t="str">
        <f t="shared" si="15"/>
        <v>CONTRACT#4746243</v>
      </c>
    </row>
    <row r="970" spans="1:8" x14ac:dyDescent="0.25">
      <c r="E970" s="1" t="str">
        <f>""</f>
        <v/>
      </c>
      <c r="F970" s="1" t="str">
        <f>""</f>
        <v/>
      </c>
      <c r="H970" s="1" t="str">
        <f t="shared" si="15"/>
        <v>CONTRACT#4746243</v>
      </c>
    </row>
    <row r="971" spans="1:8" x14ac:dyDescent="0.25">
      <c r="E971" s="1" t="str">
        <f>""</f>
        <v/>
      </c>
      <c r="F971" s="1" t="str">
        <f>""</f>
        <v/>
      </c>
      <c r="H971" s="1" t="str">
        <f t="shared" si="15"/>
        <v>CONTRACT#4746243</v>
      </c>
    </row>
    <row r="972" spans="1:8" x14ac:dyDescent="0.25">
      <c r="E972" s="1" t="str">
        <f>""</f>
        <v/>
      </c>
      <c r="F972" s="1" t="str">
        <f>""</f>
        <v/>
      </c>
      <c r="H972" s="1" t="str">
        <f t="shared" si="15"/>
        <v>CONTRACT#4746243</v>
      </c>
    </row>
    <row r="973" spans="1:8" x14ac:dyDescent="0.25">
      <c r="E973" s="1" t="str">
        <f>""</f>
        <v/>
      </c>
      <c r="F973" s="1" t="str">
        <f>""</f>
        <v/>
      </c>
      <c r="H973" s="1" t="str">
        <f t="shared" si="15"/>
        <v>CONTRACT#4746243</v>
      </c>
    </row>
    <row r="974" spans="1:8" x14ac:dyDescent="0.25">
      <c r="E974" s="1" t="str">
        <f>""</f>
        <v/>
      </c>
      <c r="F974" s="1" t="str">
        <f>""</f>
        <v/>
      </c>
      <c r="H974" s="1" t="str">
        <f t="shared" si="15"/>
        <v>CONTRACT#4746243</v>
      </c>
    </row>
    <row r="975" spans="1:8" x14ac:dyDescent="0.25">
      <c r="E975" s="1" t="str">
        <f>""</f>
        <v/>
      </c>
      <c r="F975" s="1" t="str">
        <f>""</f>
        <v/>
      </c>
      <c r="H975" s="1" t="str">
        <f t="shared" si="15"/>
        <v>CONTRACT#4746243</v>
      </c>
    </row>
    <row r="976" spans="1:8" x14ac:dyDescent="0.25">
      <c r="E976" s="1" t="str">
        <f>""</f>
        <v/>
      </c>
      <c r="F976" s="1" t="str">
        <f>""</f>
        <v/>
      </c>
      <c r="H976" s="1" t="str">
        <f t="shared" si="15"/>
        <v>CONTRACT#4746243</v>
      </c>
    </row>
    <row r="977" spans="1:8" x14ac:dyDescent="0.25">
      <c r="E977" s="1" t="str">
        <f>""</f>
        <v/>
      </c>
      <c r="F977" s="1" t="str">
        <f>""</f>
        <v/>
      </c>
      <c r="H977" s="1" t="str">
        <f t="shared" si="15"/>
        <v>CONTRACT#4746243</v>
      </c>
    </row>
    <row r="978" spans="1:8" x14ac:dyDescent="0.25">
      <c r="E978" s="1" t="str">
        <f>""</f>
        <v/>
      </c>
      <c r="F978" s="1" t="str">
        <f>""</f>
        <v/>
      </c>
      <c r="H978" s="1" t="str">
        <f t="shared" si="15"/>
        <v>CONTRACT#4746243</v>
      </c>
    </row>
    <row r="979" spans="1:8" x14ac:dyDescent="0.25">
      <c r="E979" s="1" t="str">
        <f>""</f>
        <v/>
      </c>
      <c r="F979" s="1" t="str">
        <f>""</f>
        <v/>
      </c>
      <c r="H979" s="1" t="str">
        <f t="shared" si="15"/>
        <v>CONTRACT#4746243</v>
      </c>
    </row>
    <row r="980" spans="1:8" x14ac:dyDescent="0.25">
      <c r="E980" s="1" t="str">
        <f>""</f>
        <v/>
      </c>
      <c r="F980" s="1" t="str">
        <f>""</f>
        <v/>
      </c>
      <c r="H980" s="1" t="str">
        <f t="shared" si="15"/>
        <v>CONTRACT#4746243</v>
      </c>
    </row>
    <row r="981" spans="1:8" x14ac:dyDescent="0.25">
      <c r="E981" s="1" t="str">
        <f>""</f>
        <v/>
      </c>
      <c r="F981" s="1" t="str">
        <f>""</f>
        <v/>
      </c>
      <c r="H981" s="1" t="str">
        <f t="shared" si="15"/>
        <v>CONTRACT#4746243</v>
      </c>
    </row>
    <row r="982" spans="1:8" x14ac:dyDescent="0.25">
      <c r="E982" s="1" t="str">
        <f>""</f>
        <v/>
      </c>
      <c r="F982" s="1" t="str">
        <f>""</f>
        <v/>
      </c>
      <c r="H982" s="1" t="str">
        <f t="shared" si="15"/>
        <v>CONTRACT#4746243</v>
      </c>
    </row>
    <row r="983" spans="1:8" x14ac:dyDescent="0.25">
      <c r="E983" s="1" t="str">
        <f>""</f>
        <v/>
      </c>
      <c r="F983" s="1" t="str">
        <f>""</f>
        <v/>
      </c>
      <c r="H983" s="1" t="str">
        <f t="shared" si="15"/>
        <v>CONTRACT#4746243</v>
      </c>
    </row>
    <row r="984" spans="1:8" x14ac:dyDescent="0.25">
      <c r="E984" s="1" t="str">
        <f>""</f>
        <v/>
      </c>
      <c r="F984" s="1" t="str">
        <f>""</f>
        <v/>
      </c>
      <c r="H984" s="1" t="str">
        <f t="shared" si="15"/>
        <v>CONTRACT#4746243</v>
      </c>
    </row>
    <row r="985" spans="1:8" x14ac:dyDescent="0.25">
      <c r="E985" s="1" t="str">
        <f>""</f>
        <v/>
      </c>
      <c r="F985" s="1" t="str">
        <f>""</f>
        <v/>
      </c>
      <c r="H985" s="1" t="str">
        <f t="shared" si="15"/>
        <v>CONTRACT#4746243</v>
      </c>
    </row>
    <row r="986" spans="1:8" x14ac:dyDescent="0.25">
      <c r="E986" s="1" t="str">
        <f>""</f>
        <v/>
      </c>
      <c r="F986" s="1" t="str">
        <f>""</f>
        <v/>
      </c>
      <c r="H986" s="1" t="str">
        <f t="shared" si="15"/>
        <v>CONTRACT#4746243</v>
      </c>
    </row>
    <row r="987" spans="1:8" x14ac:dyDescent="0.25">
      <c r="E987" s="1" t="str">
        <f>""</f>
        <v/>
      </c>
      <c r="F987" s="1" t="str">
        <f>""</f>
        <v/>
      </c>
      <c r="H987" s="1" t="str">
        <f t="shared" si="15"/>
        <v>CONTRACT#4746243</v>
      </c>
    </row>
    <row r="988" spans="1:8" x14ac:dyDescent="0.25">
      <c r="E988" s="1" t="str">
        <f>""</f>
        <v/>
      </c>
      <c r="F988" s="1" t="str">
        <f>""</f>
        <v/>
      </c>
      <c r="H988" s="1" t="str">
        <f t="shared" si="15"/>
        <v>CONTRACT#4746243</v>
      </c>
    </row>
    <row r="989" spans="1:8" x14ac:dyDescent="0.25">
      <c r="E989" s="1" t="str">
        <f>""</f>
        <v/>
      </c>
      <c r="F989" s="1" t="str">
        <f>""</f>
        <v/>
      </c>
      <c r="H989" s="1" t="str">
        <f t="shared" si="15"/>
        <v>CONTRACT#4746243</v>
      </c>
    </row>
    <row r="990" spans="1:8" x14ac:dyDescent="0.25">
      <c r="E990" s="1" t="str">
        <f>"5056933836-P2"</f>
        <v>5056933836-P2</v>
      </c>
      <c r="F990" s="1" t="str">
        <f>"CONTRACT#4746243"</f>
        <v>CONTRACT#4746243</v>
      </c>
      <c r="G990" s="3">
        <v>80.989999999999995</v>
      </c>
      <c r="H990" s="1" t="str">
        <f t="shared" si="15"/>
        <v>CONTRACT#4746243</v>
      </c>
    </row>
    <row r="991" spans="1:8" x14ac:dyDescent="0.25">
      <c r="A991" s="1" t="s">
        <v>368</v>
      </c>
      <c r="B991" s="1">
        <v>1076</v>
      </c>
      <c r="C991" s="3">
        <v>202</v>
      </c>
      <c r="D991" s="2">
        <v>43669</v>
      </c>
      <c r="E991" s="1" t="str">
        <f>"1081708660"</f>
        <v>1081708660</v>
      </c>
      <c r="F991" s="1" t="str">
        <f>"CUST#12847097/COPY CHARGES"</f>
        <v>CUST#12847097/COPY CHARGES</v>
      </c>
      <c r="G991" s="3">
        <v>202</v>
      </c>
      <c r="H991" s="1" t="str">
        <f>"CUST#12847097/COPY CHARGES"</f>
        <v>CUST#12847097/COPY CHARGES</v>
      </c>
    </row>
    <row r="992" spans="1:8" x14ac:dyDescent="0.25">
      <c r="A992" s="1" t="s">
        <v>369</v>
      </c>
      <c r="B992" s="1">
        <v>83203</v>
      </c>
      <c r="C992" s="3">
        <v>7919.9</v>
      </c>
      <c r="D992" s="2">
        <v>43668</v>
      </c>
      <c r="E992" s="1" t="str">
        <f>"33684519"</f>
        <v>33684519</v>
      </c>
      <c r="F992" s="1" t="str">
        <f>"CUST#2000172616"</f>
        <v>CUST#2000172616</v>
      </c>
      <c r="G992" s="3">
        <v>7919.9</v>
      </c>
      <c r="H992" s="1" t="str">
        <f t="shared" ref="H992:H1020" si="16">"CUST#2000172616"</f>
        <v>CUST#2000172616</v>
      </c>
    </row>
    <row r="993" spans="5:8" x14ac:dyDescent="0.25">
      <c r="E993" s="1" t="str">
        <f>""</f>
        <v/>
      </c>
      <c r="F993" s="1" t="str">
        <f>""</f>
        <v/>
      </c>
      <c r="H993" s="1" t="str">
        <f t="shared" si="16"/>
        <v>CUST#2000172616</v>
      </c>
    </row>
    <row r="994" spans="5:8" x14ac:dyDescent="0.25">
      <c r="E994" s="1" t="str">
        <f>""</f>
        <v/>
      </c>
      <c r="F994" s="1" t="str">
        <f>""</f>
        <v/>
      </c>
      <c r="H994" s="1" t="str">
        <f t="shared" si="16"/>
        <v>CUST#2000172616</v>
      </c>
    </row>
    <row r="995" spans="5:8" x14ac:dyDescent="0.25">
      <c r="E995" s="1" t="str">
        <f>""</f>
        <v/>
      </c>
      <c r="F995" s="1" t="str">
        <f>""</f>
        <v/>
      </c>
      <c r="H995" s="1" t="str">
        <f t="shared" si="16"/>
        <v>CUST#2000172616</v>
      </c>
    </row>
    <row r="996" spans="5:8" x14ac:dyDescent="0.25">
      <c r="E996" s="1" t="str">
        <f>""</f>
        <v/>
      </c>
      <c r="F996" s="1" t="str">
        <f>""</f>
        <v/>
      </c>
      <c r="H996" s="1" t="str">
        <f t="shared" si="16"/>
        <v>CUST#2000172616</v>
      </c>
    </row>
    <row r="997" spans="5:8" x14ac:dyDescent="0.25">
      <c r="E997" s="1" t="str">
        <f>""</f>
        <v/>
      </c>
      <c r="F997" s="1" t="str">
        <f>""</f>
        <v/>
      </c>
      <c r="H997" s="1" t="str">
        <f t="shared" si="16"/>
        <v>CUST#2000172616</v>
      </c>
    </row>
    <row r="998" spans="5:8" x14ac:dyDescent="0.25">
      <c r="E998" s="1" t="str">
        <f>""</f>
        <v/>
      </c>
      <c r="F998" s="1" t="str">
        <f>""</f>
        <v/>
      </c>
      <c r="H998" s="1" t="str">
        <f t="shared" si="16"/>
        <v>CUST#2000172616</v>
      </c>
    </row>
    <row r="999" spans="5:8" x14ac:dyDescent="0.25">
      <c r="E999" s="1" t="str">
        <f>""</f>
        <v/>
      </c>
      <c r="F999" s="1" t="str">
        <f>""</f>
        <v/>
      </c>
      <c r="H999" s="1" t="str">
        <f t="shared" si="16"/>
        <v>CUST#2000172616</v>
      </c>
    </row>
    <row r="1000" spans="5:8" x14ac:dyDescent="0.25">
      <c r="E1000" s="1" t="str">
        <f>""</f>
        <v/>
      </c>
      <c r="F1000" s="1" t="str">
        <f>""</f>
        <v/>
      </c>
      <c r="H1000" s="1" t="str">
        <f t="shared" si="16"/>
        <v>CUST#2000172616</v>
      </c>
    </row>
    <row r="1001" spans="5:8" x14ac:dyDescent="0.25">
      <c r="E1001" s="1" t="str">
        <f>""</f>
        <v/>
      </c>
      <c r="F1001" s="1" t="str">
        <f>""</f>
        <v/>
      </c>
      <c r="H1001" s="1" t="str">
        <f t="shared" si="16"/>
        <v>CUST#2000172616</v>
      </c>
    </row>
    <row r="1002" spans="5:8" x14ac:dyDescent="0.25">
      <c r="E1002" s="1" t="str">
        <f>""</f>
        <v/>
      </c>
      <c r="F1002" s="1" t="str">
        <f>""</f>
        <v/>
      </c>
      <c r="H1002" s="1" t="str">
        <f t="shared" si="16"/>
        <v>CUST#2000172616</v>
      </c>
    </row>
    <row r="1003" spans="5:8" x14ac:dyDescent="0.25">
      <c r="E1003" s="1" t="str">
        <f>""</f>
        <v/>
      </c>
      <c r="F1003" s="1" t="str">
        <f>""</f>
        <v/>
      </c>
      <c r="H1003" s="1" t="str">
        <f t="shared" si="16"/>
        <v>CUST#2000172616</v>
      </c>
    </row>
    <row r="1004" spans="5:8" x14ac:dyDescent="0.25">
      <c r="E1004" s="1" t="str">
        <f>""</f>
        <v/>
      </c>
      <c r="F1004" s="1" t="str">
        <f>""</f>
        <v/>
      </c>
      <c r="H1004" s="1" t="str">
        <f t="shared" si="16"/>
        <v>CUST#2000172616</v>
      </c>
    </row>
    <row r="1005" spans="5:8" x14ac:dyDescent="0.25">
      <c r="E1005" s="1" t="str">
        <f>""</f>
        <v/>
      </c>
      <c r="F1005" s="1" t="str">
        <f>""</f>
        <v/>
      </c>
      <c r="H1005" s="1" t="str">
        <f t="shared" si="16"/>
        <v>CUST#2000172616</v>
      </c>
    </row>
    <row r="1006" spans="5:8" x14ac:dyDescent="0.25">
      <c r="E1006" s="1" t="str">
        <f>""</f>
        <v/>
      </c>
      <c r="F1006" s="1" t="str">
        <f>""</f>
        <v/>
      </c>
      <c r="H1006" s="1" t="str">
        <f t="shared" si="16"/>
        <v>CUST#2000172616</v>
      </c>
    </row>
    <row r="1007" spans="5:8" x14ac:dyDescent="0.25">
      <c r="E1007" s="1" t="str">
        <f>""</f>
        <v/>
      </c>
      <c r="F1007" s="1" t="str">
        <f>""</f>
        <v/>
      </c>
      <c r="H1007" s="1" t="str">
        <f t="shared" si="16"/>
        <v>CUST#2000172616</v>
      </c>
    </row>
    <row r="1008" spans="5:8" x14ac:dyDescent="0.25">
      <c r="E1008" s="1" t="str">
        <f>""</f>
        <v/>
      </c>
      <c r="F1008" s="1" t="str">
        <f>""</f>
        <v/>
      </c>
      <c r="H1008" s="1" t="str">
        <f t="shared" si="16"/>
        <v>CUST#2000172616</v>
      </c>
    </row>
    <row r="1009" spans="1:8" x14ac:dyDescent="0.25">
      <c r="E1009" s="1" t="str">
        <f>""</f>
        <v/>
      </c>
      <c r="F1009" s="1" t="str">
        <f>""</f>
        <v/>
      </c>
      <c r="H1009" s="1" t="str">
        <f t="shared" si="16"/>
        <v>CUST#2000172616</v>
      </c>
    </row>
    <row r="1010" spans="1:8" x14ac:dyDescent="0.25">
      <c r="E1010" s="1" t="str">
        <f>""</f>
        <v/>
      </c>
      <c r="F1010" s="1" t="str">
        <f>""</f>
        <v/>
      </c>
      <c r="H1010" s="1" t="str">
        <f t="shared" si="16"/>
        <v>CUST#2000172616</v>
      </c>
    </row>
    <row r="1011" spans="1:8" x14ac:dyDescent="0.25">
      <c r="E1011" s="1" t="str">
        <f>""</f>
        <v/>
      </c>
      <c r="F1011" s="1" t="str">
        <f>""</f>
        <v/>
      </c>
      <c r="H1011" s="1" t="str">
        <f t="shared" si="16"/>
        <v>CUST#2000172616</v>
      </c>
    </row>
    <row r="1012" spans="1:8" x14ac:dyDescent="0.25">
      <c r="E1012" s="1" t="str">
        <f>""</f>
        <v/>
      </c>
      <c r="F1012" s="1" t="str">
        <f>""</f>
        <v/>
      </c>
      <c r="H1012" s="1" t="str">
        <f t="shared" si="16"/>
        <v>CUST#2000172616</v>
      </c>
    </row>
    <row r="1013" spans="1:8" x14ac:dyDescent="0.25">
      <c r="E1013" s="1" t="str">
        <f>""</f>
        <v/>
      </c>
      <c r="F1013" s="1" t="str">
        <f>""</f>
        <v/>
      </c>
      <c r="H1013" s="1" t="str">
        <f t="shared" si="16"/>
        <v>CUST#2000172616</v>
      </c>
    </row>
    <row r="1014" spans="1:8" x14ac:dyDescent="0.25">
      <c r="E1014" s="1" t="str">
        <f>""</f>
        <v/>
      </c>
      <c r="F1014" s="1" t="str">
        <f>""</f>
        <v/>
      </c>
      <c r="H1014" s="1" t="str">
        <f t="shared" si="16"/>
        <v>CUST#2000172616</v>
      </c>
    </row>
    <row r="1015" spans="1:8" x14ac:dyDescent="0.25">
      <c r="E1015" s="1" t="str">
        <f>""</f>
        <v/>
      </c>
      <c r="F1015" s="1" t="str">
        <f>""</f>
        <v/>
      </c>
      <c r="H1015" s="1" t="str">
        <f t="shared" si="16"/>
        <v>CUST#2000172616</v>
      </c>
    </row>
    <row r="1016" spans="1:8" x14ac:dyDescent="0.25">
      <c r="E1016" s="1" t="str">
        <f>""</f>
        <v/>
      </c>
      <c r="F1016" s="1" t="str">
        <f>""</f>
        <v/>
      </c>
      <c r="H1016" s="1" t="str">
        <f t="shared" si="16"/>
        <v>CUST#2000172616</v>
      </c>
    </row>
    <row r="1017" spans="1:8" x14ac:dyDescent="0.25">
      <c r="E1017" s="1" t="str">
        <f>""</f>
        <v/>
      </c>
      <c r="F1017" s="1" t="str">
        <f>""</f>
        <v/>
      </c>
      <c r="H1017" s="1" t="str">
        <f t="shared" si="16"/>
        <v>CUST#2000172616</v>
      </c>
    </row>
    <row r="1018" spans="1:8" x14ac:dyDescent="0.25">
      <c r="E1018" s="1" t="str">
        <f>""</f>
        <v/>
      </c>
      <c r="F1018" s="1" t="str">
        <f>""</f>
        <v/>
      </c>
      <c r="H1018" s="1" t="str">
        <f t="shared" si="16"/>
        <v>CUST#2000172616</v>
      </c>
    </row>
    <row r="1019" spans="1:8" x14ac:dyDescent="0.25">
      <c r="E1019" s="1" t="str">
        <f>""</f>
        <v/>
      </c>
      <c r="F1019" s="1" t="str">
        <f>""</f>
        <v/>
      </c>
      <c r="H1019" s="1" t="str">
        <f t="shared" si="16"/>
        <v>CUST#2000172616</v>
      </c>
    </row>
    <row r="1020" spans="1:8" x14ac:dyDescent="0.25">
      <c r="E1020" s="1" t="str">
        <f>""</f>
        <v/>
      </c>
      <c r="F1020" s="1" t="str">
        <f>""</f>
        <v/>
      </c>
      <c r="H1020" s="1" t="str">
        <f t="shared" si="16"/>
        <v>CUST#2000172616</v>
      </c>
    </row>
    <row r="1021" spans="1:8" x14ac:dyDescent="0.25">
      <c r="A1021" s="1" t="s">
        <v>370</v>
      </c>
      <c r="B1021" s="1">
        <v>82952</v>
      </c>
      <c r="C1021" s="3">
        <v>20</v>
      </c>
      <c r="D1021" s="2">
        <v>43654</v>
      </c>
      <c r="E1021" s="1" t="str">
        <f>"2707"</f>
        <v>2707</v>
      </c>
      <c r="F1021" s="1" t="str">
        <f>"FLAT/PCT#2"</f>
        <v>FLAT/PCT#2</v>
      </c>
      <c r="G1021" s="3">
        <v>20</v>
      </c>
      <c r="H1021" s="1" t="str">
        <f>"FLAT/PCT#2"</f>
        <v>FLAT/PCT#2</v>
      </c>
    </row>
    <row r="1022" spans="1:8" x14ac:dyDescent="0.25">
      <c r="A1022" s="1" t="s">
        <v>371</v>
      </c>
      <c r="B1022" s="1">
        <v>1091</v>
      </c>
      <c r="C1022" s="3">
        <v>1500</v>
      </c>
      <c r="D1022" s="2">
        <v>43669</v>
      </c>
      <c r="E1022" s="1" t="str">
        <f>"BCJUN19"</f>
        <v>BCJUN19</v>
      </c>
      <c r="F1022" s="1" t="str">
        <f>"INV BCJUN19"</f>
        <v>INV BCJUN19</v>
      </c>
      <c r="G1022" s="3">
        <v>1500</v>
      </c>
      <c r="H1022" s="1" t="str">
        <f>"INV BCJUN19"</f>
        <v>INV BCJUN19</v>
      </c>
    </row>
    <row r="1023" spans="1:8" x14ac:dyDescent="0.25">
      <c r="A1023" s="1" t="s">
        <v>372</v>
      </c>
      <c r="B1023" s="1">
        <v>83204</v>
      </c>
      <c r="C1023" s="3">
        <v>91.87</v>
      </c>
      <c r="D1023" s="2">
        <v>43668</v>
      </c>
      <c r="E1023" s="1" t="str">
        <f>"4674995"</f>
        <v>4674995</v>
      </c>
      <c r="F1023" s="1" t="str">
        <f>"CUST ID:90564/GEN SVCS"</f>
        <v>CUST ID:90564/GEN SVCS</v>
      </c>
      <c r="G1023" s="3">
        <v>91.87</v>
      </c>
      <c r="H1023" s="1" t="str">
        <f>"CUST ID:90564/GEN SVCS"</f>
        <v>CUST ID:90564/GEN SVCS</v>
      </c>
    </row>
    <row r="1024" spans="1:8" x14ac:dyDescent="0.25">
      <c r="A1024" s="1" t="s">
        <v>373</v>
      </c>
      <c r="B1024" s="1">
        <v>82953</v>
      </c>
      <c r="C1024" s="3">
        <v>450.8</v>
      </c>
      <c r="D1024" s="2">
        <v>43654</v>
      </c>
      <c r="E1024" s="1" t="str">
        <f>"201906250094"</f>
        <v>201906250094</v>
      </c>
      <c r="F1024" s="1" t="str">
        <f>"16834"</f>
        <v>16834</v>
      </c>
      <c r="G1024" s="3">
        <v>275.39999999999998</v>
      </c>
      <c r="H1024" s="1" t="str">
        <f>"16834"</f>
        <v>16834</v>
      </c>
    </row>
    <row r="1025" spans="1:8" x14ac:dyDescent="0.25">
      <c r="E1025" s="1" t="str">
        <f>"JUN19-15"</f>
        <v>JUN19-15</v>
      </c>
      <c r="F1025" s="1" t="str">
        <f>"INTERPRETER SERVICES"</f>
        <v>INTERPRETER SERVICES</v>
      </c>
      <c r="G1025" s="3">
        <v>175.4</v>
      </c>
      <c r="H1025" s="1" t="str">
        <f>"INTERPRETER SERVICES"</f>
        <v>INTERPRETER SERVICES</v>
      </c>
    </row>
    <row r="1026" spans="1:8" x14ac:dyDescent="0.25">
      <c r="A1026" s="1" t="s">
        <v>374</v>
      </c>
      <c r="B1026" s="1">
        <v>83205</v>
      </c>
      <c r="C1026" s="3">
        <v>39</v>
      </c>
      <c r="D1026" s="2">
        <v>43668</v>
      </c>
      <c r="E1026" s="1" t="str">
        <f>"190627-3"</f>
        <v>190627-3</v>
      </c>
      <c r="F1026" s="1" t="str">
        <f>"Uniform Shirts"</f>
        <v>Uniform Shirts</v>
      </c>
      <c r="G1026" s="3">
        <v>39</v>
      </c>
      <c r="H1026" s="1" t="str">
        <f>"Gildan 64000 XL"</f>
        <v>Gildan 64000 XL</v>
      </c>
    </row>
    <row r="1027" spans="1:8" x14ac:dyDescent="0.25">
      <c r="E1027" s="1" t="str">
        <f>""</f>
        <v/>
      </c>
      <c r="F1027" s="1" t="str">
        <f>""</f>
        <v/>
      </c>
      <c r="H1027" s="1" t="str">
        <f>"JZ 993M Hoody- XL"</f>
        <v>JZ 993M Hoody- XL</v>
      </c>
    </row>
    <row r="1028" spans="1:8" x14ac:dyDescent="0.25">
      <c r="A1028" s="1" t="s">
        <v>375</v>
      </c>
      <c r="B1028" s="1">
        <v>82954</v>
      </c>
      <c r="C1028" s="3">
        <v>54</v>
      </c>
      <c r="D1028" s="2">
        <v>43654</v>
      </c>
      <c r="E1028" s="1" t="str">
        <f>"201907020251"</f>
        <v>201907020251</v>
      </c>
      <c r="F1028" s="1" t="str">
        <f>"LPHCP RECORDING FEES"</f>
        <v>LPHCP RECORDING FEES</v>
      </c>
      <c r="G1028" s="3">
        <v>54</v>
      </c>
      <c r="H1028" s="1" t="str">
        <f>"LPHCP RECORDING FEES"</f>
        <v>LPHCP RECORDING FEES</v>
      </c>
    </row>
    <row r="1029" spans="1:8" x14ac:dyDescent="0.25">
      <c r="A1029" s="1" t="s">
        <v>375</v>
      </c>
      <c r="B1029" s="1">
        <v>82955</v>
      </c>
      <c r="C1029" s="3">
        <v>443</v>
      </c>
      <c r="D1029" s="2">
        <v>43654</v>
      </c>
      <c r="E1029" s="1" t="str">
        <f>"201907020252"</f>
        <v>201907020252</v>
      </c>
      <c r="F1029" s="1" t="str">
        <f>"DEVELOPMENT SVCS RECORDING FEE"</f>
        <v>DEVELOPMENT SVCS RECORDING FEE</v>
      </c>
      <c r="G1029" s="3">
        <v>443</v>
      </c>
      <c r="H1029" s="1" t="str">
        <f>"DEVELOPMENT SVCS RECORDING FEE"</f>
        <v>DEVELOPMENT SVCS RECORDING FEE</v>
      </c>
    </row>
    <row r="1030" spans="1:8" x14ac:dyDescent="0.25">
      <c r="A1030" s="1" t="s">
        <v>375</v>
      </c>
      <c r="B1030" s="1">
        <v>83206</v>
      </c>
      <c r="C1030" s="3">
        <v>154</v>
      </c>
      <c r="D1030" s="2">
        <v>43668</v>
      </c>
      <c r="E1030" s="1" t="str">
        <f>"201907160487"</f>
        <v>201907160487</v>
      </c>
      <c r="F1030" s="1" t="str">
        <f>"LPHCP RECORDING FEES"</f>
        <v>LPHCP RECORDING FEES</v>
      </c>
      <c r="G1030" s="3">
        <v>154</v>
      </c>
      <c r="H1030" s="1" t="str">
        <f>"LPHCP RECORDING FEES"</f>
        <v>LPHCP RECORDING FEES</v>
      </c>
    </row>
    <row r="1031" spans="1:8" x14ac:dyDescent="0.25">
      <c r="A1031" s="1" t="s">
        <v>375</v>
      </c>
      <c r="B1031" s="1">
        <v>83207</v>
      </c>
      <c r="C1031" s="3">
        <v>199</v>
      </c>
      <c r="D1031" s="2">
        <v>43668</v>
      </c>
      <c r="E1031" s="1" t="str">
        <f>"201907160562"</f>
        <v>201907160562</v>
      </c>
      <c r="F1031" s="1" t="str">
        <f>"DEVELOPMENT SVCS RECORDING FEE"</f>
        <v>DEVELOPMENT SVCS RECORDING FEE</v>
      </c>
      <c r="G1031" s="3">
        <v>199</v>
      </c>
      <c r="H1031" s="1" t="str">
        <f>"DEVELOPMENT SVCS RECORDING FEE"</f>
        <v>DEVELOPMENT SVCS RECORDING FEE</v>
      </c>
    </row>
    <row r="1032" spans="1:8" x14ac:dyDescent="0.25">
      <c r="A1032" s="1" t="s">
        <v>376</v>
      </c>
      <c r="B1032" s="1">
        <v>82956</v>
      </c>
      <c r="C1032" s="3">
        <v>235.97</v>
      </c>
      <c r="D1032" s="2">
        <v>43654</v>
      </c>
      <c r="E1032" s="1" t="str">
        <f>"201907010234"</f>
        <v>201907010234</v>
      </c>
      <c r="F1032" s="1" t="str">
        <f>"HARD DRIVE - REIMBURSEMEN"</f>
        <v>HARD DRIVE - REIMBURSEMEN</v>
      </c>
      <c r="G1032" s="3">
        <v>235.97</v>
      </c>
      <c r="H1032" s="1" t="str">
        <f>"HARD DRIVE - REIMBURSEMEN"</f>
        <v>HARD DRIVE - REIMBURSEMEN</v>
      </c>
    </row>
    <row r="1033" spans="1:8" x14ac:dyDescent="0.25">
      <c r="A1033" s="1" t="s">
        <v>377</v>
      </c>
      <c r="B1033" s="1">
        <v>1130</v>
      </c>
      <c r="C1033" s="3">
        <v>159.53</v>
      </c>
      <c r="D1033" s="2">
        <v>43669</v>
      </c>
      <c r="E1033" s="1" t="str">
        <f>"201907160575"</f>
        <v>201907160575</v>
      </c>
      <c r="F1033" s="1" t="str">
        <f>"INDIGENT HEALTH"</f>
        <v>INDIGENT HEALTH</v>
      </c>
      <c r="G1033" s="3">
        <v>159.53</v>
      </c>
      <c r="H1033" s="1" t="str">
        <f>"INDIGENT HEALTH"</f>
        <v>INDIGENT HEALTH</v>
      </c>
    </row>
    <row r="1034" spans="1:8" x14ac:dyDescent="0.25">
      <c r="E1034" s="1" t="str">
        <f>""</f>
        <v/>
      </c>
      <c r="F1034" s="1" t="str">
        <f>""</f>
        <v/>
      </c>
      <c r="H1034" s="1" t="str">
        <f>"INDIGENT HEALTH"</f>
        <v>INDIGENT HEALTH</v>
      </c>
    </row>
    <row r="1035" spans="1:8" x14ac:dyDescent="0.25">
      <c r="A1035" s="1" t="s">
        <v>378</v>
      </c>
      <c r="B1035" s="1">
        <v>82957</v>
      </c>
      <c r="C1035" s="3">
        <v>637.53</v>
      </c>
      <c r="D1035" s="2">
        <v>43654</v>
      </c>
      <c r="E1035" s="1" t="str">
        <f>"4521*98041*3"</f>
        <v>4521*98041*3</v>
      </c>
      <c r="F1035" s="1" t="str">
        <f>"JAIL MEDICAL"</f>
        <v>JAIL MEDICAL</v>
      </c>
      <c r="G1035" s="3">
        <v>637.53</v>
      </c>
      <c r="H1035" s="1" t="str">
        <f>"JAIL MEDICAL"</f>
        <v>JAIL MEDICAL</v>
      </c>
    </row>
    <row r="1036" spans="1:8" x14ac:dyDescent="0.25">
      <c r="A1036" s="1" t="s">
        <v>378</v>
      </c>
      <c r="B1036" s="1">
        <v>83208</v>
      </c>
      <c r="C1036" s="3">
        <v>36.19</v>
      </c>
      <c r="D1036" s="2">
        <v>43668</v>
      </c>
      <c r="E1036" s="1" t="str">
        <f>"201907160579"</f>
        <v>201907160579</v>
      </c>
      <c r="F1036" s="1" t="str">
        <f>"INDIGENT HEALTH"</f>
        <v>INDIGENT HEALTH</v>
      </c>
      <c r="G1036" s="3">
        <v>36.19</v>
      </c>
      <c r="H1036" s="1" t="str">
        <f>"INDIGENT HEALTH"</f>
        <v>INDIGENT HEALTH</v>
      </c>
    </row>
    <row r="1037" spans="1:8" x14ac:dyDescent="0.25">
      <c r="E1037" s="1" t="str">
        <f>""</f>
        <v/>
      </c>
      <c r="F1037" s="1" t="str">
        <f>""</f>
        <v/>
      </c>
      <c r="H1037" s="1" t="str">
        <f>"INDIGENT HEALTH"</f>
        <v>INDIGENT HEALTH</v>
      </c>
    </row>
    <row r="1038" spans="1:8" x14ac:dyDescent="0.25">
      <c r="A1038" s="1" t="s">
        <v>379</v>
      </c>
      <c r="B1038" s="1">
        <v>83209</v>
      </c>
      <c r="C1038" s="3">
        <v>6755.4</v>
      </c>
      <c r="D1038" s="2">
        <v>43668</v>
      </c>
      <c r="E1038" s="1" t="str">
        <f>"201907160580"</f>
        <v>201907160580</v>
      </c>
      <c r="F1038" s="1" t="str">
        <f>"INDIGENT HEALTH"</f>
        <v>INDIGENT HEALTH</v>
      </c>
      <c r="G1038" s="3">
        <v>3422.4</v>
      </c>
      <c r="H1038" s="1" t="str">
        <f>"INDIGENT HEALTH"</f>
        <v>INDIGENT HEALTH</v>
      </c>
    </row>
    <row r="1039" spans="1:8" x14ac:dyDescent="0.25">
      <c r="E1039" s="1" t="str">
        <f>""</f>
        <v/>
      </c>
      <c r="F1039" s="1" t="str">
        <f>""</f>
        <v/>
      </c>
      <c r="H1039" s="1" t="str">
        <f>"INDIGENT HEALTH"</f>
        <v>INDIGENT HEALTH</v>
      </c>
    </row>
    <row r="1040" spans="1:8" x14ac:dyDescent="0.25">
      <c r="E1040" s="1" t="str">
        <f>"620191"</f>
        <v>620191</v>
      </c>
      <c r="F1040" s="1" t="str">
        <f>"RX ASSISTANCE PROGRAM-JUNE2019"</f>
        <v>RX ASSISTANCE PROGRAM-JUNE2019</v>
      </c>
      <c r="G1040" s="3">
        <v>3333</v>
      </c>
      <c r="H1040" s="1" t="str">
        <f>"RX ASSISTANCE PROGRAM-JUNE2019"</f>
        <v>RX ASSISTANCE PROGRAM-JUNE2019</v>
      </c>
    </row>
    <row r="1041" spans="1:9" x14ac:dyDescent="0.25">
      <c r="A1041" s="1" t="s">
        <v>380</v>
      </c>
      <c r="B1041" s="1">
        <v>83210</v>
      </c>
      <c r="C1041" s="3">
        <v>30</v>
      </c>
      <c r="D1041" s="2">
        <v>43668</v>
      </c>
      <c r="E1041" s="1" t="s">
        <v>381</v>
      </c>
      <c r="F1041" s="1" t="s">
        <v>382</v>
      </c>
      <c r="G1041" s="3" t="str">
        <f>"RESTITUTION - D. MCCOMB"</f>
        <v>RESTITUTION - D. MCCOMB</v>
      </c>
      <c r="H1041" s="1" t="str">
        <f>"210-0000"</f>
        <v>210-0000</v>
      </c>
      <c r="I1041" s="1" t="str">
        <f>""</f>
        <v/>
      </c>
    </row>
    <row r="1042" spans="1:9" x14ac:dyDescent="0.25">
      <c r="A1042" s="1" t="s">
        <v>383</v>
      </c>
      <c r="B1042" s="1">
        <v>82958</v>
      </c>
      <c r="C1042" s="3">
        <v>90</v>
      </c>
      <c r="D1042" s="2">
        <v>43654</v>
      </c>
      <c r="E1042" s="1" t="str">
        <f>"201907010203"</f>
        <v>201907010203</v>
      </c>
      <c r="F1042" s="1" t="str">
        <f>"ACCT#20150/PCT#1"</f>
        <v>ACCT#20150/PCT#1</v>
      </c>
      <c r="G1042" s="3">
        <v>90</v>
      </c>
      <c r="H1042" s="1" t="str">
        <f>"ACCT#20150/PCT#1"</f>
        <v>ACCT#20150/PCT#1</v>
      </c>
    </row>
    <row r="1043" spans="1:9" x14ac:dyDescent="0.25">
      <c r="A1043" s="1" t="s">
        <v>384</v>
      </c>
      <c r="B1043" s="1">
        <v>83276</v>
      </c>
      <c r="C1043" s="3">
        <v>350</v>
      </c>
      <c r="D1043" s="2">
        <v>43671</v>
      </c>
      <c r="E1043" s="1" t="str">
        <f>"201907250673"</f>
        <v>201907250673</v>
      </c>
      <c r="F1043" s="1" t="str">
        <f>"REGISTRATION FEE - M COOK"</f>
        <v>REGISTRATION FEE - M COOK</v>
      </c>
      <c r="G1043" s="3">
        <v>350</v>
      </c>
      <c r="H1043" s="1" t="str">
        <f>"REGISTRATION FEE - M COOK"</f>
        <v>REGISTRATION FEE - M COOK</v>
      </c>
    </row>
    <row r="1044" spans="1:9" x14ac:dyDescent="0.25">
      <c r="A1044" s="1" t="s">
        <v>385</v>
      </c>
      <c r="B1044" s="1">
        <v>82959</v>
      </c>
      <c r="C1044" s="3">
        <v>5008</v>
      </c>
      <c r="D1044" s="2">
        <v>43654</v>
      </c>
      <c r="E1044" s="1" t="str">
        <f>"201906280191"</f>
        <v>201906280191</v>
      </c>
      <c r="F1044" s="1" t="str">
        <f>"Surveillance cameras CH"</f>
        <v>Surveillance cameras CH</v>
      </c>
      <c r="G1044" s="3">
        <v>3028</v>
      </c>
      <c r="H1044" s="1" t="str">
        <f>"Part#: 01058-001"</f>
        <v>Part#: 01058-001</v>
      </c>
    </row>
    <row r="1045" spans="1:9" x14ac:dyDescent="0.25">
      <c r="E1045" s="1" t="str">
        <f>""</f>
        <v/>
      </c>
      <c r="F1045" s="1" t="str">
        <f>""</f>
        <v/>
      </c>
      <c r="H1045" s="1" t="str">
        <f>"Part#: 0879-010"</f>
        <v>Part#: 0879-010</v>
      </c>
    </row>
    <row r="1046" spans="1:9" x14ac:dyDescent="0.25">
      <c r="E1046" s="1" t="str">
        <f>"GB00329305"</f>
        <v>GB00329305</v>
      </c>
      <c r="F1046" s="1" t="str">
        <f>"Star Tech Display Port"</f>
        <v>Star Tech Display Port</v>
      </c>
      <c r="G1046" s="3">
        <v>30</v>
      </c>
      <c r="H1046" s="1" t="str">
        <f>"HDMI Converter"</f>
        <v>HDMI Converter</v>
      </c>
    </row>
    <row r="1047" spans="1:9" x14ac:dyDescent="0.25">
      <c r="E1047" s="1" t="str">
        <f>"GB00330134 GB00330"</f>
        <v>GB00330134 GB00330</v>
      </c>
      <c r="F1047" s="1" t="str">
        <f>"Surveillance cameras PCT1"</f>
        <v>Surveillance cameras PCT1</v>
      </c>
      <c r="G1047" s="3">
        <v>1950</v>
      </c>
      <c r="H1047" s="1" t="str">
        <f>"Part#: 01063-001"</f>
        <v>Part#: 01063-001</v>
      </c>
    </row>
    <row r="1048" spans="1:9" x14ac:dyDescent="0.25">
      <c r="A1048" s="1" t="s">
        <v>385</v>
      </c>
      <c r="B1048" s="1">
        <v>83211</v>
      </c>
      <c r="C1048" s="3">
        <v>94899.63</v>
      </c>
      <c r="D1048" s="2">
        <v>43668</v>
      </c>
      <c r="E1048" s="1" t="str">
        <f>"GB00331241"</f>
        <v>GB00331241</v>
      </c>
      <c r="F1048" s="1" t="str">
        <f>"Microsoft Agreement"</f>
        <v>Microsoft Agreement</v>
      </c>
      <c r="G1048" s="3">
        <v>94899.63</v>
      </c>
      <c r="H1048" s="1" t="str">
        <f>"10/01/19-06/30/20"</f>
        <v>10/01/19-06/30/20</v>
      </c>
    </row>
    <row r="1049" spans="1:9" x14ac:dyDescent="0.25">
      <c r="E1049" s="1" t="str">
        <f>""</f>
        <v/>
      </c>
      <c r="F1049" s="1" t="str">
        <f>""</f>
        <v/>
      </c>
      <c r="H1049" s="1" t="str">
        <f>"07/01/19-09/30/19"</f>
        <v>07/01/19-09/30/19</v>
      </c>
    </row>
    <row r="1050" spans="1:9" x14ac:dyDescent="0.25">
      <c r="A1050" s="1" t="s">
        <v>386</v>
      </c>
      <c r="B1050" s="1">
        <v>83212</v>
      </c>
      <c r="C1050" s="3">
        <v>146.31</v>
      </c>
      <c r="D1050" s="2">
        <v>43668</v>
      </c>
      <c r="E1050" s="1" t="str">
        <f>"201907100409"</f>
        <v>201907100409</v>
      </c>
      <c r="F1050" s="1" t="str">
        <f>"ACCT#564591/PARTS SALE"</f>
        <v>ACCT#564591/PARTS SALE</v>
      </c>
      <c r="G1050" s="3">
        <v>146.31</v>
      </c>
      <c r="H1050" s="1" t="str">
        <f>"ACCT#564591/PARTS SALE"</f>
        <v>ACCT#564591/PARTS SALE</v>
      </c>
    </row>
    <row r="1051" spans="1:9" x14ac:dyDescent="0.25">
      <c r="A1051" s="1" t="s">
        <v>387</v>
      </c>
      <c r="B1051" s="1">
        <v>83213</v>
      </c>
      <c r="C1051" s="3">
        <v>411.7</v>
      </c>
      <c r="D1051" s="2">
        <v>43668</v>
      </c>
      <c r="E1051" s="1" t="str">
        <f>"8127645691"</f>
        <v>8127645691</v>
      </c>
      <c r="F1051" s="1" t="str">
        <f>"INV 8127645691"</f>
        <v>INV 8127645691</v>
      </c>
      <c r="G1051" s="3">
        <v>147.51</v>
      </c>
      <c r="H1051" s="1" t="str">
        <f>"INV 8127645691"</f>
        <v>INV 8127645691</v>
      </c>
    </row>
    <row r="1052" spans="1:9" x14ac:dyDescent="0.25">
      <c r="E1052" s="1" t="str">
        <f>""</f>
        <v/>
      </c>
      <c r="F1052" s="1" t="str">
        <f>""</f>
        <v/>
      </c>
      <c r="H1052" s="1" t="str">
        <f>"INV 8127645691"</f>
        <v>INV 8127645691</v>
      </c>
    </row>
    <row r="1053" spans="1:9" x14ac:dyDescent="0.25">
      <c r="E1053" s="1" t="str">
        <f>"8127646296"</f>
        <v>8127646296</v>
      </c>
      <c r="F1053" s="1" t="str">
        <f>"CUST#16155373/PURCHASING"</f>
        <v>CUST#16155373/PURCHASING</v>
      </c>
      <c r="G1053" s="3">
        <v>124.54</v>
      </c>
      <c r="H1053" s="1" t="str">
        <f t="shared" ref="H1053:H1058" si="17">"CUST#16155373/PURCHASING"</f>
        <v>CUST#16155373/PURCHASING</v>
      </c>
    </row>
    <row r="1054" spans="1:9" x14ac:dyDescent="0.25">
      <c r="E1054" s="1" t="str">
        <f>""</f>
        <v/>
      </c>
      <c r="F1054" s="1" t="str">
        <f>""</f>
        <v/>
      </c>
      <c r="H1054" s="1" t="str">
        <f t="shared" si="17"/>
        <v>CUST#16155373/PURCHASING</v>
      </c>
    </row>
    <row r="1055" spans="1:9" x14ac:dyDescent="0.25">
      <c r="E1055" s="1" t="str">
        <f>""</f>
        <v/>
      </c>
      <c r="F1055" s="1" t="str">
        <f>""</f>
        <v/>
      </c>
      <c r="H1055" s="1" t="str">
        <f t="shared" si="17"/>
        <v>CUST#16155373/PURCHASING</v>
      </c>
    </row>
    <row r="1056" spans="1:9" x14ac:dyDescent="0.25">
      <c r="E1056" s="1" t="str">
        <f>""</f>
        <v/>
      </c>
      <c r="F1056" s="1" t="str">
        <f>""</f>
        <v/>
      </c>
      <c r="H1056" s="1" t="str">
        <f t="shared" si="17"/>
        <v>CUST#16155373/PURCHASING</v>
      </c>
    </row>
    <row r="1057" spans="1:8" x14ac:dyDescent="0.25">
      <c r="E1057" s="1" t="str">
        <f>""</f>
        <v/>
      </c>
      <c r="F1057" s="1" t="str">
        <f>""</f>
        <v/>
      </c>
      <c r="H1057" s="1" t="str">
        <f t="shared" si="17"/>
        <v>CUST#16155373/PURCHASING</v>
      </c>
    </row>
    <row r="1058" spans="1:8" x14ac:dyDescent="0.25">
      <c r="E1058" s="1" t="str">
        <f>""</f>
        <v/>
      </c>
      <c r="F1058" s="1" t="str">
        <f>""</f>
        <v/>
      </c>
      <c r="H1058" s="1" t="str">
        <f t="shared" si="17"/>
        <v>CUST#16155373/PURCHASING</v>
      </c>
    </row>
    <row r="1059" spans="1:8" x14ac:dyDescent="0.25">
      <c r="E1059" s="1" t="str">
        <f>"8127646341"</f>
        <v>8127646341</v>
      </c>
      <c r="F1059" s="1" t="str">
        <f>"CUST#16156071/TAX OFFICE"</f>
        <v>CUST#16156071/TAX OFFICE</v>
      </c>
      <c r="G1059" s="3">
        <v>77.38</v>
      </c>
      <c r="H1059" s="1" t="str">
        <f>"CUST#16156071/TAX OFFICE"</f>
        <v>CUST#16156071/TAX OFFICE</v>
      </c>
    </row>
    <row r="1060" spans="1:8" x14ac:dyDescent="0.25">
      <c r="E1060" s="1" t="str">
        <f>"8127646432"</f>
        <v>8127646432</v>
      </c>
      <c r="F1060" s="1" t="str">
        <f>"CUST#16158670/JP"</f>
        <v>CUST#16158670/JP</v>
      </c>
      <c r="G1060" s="3">
        <v>62.27</v>
      </c>
      <c r="H1060" s="1" t="str">
        <f>"CUST#16158670/JP"</f>
        <v>CUST#16158670/JP</v>
      </c>
    </row>
    <row r="1061" spans="1:8" x14ac:dyDescent="0.25">
      <c r="A1061" s="1" t="s">
        <v>388</v>
      </c>
      <c r="B1061" s="1">
        <v>83214</v>
      </c>
      <c r="C1061" s="3">
        <v>671.22</v>
      </c>
      <c r="D1061" s="2">
        <v>43668</v>
      </c>
      <c r="E1061" s="1" t="str">
        <f>"201907160581"</f>
        <v>201907160581</v>
      </c>
      <c r="F1061" s="1" t="str">
        <f>"INDIGENT HEALTH"</f>
        <v>INDIGENT HEALTH</v>
      </c>
      <c r="G1061" s="3">
        <v>671.22</v>
      </c>
      <c r="H1061" s="1" t="str">
        <f>"INDIGENT HEALTH"</f>
        <v>INDIGENT HEALTH</v>
      </c>
    </row>
    <row r="1062" spans="1:8" x14ac:dyDescent="0.25">
      <c r="A1062" s="1" t="s">
        <v>389</v>
      </c>
      <c r="B1062" s="1">
        <v>83215</v>
      </c>
      <c r="C1062" s="3">
        <v>58.28</v>
      </c>
      <c r="D1062" s="2">
        <v>43668</v>
      </c>
      <c r="E1062" s="1" t="str">
        <f>"201907160582"</f>
        <v>201907160582</v>
      </c>
      <c r="F1062" s="1" t="str">
        <f>"INDIGENT HEALTH"</f>
        <v>INDIGENT HEALTH</v>
      </c>
      <c r="G1062" s="3">
        <v>58.28</v>
      </c>
      <c r="H1062" s="1" t="str">
        <f>"INDIGENT HEALTH"</f>
        <v>INDIGENT HEALTH</v>
      </c>
    </row>
    <row r="1063" spans="1:8" x14ac:dyDescent="0.25">
      <c r="A1063" s="1" t="s">
        <v>390</v>
      </c>
      <c r="B1063" s="1">
        <v>82960</v>
      </c>
      <c r="C1063" s="3">
        <v>80</v>
      </c>
      <c r="D1063" s="2">
        <v>43654</v>
      </c>
      <c r="E1063" s="1" t="str">
        <f>"12933"</f>
        <v>12933</v>
      </c>
      <c r="F1063" s="1" t="str">
        <f>"SERVICE  04/04/19"</f>
        <v>SERVICE  04/04/19</v>
      </c>
      <c r="G1063" s="3">
        <v>80</v>
      </c>
      <c r="H1063" s="1" t="str">
        <f>"SERVICE  04/04/19"</f>
        <v>SERVICE  04/04/19</v>
      </c>
    </row>
    <row r="1064" spans="1:8" x14ac:dyDescent="0.25">
      <c r="A1064" s="1" t="s">
        <v>391</v>
      </c>
      <c r="B1064" s="1">
        <v>83216</v>
      </c>
      <c r="C1064" s="3">
        <v>41.9</v>
      </c>
      <c r="D1064" s="2">
        <v>43668</v>
      </c>
      <c r="E1064" s="1" t="str">
        <f>"429392"</f>
        <v>429392</v>
      </c>
      <c r="F1064" s="1" t="str">
        <f>"STATEMENT#31063/GEN SVCS"</f>
        <v>STATEMENT#31063/GEN SVCS</v>
      </c>
      <c r="G1064" s="3">
        <v>30.5</v>
      </c>
      <c r="H1064" s="1" t="str">
        <f>"STATEMENT#31063/GEN SVCS"</f>
        <v>STATEMENT#31063/GEN SVCS</v>
      </c>
    </row>
    <row r="1065" spans="1:8" x14ac:dyDescent="0.25">
      <c r="E1065" s="1" t="str">
        <f>"431030"</f>
        <v>431030</v>
      </c>
      <c r="F1065" s="1" t="str">
        <f>"STATEMENT#30835/PCT#2"</f>
        <v>STATEMENT#30835/PCT#2</v>
      </c>
      <c r="G1065" s="3">
        <v>11.4</v>
      </c>
      <c r="H1065" s="1" t="str">
        <f>"STATEMENT#30835/PCT#2"</f>
        <v>STATEMENT#30835/PCT#2</v>
      </c>
    </row>
    <row r="1066" spans="1:8" x14ac:dyDescent="0.25">
      <c r="A1066" s="1" t="s">
        <v>392</v>
      </c>
      <c r="B1066" s="1">
        <v>82961</v>
      </c>
      <c r="C1066" s="3">
        <v>1000</v>
      </c>
      <c r="D1066" s="2">
        <v>43654</v>
      </c>
      <c r="E1066" s="1" t="str">
        <f>"6885"</f>
        <v>6885</v>
      </c>
      <c r="F1066" s="1" t="str">
        <f>"DINNER ON THE GROUNDS"</f>
        <v>DINNER ON THE GROUNDS</v>
      </c>
      <c r="G1066" s="3">
        <v>1000</v>
      </c>
      <c r="H1066" s="1" t="str">
        <f>"DINNER ON THE GROUNDS"</f>
        <v>DINNER ON THE GROUNDS</v>
      </c>
    </row>
    <row r="1067" spans="1:8" x14ac:dyDescent="0.25">
      <c r="A1067" s="1" t="s">
        <v>393</v>
      </c>
      <c r="B1067" s="1">
        <v>83217</v>
      </c>
      <c r="C1067" s="3">
        <v>674.63</v>
      </c>
      <c r="D1067" s="2">
        <v>43668</v>
      </c>
      <c r="E1067" s="1" t="str">
        <f>"201907100391"</f>
        <v>201907100391</v>
      </c>
      <c r="F1067" s="1" t="str">
        <f>"ACCT#260/PCT#2"</f>
        <v>ACCT#260/PCT#2</v>
      </c>
      <c r="G1067" s="3">
        <v>674.63</v>
      </c>
      <c r="H1067" s="1" t="str">
        <f>"ACCT#260/PCT#2"</f>
        <v>ACCT#260/PCT#2</v>
      </c>
    </row>
    <row r="1068" spans="1:8" x14ac:dyDescent="0.25">
      <c r="A1068" s="1" t="s">
        <v>394</v>
      </c>
      <c r="B1068" s="1">
        <v>82962</v>
      </c>
      <c r="C1068" s="3">
        <v>3144</v>
      </c>
      <c r="D1068" s="2">
        <v>43654</v>
      </c>
      <c r="E1068" s="1" t="str">
        <f>"IN433912"</f>
        <v>IN433912</v>
      </c>
      <c r="F1068" s="1" t="str">
        <f>"Help Desk Upgrade"</f>
        <v>Help Desk Upgrade</v>
      </c>
      <c r="G1068" s="3">
        <v>3144</v>
      </c>
      <c r="H1068" s="1" t="str">
        <f>"SKU# 13265"</f>
        <v>SKU# 13265</v>
      </c>
    </row>
    <row r="1069" spans="1:8" x14ac:dyDescent="0.25">
      <c r="E1069" s="1" t="str">
        <f>""</f>
        <v/>
      </c>
      <c r="F1069" s="1" t="str">
        <f>""</f>
        <v/>
      </c>
      <c r="H1069" s="1" t="str">
        <f>"Discount"</f>
        <v>Discount</v>
      </c>
    </row>
    <row r="1070" spans="1:8" x14ac:dyDescent="0.25">
      <c r="A1070" s="1" t="s">
        <v>395</v>
      </c>
      <c r="B1070" s="1">
        <v>83218</v>
      </c>
      <c r="C1070" s="3">
        <v>265.97000000000003</v>
      </c>
      <c r="D1070" s="2">
        <v>43668</v>
      </c>
      <c r="E1070" s="1" t="str">
        <f>"201907160583"</f>
        <v>201907160583</v>
      </c>
      <c r="F1070" s="1" t="str">
        <f>"INDIGENT HEALTH"</f>
        <v>INDIGENT HEALTH</v>
      </c>
      <c r="G1070" s="3">
        <v>265.97000000000003</v>
      </c>
      <c r="H1070" s="1" t="str">
        <f>"INDIGENT HEALTH"</f>
        <v>INDIGENT HEALTH</v>
      </c>
    </row>
    <row r="1071" spans="1:8" x14ac:dyDescent="0.25">
      <c r="A1071" s="1" t="s">
        <v>396</v>
      </c>
      <c r="B1071" s="1">
        <v>82963</v>
      </c>
      <c r="C1071" s="3">
        <v>550</v>
      </c>
      <c r="D1071" s="2">
        <v>43654</v>
      </c>
      <c r="E1071" s="1" t="str">
        <f>"4660001304"</f>
        <v>4660001304</v>
      </c>
      <c r="F1071" s="1" t="str">
        <f>"ACCT#52158/PCT#2"</f>
        <v>ACCT#52158/PCT#2</v>
      </c>
      <c r="G1071" s="3">
        <v>550</v>
      </c>
      <c r="H1071" s="1" t="str">
        <f>"ACCT#52158/PCT#2"</f>
        <v>ACCT#52158/PCT#2</v>
      </c>
    </row>
    <row r="1072" spans="1:8" x14ac:dyDescent="0.25">
      <c r="A1072" s="1" t="s">
        <v>396</v>
      </c>
      <c r="B1072" s="1">
        <v>83219</v>
      </c>
      <c r="C1072" s="3">
        <v>666</v>
      </c>
      <c r="D1072" s="2">
        <v>43668</v>
      </c>
      <c r="E1072" s="1" t="str">
        <f>"4650016137"</f>
        <v>4650016137</v>
      </c>
      <c r="F1072" s="1" t="str">
        <f>"CUST#52157/PCT#4"</f>
        <v>CUST#52157/PCT#4</v>
      </c>
      <c r="G1072" s="3">
        <v>666</v>
      </c>
      <c r="H1072" s="1" t="str">
        <f>"CUST#52157/PCT#4"</f>
        <v>CUST#52157/PCT#4</v>
      </c>
    </row>
    <row r="1073" spans="1:9" x14ac:dyDescent="0.25">
      <c r="A1073" s="1" t="s">
        <v>397</v>
      </c>
      <c r="B1073" s="1">
        <v>82964</v>
      </c>
      <c r="C1073" s="3">
        <v>14.6</v>
      </c>
      <c r="D1073" s="2">
        <v>43654</v>
      </c>
      <c r="E1073" s="1" t="str">
        <f>"9604456 062019"</f>
        <v>9604456 062019</v>
      </c>
      <c r="F1073" s="1" t="str">
        <f>"ACCT#46668439604456/JP#2"</f>
        <v>ACCT#46668439604456/JP#2</v>
      </c>
      <c r="G1073" s="3">
        <v>14.6</v>
      </c>
      <c r="H1073" s="1" t="str">
        <f>"ACCT#46668439604456/JP#2"</f>
        <v>ACCT#46668439604456/JP#2</v>
      </c>
    </row>
    <row r="1074" spans="1:9" x14ac:dyDescent="0.25">
      <c r="A1074" s="1" t="s">
        <v>399</v>
      </c>
      <c r="B1074" s="1">
        <v>83220</v>
      </c>
      <c r="C1074" s="3">
        <v>125.92</v>
      </c>
      <c r="D1074" s="2">
        <v>43668</v>
      </c>
      <c r="E1074" s="1" t="str">
        <f>"S1002481"</f>
        <v>S1002481</v>
      </c>
      <c r="F1074" s="1" t="str">
        <f>"ACCT#114382/PRESCRIPTIONS/ANIM"</f>
        <v>ACCT#114382/PRESCRIPTIONS/ANIM</v>
      </c>
      <c r="G1074" s="3">
        <v>125.92</v>
      </c>
      <c r="H1074" s="1" t="str">
        <f>"ACCT#114382/PRESCRIPTIONS/ANIM"</f>
        <v>ACCT#114382/PRESCRIPTIONS/ANIM</v>
      </c>
    </row>
    <row r="1075" spans="1:9" x14ac:dyDescent="0.25">
      <c r="A1075" s="1" t="s">
        <v>400</v>
      </c>
      <c r="B1075" s="1">
        <v>83221</v>
      </c>
      <c r="C1075" s="3">
        <v>100</v>
      </c>
      <c r="D1075" s="2">
        <v>43668</v>
      </c>
      <c r="E1075" s="1" t="str">
        <f>"LCI-317676"</f>
        <v>LCI-317676</v>
      </c>
      <c r="F1075" s="1" t="str">
        <f>"INV LCI-317676"</f>
        <v>INV LCI-317676</v>
      </c>
      <c r="G1075" s="3">
        <v>100</v>
      </c>
      <c r="H1075" s="1" t="str">
        <f>"INV LCI-317676"</f>
        <v>INV LCI-317676</v>
      </c>
    </row>
    <row r="1076" spans="1:9" x14ac:dyDescent="0.25">
      <c r="A1076" s="1" t="s">
        <v>401</v>
      </c>
      <c r="B1076" s="1">
        <v>83222</v>
      </c>
      <c r="C1076" s="3">
        <v>10977.72</v>
      </c>
      <c r="D1076" s="2">
        <v>43668</v>
      </c>
      <c r="E1076" s="1" t="str">
        <f>"201907160584"</f>
        <v>201907160584</v>
      </c>
      <c r="F1076" s="1" t="str">
        <f>"INDIGENT HEALTH"</f>
        <v>INDIGENT HEALTH</v>
      </c>
      <c r="G1076" s="3">
        <v>10977.72</v>
      </c>
      <c r="H1076" s="1" t="str">
        <f>"INDIGENT HEALTH"</f>
        <v>INDIGENT HEALTH</v>
      </c>
    </row>
    <row r="1077" spans="1:9" x14ac:dyDescent="0.25">
      <c r="E1077" s="1" t="str">
        <f>""</f>
        <v/>
      </c>
      <c r="F1077" s="1" t="str">
        <f>""</f>
        <v/>
      </c>
      <c r="H1077" s="1" t="str">
        <f>"INDIGENT HEALTH"</f>
        <v>INDIGENT HEALTH</v>
      </c>
    </row>
    <row r="1078" spans="1:9" x14ac:dyDescent="0.25">
      <c r="A1078" s="1" t="s">
        <v>402</v>
      </c>
      <c r="B1078" s="1">
        <v>83223</v>
      </c>
      <c r="C1078" s="3">
        <v>114.36</v>
      </c>
      <c r="D1078" s="2">
        <v>43668</v>
      </c>
      <c r="E1078" s="1" t="str">
        <f>"201907160586"</f>
        <v>201907160586</v>
      </c>
      <c r="F1078" s="1" t="str">
        <f>"INDIGENT HEALTH"</f>
        <v>INDIGENT HEALTH</v>
      </c>
      <c r="G1078" s="3">
        <v>114.36</v>
      </c>
      <c r="H1078" s="1" t="str">
        <f>"INDIGENT HEALTH"</f>
        <v>INDIGENT HEALTH</v>
      </c>
    </row>
    <row r="1079" spans="1:9" x14ac:dyDescent="0.25">
      <c r="A1079" s="1" t="s">
        <v>403</v>
      </c>
      <c r="B1079" s="1">
        <v>83224</v>
      </c>
      <c r="C1079" s="3">
        <v>6103.89</v>
      </c>
      <c r="D1079" s="2">
        <v>43668</v>
      </c>
      <c r="E1079" s="1" t="str">
        <f>"201907160585"</f>
        <v>201907160585</v>
      </c>
      <c r="F1079" s="1" t="str">
        <f>"INDIGENT HEALTH"</f>
        <v>INDIGENT HEALTH</v>
      </c>
      <c r="G1079" s="3">
        <v>5982.39</v>
      </c>
      <c r="H1079" s="1" t="str">
        <f>"INDIGENT HEALTH"</f>
        <v>INDIGENT HEALTH</v>
      </c>
    </row>
    <row r="1080" spans="1:9" x14ac:dyDescent="0.25">
      <c r="E1080" s="1" t="str">
        <f>"4550*98030*1"</f>
        <v>4550*98030*1</v>
      </c>
      <c r="F1080" s="1" t="str">
        <f>"JAIL MEDICAL"</f>
        <v>JAIL MEDICAL</v>
      </c>
      <c r="G1080" s="3">
        <v>121.5</v>
      </c>
      <c r="H1080" s="1" t="str">
        <f>"JAIL MEDICAL"</f>
        <v>JAIL MEDICAL</v>
      </c>
    </row>
    <row r="1081" spans="1:9" x14ac:dyDescent="0.25">
      <c r="A1081" s="1" t="s">
        <v>398</v>
      </c>
      <c r="B1081" s="1">
        <v>82965</v>
      </c>
      <c r="C1081" s="3">
        <v>13.74</v>
      </c>
      <c r="D1081" s="2">
        <v>43654</v>
      </c>
      <c r="E1081" s="1" t="str">
        <f>"11969495 060719"</f>
        <v>11969495 060719</v>
      </c>
      <c r="F1081" s="1" t="str">
        <f>"ACCT#556850411969495/DA'S OFF"</f>
        <v>ACCT#556850411969495/DA'S OFF</v>
      </c>
      <c r="G1081" s="3">
        <v>13.74</v>
      </c>
      <c r="H1081" s="1" t="str">
        <f>"ACCT#556850411969495/DA'S OFF"</f>
        <v>ACCT#556850411969495/DA'S OFF</v>
      </c>
    </row>
    <row r="1082" spans="1:9" x14ac:dyDescent="0.25">
      <c r="A1082" s="1" t="s">
        <v>398</v>
      </c>
      <c r="B1082" s="1">
        <v>83225</v>
      </c>
      <c r="C1082" s="3">
        <v>197.25</v>
      </c>
      <c r="D1082" s="2">
        <v>43668</v>
      </c>
      <c r="E1082" s="1" t="str">
        <f>"11969495 070519"</f>
        <v>11969495 070519</v>
      </c>
      <c r="F1082" s="1" t="str">
        <f>"ACCT#556850411969495"</f>
        <v>ACCT#556850411969495</v>
      </c>
      <c r="G1082" s="3">
        <v>197.25</v>
      </c>
      <c r="H1082" s="1" t="str">
        <f>"ACCT#556850411969495"</f>
        <v>ACCT#556850411969495</v>
      </c>
    </row>
    <row r="1083" spans="1:9" x14ac:dyDescent="0.25">
      <c r="A1083" s="1" t="s">
        <v>404</v>
      </c>
      <c r="B1083" s="1">
        <v>83226</v>
      </c>
      <c r="C1083" s="3">
        <v>500</v>
      </c>
      <c r="D1083" s="2">
        <v>43668</v>
      </c>
      <c r="E1083" s="1" t="s">
        <v>205</v>
      </c>
      <c r="F1083" s="1" t="s">
        <v>405</v>
      </c>
      <c r="G1083" s="3" t="str">
        <f>"RESTITUTION - P. GLOGER"</f>
        <v>RESTITUTION - P. GLOGER</v>
      </c>
      <c r="H1083" s="1" t="str">
        <f>"210-0000"</f>
        <v>210-0000</v>
      </c>
      <c r="I1083" s="1" t="str">
        <f>""</f>
        <v/>
      </c>
    </row>
    <row r="1084" spans="1:9" x14ac:dyDescent="0.25">
      <c r="A1084" s="1" t="s">
        <v>406</v>
      </c>
      <c r="B1084" s="1">
        <v>82966</v>
      </c>
      <c r="C1084" s="3">
        <v>1477.11</v>
      </c>
      <c r="D1084" s="2">
        <v>43654</v>
      </c>
      <c r="E1084" s="1" t="str">
        <f>"8054719388"</f>
        <v>8054719388</v>
      </c>
      <c r="F1084" s="1" t="str">
        <f>"sum inv# 8054719388"</f>
        <v>sum inv# 8054719388</v>
      </c>
      <c r="G1084" s="3">
        <v>1477.11</v>
      </c>
      <c r="H1084" s="1" t="str">
        <f>"Inv# 3416833473"</f>
        <v>Inv# 3416833473</v>
      </c>
    </row>
    <row r="1085" spans="1:9" x14ac:dyDescent="0.25">
      <c r="E1085" s="1" t="str">
        <f>""</f>
        <v/>
      </c>
      <c r="F1085" s="1" t="str">
        <f>""</f>
        <v/>
      </c>
      <c r="H1085" s="1" t="str">
        <f>"Inv# 3416833464"</f>
        <v>Inv# 3416833464</v>
      </c>
    </row>
    <row r="1086" spans="1:9" x14ac:dyDescent="0.25">
      <c r="E1086" s="1" t="str">
        <f>""</f>
        <v/>
      </c>
      <c r="F1086" s="1" t="str">
        <f>""</f>
        <v/>
      </c>
      <c r="H1086" s="1" t="str">
        <f>"Inv# 3416833467"</f>
        <v>Inv# 3416833467</v>
      </c>
    </row>
    <row r="1087" spans="1:9" x14ac:dyDescent="0.25">
      <c r="E1087" s="1" t="str">
        <f>""</f>
        <v/>
      </c>
      <c r="F1087" s="1" t="str">
        <f>""</f>
        <v/>
      </c>
      <c r="H1087" s="1" t="str">
        <f>"Inv# 3416833468"</f>
        <v>Inv# 3416833468</v>
      </c>
    </row>
    <row r="1088" spans="1:9" x14ac:dyDescent="0.25">
      <c r="E1088" s="1" t="str">
        <f>""</f>
        <v/>
      </c>
      <c r="F1088" s="1" t="str">
        <f>""</f>
        <v/>
      </c>
      <c r="H1088" s="1" t="str">
        <f>"Inv# 3416833474"</f>
        <v>Inv# 3416833474</v>
      </c>
    </row>
    <row r="1089" spans="1:8" x14ac:dyDescent="0.25">
      <c r="E1089" s="1" t="str">
        <f>""</f>
        <v/>
      </c>
      <c r="F1089" s="1" t="str">
        <f>""</f>
        <v/>
      </c>
      <c r="H1089" s="1" t="str">
        <f>"Inv# 3416833475"</f>
        <v>Inv# 3416833475</v>
      </c>
    </row>
    <row r="1090" spans="1:8" x14ac:dyDescent="0.25">
      <c r="E1090" s="1" t="str">
        <f>""</f>
        <v/>
      </c>
      <c r="F1090" s="1" t="str">
        <f>""</f>
        <v/>
      </c>
      <c r="H1090" s="1" t="str">
        <f>"Inv# 3416833469"</f>
        <v>Inv# 3416833469</v>
      </c>
    </row>
    <row r="1091" spans="1:8" x14ac:dyDescent="0.25">
      <c r="E1091" s="1" t="str">
        <f>""</f>
        <v/>
      </c>
      <c r="F1091" s="1" t="str">
        <f>""</f>
        <v/>
      </c>
      <c r="H1091" s="1" t="str">
        <f>"Inv# 3416833471"</f>
        <v>Inv# 3416833471</v>
      </c>
    </row>
    <row r="1092" spans="1:8" x14ac:dyDescent="0.25">
      <c r="E1092" s="1" t="str">
        <f>""</f>
        <v/>
      </c>
      <c r="F1092" s="1" t="str">
        <f>""</f>
        <v/>
      </c>
      <c r="H1092" s="1" t="str">
        <f>"Inv# 3416833463"</f>
        <v>Inv# 3416833463</v>
      </c>
    </row>
    <row r="1093" spans="1:8" x14ac:dyDescent="0.25">
      <c r="E1093" s="1" t="str">
        <f>""</f>
        <v/>
      </c>
      <c r="F1093" s="1" t="str">
        <f>""</f>
        <v/>
      </c>
      <c r="H1093" s="1" t="str">
        <f>"Inv# 3416833472"</f>
        <v>Inv# 3416833472</v>
      </c>
    </row>
    <row r="1094" spans="1:8" x14ac:dyDescent="0.25">
      <c r="E1094" s="1" t="str">
        <f>""</f>
        <v/>
      </c>
      <c r="F1094" s="1" t="str">
        <f>""</f>
        <v/>
      </c>
      <c r="H1094" s="1" t="str">
        <f>"Inv# 3416833465"</f>
        <v>Inv# 3416833465</v>
      </c>
    </row>
    <row r="1095" spans="1:8" x14ac:dyDescent="0.25">
      <c r="E1095" s="1" t="str">
        <f>""</f>
        <v/>
      </c>
      <c r="F1095" s="1" t="str">
        <f>""</f>
        <v/>
      </c>
      <c r="H1095" s="1" t="str">
        <f>"Inv# 3416833466"</f>
        <v>Inv# 3416833466</v>
      </c>
    </row>
    <row r="1096" spans="1:8" x14ac:dyDescent="0.25">
      <c r="A1096" s="1" t="s">
        <v>406</v>
      </c>
      <c r="B1096" s="1">
        <v>83227</v>
      </c>
      <c r="C1096" s="3">
        <v>3502.67</v>
      </c>
      <c r="D1096" s="2">
        <v>43668</v>
      </c>
      <c r="E1096" s="1" t="str">
        <f>"8054884792"</f>
        <v>8054884792</v>
      </c>
      <c r="F1096" s="1" t="str">
        <f>"sum inv# 8054884792"</f>
        <v>sum inv# 8054884792</v>
      </c>
      <c r="G1096" s="3">
        <v>3502.67</v>
      </c>
      <c r="H1096" s="1" t="str">
        <f>"inv# 3418288172"</f>
        <v>inv# 3418288172</v>
      </c>
    </row>
    <row r="1097" spans="1:8" x14ac:dyDescent="0.25">
      <c r="E1097" s="1" t="str">
        <f>""</f>
        <v/>
      </c>
      <c r="F1097" s="1" t="str">
        <f>""</f>
        <v/>
      </c>
      <c r="H1097" s="1" t="str">
        <f>"inv# 3418288173"</f>
        <v>inv# 3418288173</v>
      </c>
    </row>
    <row r="1098" spans="1:8" x14ac:dyDescent="0.25">
      <c r="E1098" s="1" t="str">
        <f>""</f>
        <v/>
      </c>
      <c r="F1098" s="1" t="str">
        <f>""</f>
        <v/>
      </c>
      <c r="H1098" s="1" t="str">
        <f>"inv# 3418288192"</f>
        <v>inv# 3418288192</v>
      </c>
    </row>
    <row r="1099" spans="1:8" x14ac:dyDescent="0.25">
      <c r="E1099" s="1" t="str">
        <f>""</f>
        <v/>
      </c>
      <c r="F1099" s="1" t="str">
        <f>""</f>
        <v/>
      </c>
      <c r="H1099" s="1" t="str">
        <f>"inv# 3418288176"</f>
        <v>inv# 3418288176</v>
      </c>
    </row>
    <row r="1100" spans="1:8" x14ac:dyDescent="0.25">
      <c r="E1100" s="1" t="str">
        <f>""</f>
        <v/>
      </c>
      <c r="F1100" s="1" t="str">
        <f>""</f>
        <v/>
      </c>
      <c r="H1100" s="1" t="str">
        <f>"inv# 3418288167"</f>
        <v>inv# 3418288167</v>
      </c>
    </row>
    <row r="1101" spans="1:8" x14ac:dyDescent="0.25">
      <c r="E1101" s="1" t="str">
        <f>""</f>
        <v/>
      </c>
      <c r="F1101" s="1" t="str">
        <f>""</f>
        <v/>
      </c>
      <c r="H1101" s="1" t="str">
        <f>"inv# 3418288174"</f>
        <v>inv# 3418288174</v>
      </c>
    </row>
    <row r="1102" spans="1:8" x14ac:dyDescent="0.25">
      <c r="E1102" s="1" t="str">
        <f>""</f>
        <v/>
      </c>
      <c r="F1102" s="1" t="str">
        <f>""</f>
        <v/>
      </c>
      <c r="H1102" s="1" t="str">
        <f>"inv# 3418288181"</f>
        <v>inv# 3418288181</v>
      </c>
    </row>
    <row r="1103" spans="1:8" x14ac:dyDescent="0.25">
      <c r="E1103" s="1" t="str">
        <f>""</f>
        <v/>
      </c>
      <c r="F1103" s="1" t="str">
        <f>""</f>
        <v/>
      </c>
      <c r="H1103" s="1" t="str">
        <f>"inv# 341828185"</f>
        <v>inv# 341828185</v>
      </c>
    </row>
    <row r="1104" spans="1:8" x14ac:dyDescent="0.25">
      <c r="E1104" s="1" t="str">
        <f>""</f>
        <v/>
      </c>
      <c r="F1104" s="1" t="str">
        <f>""</f>
        <v/>
      </c>
      <c r="H1104" s="1" t="str">
        <f>"inv# 3418288182"</f>
        <v>inv# 3418288182</v>
      </c>
    </row>
    <row r="1105" spans="1:8" x14ac:dyDescent="0.25">
      <c r="E1105" s="1" t="str">
        <f>""</f>
        <v/>
      </c>
      <c r="F1105" s="1" t="str">
        <f>""</f>
        <v/>
      </c>
      <c r="H1105" s="1" t="str">
        <f>"inv# 3418288183"</f>
        <v>inv# 3418288183</v>
      </c>
    </row>
    <row r="1106" spans="1:8" x14ac:dyDescent="0.25">
      <c r="E1106" s="1" t="str">
        <f>""</f>
        <v/>
      </c>
      <c r="F1106" s="1" t="str">
        <f>""</f>
        <v/>
      </c>
      <c r="H1106" s="1" t="str">
        <f>"inv# 3418288184"</f>
        <v>inv# 3418288184</v>
      </c>
    </row>
    <row r="1107" spans="1:8" x14ac:dyDescent="0.25">
      <c r="E1107" s="1" t="str">
        <f>""</f>
        <v/>
      </c>
      <c r="F1107" s="1" t="str">
        <f>""</f>
        <v/>
      </c>
      <c r="H1107" s="1" t="str">
        <f>"inv# 3418288187"</f>
        <v>inv# 3418288187</v>
      </c>
    </row>
    <row r="1108" spans="1:8" x14ac:dyDescent="0.25">
      <c r="E1108" s="1" t="str">
        <f>""</f>
        <v/>
      </c>
      <c r="F1108" s="1" t="str">
        <f>""</f>
        <v/>
      </c>
      <c r="H1108" s="1" t="str">
        <f>"inv# 3418288189"</f>
        <v>inv# 3418288189</v>
      </c>
    </row>
    <row r="1109" spans="1:8" x14ac:dyDescent="0.25">
      <c r="E1109" s="1" t="str">
        <f>""</f>
        <v/>
      </c>
      <c r="F1109" s="1" t="str">
        <f>""</f>
        <v/>
      </c>
      <c r="H1109" s="1" t="str">
        <f>"inv# 3418288190"</f>
        <v>inv# 3418288190</v>
      </c>
    </row>
    <row r="1110" spans="1:8" x14ac:dyDescent="0.25">
      <c r="E1110" s="1" t="str">
        <f>""</f>
        <v/>
      </c>
      <c r="F1110" s="1" t="str">
        <f>""</f>
        <v/>
      </c>
      <c r="H1110" s="1" t="str">
        <f>"inv# 3418288191"</f>
        <v>inv# 3418288191</v>
      </c>
    </row>
    <row r="1111" spans="1:8" x14ac:dyDescent="0.25">
      <c r="E1111" s="1" t="str">
        <f>""</f>
        <v/>
      </c>
      <c r="F1111" s="1" t="str">
        <f>""</f>
        <v/>
      </c>
      <c r="H1111" s="1" t="str">
        <f>"inv# 3418288180"</f>
        <v>inv# 3418288180</v>
      </c>
    </row>
    <row r="1112" spans="1:8" x14ac:dyDescent="0.25">
      <c r="E1112" s="1" t="str">
        <f>""</f>
        <v/>
      </c>
      <c r="F1112" s="1" t="str">
        <f>""</f>
        <v/>
      </c>
      <c r="H1112" s="1" t="str">
        <f>"inv# 3418288179"</f>
        <v>inv# 3418288179</v>
      </c>
    </row>
    <row r="1113" spans="1:8" x14ac:dyDescent="0.25">
      <c r="E1113" s="1" t="str">
        <f>""</f>
        <v/>
      </c>
      <c r="F1113" s="1" t="str">
        <f>""</f>
        <v/>
      </c>
      <c r="H1113" s="1" t="str">
        <f>"inv# 3418288168"</f>
        <v>inv# 3418288168</v>
      </c>
    </row>
    <row r="1114" spans="1:8" x14ac:dyDescent="0.25">
      <c r="E1114" s="1" t="str">
        <f>""</f>
        <v/>
      </c>
      <c r="F1114" s="1" t="str">
        <f>""</f>
        <v/>
      </c>
      <c r="H1114" s="1" t="str">
        <f>"inv# 3418288169"</f>
        <v>inv# 3418288169</v>
      </c>
    </row>
    <row r="1115" spans="1:8" x14ac:dyDescent="0.25">
      <c r="E1115" s="1" t="str">
        <f>""</f>
        <v/>
      </c>
      <c r="F1115" s="1" t="str">
        <f>""</f>
        <v/>
      </c>
      <c r="H1115" s="1" t="str">
        <f>"inv# 3418288170"</f>
        <v>inv# 3418288170</v>
      </c>
    </row>
    <row r="1116" spans="1:8" x14ac:dyDescent="0.25">
      <c r="E1116" s="1" t="str">
        <f>""</f>
        <v/>
      </c>
      <c r="F1116" s="1" t="str">
        <f>""</f>
        <v/>
      </c>
      <c r="H1116" s="1" t="str">
        <f>"inv# 3418288171"</f>
        <v>inv# 3418288171</v>
      </c>
    </row>
    <row r="1117" spans="1:8" x14ac:dyDescent="0.25">
      <c r="E1117" s="1" t="str">
        <f>""</f>
        <v/>
      </c>
      <c r="F1117" s="1" t="str">
        <f>""</f>
        <v/>
      </c>
      <c r="H1117" s="1" t="str">
        <f>"inv# 3418288177"</f>
        <v>inv# 3418288177</v>
      </c>
    </row>
    <row r="1118" spans="1:8" x14ac:dyDescent="0.25">
      <c r="E1118" s="1" t="str">
        <f>""</f>
        <v/>
      </c>
      <c r="F1118" s="1" t="str">
        <f>""</f>
        <v/>
      </c>
      <c r="H1118" s="1" t="str">
        <f>"inv# 3418288178"</f>
        <v>inv# 3418288178</v>
      </c>
    </row>
    <row r="1119" spans="1:8" x14ac:dyDescent="0.25">
      <c r="A1119" s="1" t="s">
        <v>407</v>
      </c>
      <c r="B1119" s="1">
        <v>83228</v>
      </c>
      <c r="C1119" s="3">
        <v>581.36</v>
      </c>
      <c r="D1119" s="2">
        <v>43668</v>
      </c>
      <c r="E1119" s="1" t="str">
        <f>"201907100408"</f>
        <v>201907100408</v>
      </c>
      <c r="F1119" s="1" t="str">
        <f>"JUNE 2019"</f>
        <v>JUNE 2019</v>
      </c>
      <c r="G1119" s="3">
        <v>581.36</v>
      </c>
      <c r="H1119" s="1" t="str">
        <f>"JUNE 2019"</f>
        <v>JUNE 2019</v>
      </c>
    </row>
    <row r="1120" spans="1:8" x14ac:dyDescent="0.25">
      <c r="A1120" s="1" t="s">
        <v>408</v>
      </c>
      <c r="B1120" s="1">
        <v>82967</v>
      </c>
      <c r="C1120" s="3">
        <v>795.59</v>
      </c>
      <c r="D1120" s="2">
        <v>43654</v>
      </c>
      <c r="E1120" s="1" t="str">
        <f>"4008674553"</f>
        <v>4008674553</v>
      </c>
      <c r="F1120" s="1" t="str">
        <f>"INV 4008674553"</f>
        <v>INV 4008674553</v>
      </c>
      <c r="G1120" s="3">
        <v>795.59</v>
      </c>
      <c r="H1120" s="1" t="str">
        <f>"INV 4008674553"</f>
        <v>INV 4008674553</v>
      </c>
    </row>
    <row r="1121" spans="1:8" x14ac:dyDescent="0.25">
      <c r="A1121" s="1" t="s">
        <v>409</v>
      </c>
      <c r="B1121" s="1">
        <v>82968</v>
      </c>
      <c r="C1121" s="3">
        <v>344.5</v>
      </c>
      <c r="D1121" s="2">
        <v>43654</v>
      </c>
      <c r="E1121" s="1" t="str">
        <f>"201906280189"</f>
        <v>201906280189</v>
      </c>
      <c r="F1121" s="1" t="str">
        <f>"TRASH REMOVAL 07/01-07/05/P4"</f>
        <v>TRASH REMOVAL 07/01-07/05/P4</v>
      </c>
      <c r="G1121" s="3">
        <v>143</v>
      </c>
      <c r="H1121" s="1" t="str">
        <f>"TRASH REMOVAL 07/01-07/05/P4"</f>
        <v>TRASH REMOVAL 07/01-07/05/P4</v>
      </c>
    </row>
    <row r="1122" spans="1:8" x14ac:dyDescent="0.25">
      <c r="E1122" s="1" t="str">
        <f>"201906280190"</f>
        <v>201906280190</v>
      </c>
      <c r="F1122" s="1" t="str">
        <f>"TRASH REMOVAL 06/24-06/28/P4"</f>
        <v>TRASH REMOVAL 06/24-06/28/P4</v>
      </c>
      <c r="G1122" s="3">
        <v>201.5</v>
      </c>
      <c r="H1122" s="1" t="str">
        <f>"TRASH REMOVAL 06/24-06/28/P4"</f>
        <v>TRASH REMOVAL 06/24-06/28/P4</v>
      </c>
    </row>
    <row r="1123" spans="1:8" x14ac:dyDescent="0.25">
      <c r="A1123" s="1" t="s">
        <v>409</v>
      </c>
      <c r="B1123" s="1">
        <v>83229</v>
      </c>
      <c r="C1123" s="3">
        <v>455</v>
      </c>
      <c r="D1123" s="2">
        <v>43668</v>
      </c>
      <c r="E1123" s="1" t="str">
        <f>"201907160490"</f>
        <v>201907160490</v>
      </c>
      <c r="F1123" s="1" t="str">
        <f>"TRASH REMOVAL 07/08-07/19/P4"</f>
        <v>TRASH REMOVAL 07/08-07/19/P4</v>
      </c>
      <c r="G1123" s="3">
        <v>455</v>
      </c>
      <c r="H1123" s="1" t="str">
        <f>"TRASH REMOVAL 07/08-07/19/P4"</f>
        <v>TRASH REMOVAL 07/08-07/19/P4</v>
      </c>
    </row>
    <row r="1124" spans="1:8" x14ac:dyDescent="0.25">
      <c r="A1124" s="1" t="s">
        <v>410</v>
      </c>
      <c r="B1124" s="1">
        <v>83230</v>
      </c>
      <c r="C1124" s="3">
        <v>175</v>
      </c>
      <c r="D1124" s="2">
        <v>43668</v>
      </c>
      <c r="E1124" s="1" t="str">
        <f>"201907170597"</f>
        <v>201907170597</v>
      </c>
      <c r="F1124" s="1" t="str">
        <f>"JULY 12 INVOICE"</f>
        <v>JULY 12 INVOICE</v>
      </c>
      <c r="G1124" s="3">
        <v>175</v>
      </c>
      <c r="H1124" s="1" t="str">
        <f>"JULY 12 INVOICE"</f>
        <v>JULY 12 INVOICE</v>
      </c>
    </row>
    <row r="1125" spans="1:8" x14ac:dyDescent="0.25">
      <c r="A1125" s="1" t="s">
        <v>411</v>
      </c>
      <c r="B1125" s="1">
        <v>1024</v>
      </c>
      <c r="C1125" s="3">
        <v>8840</v>
      </c>
      <c r="D1125" s="2">
        <v>43655</v>
      </c>
      <c r="E1125" s="1" t="str">
        <f>"313"</f>
        <v>313</v>
      </c>
      <c r="F1125" s="1" t="str">
        <f>"SHREDDING/MOWING/PCT#2"</f>
        <v>SHREDDING/MOWING/PCT#2</v>
      </c>
      <c r="G1125" s="3">
        <v>7280</v>
      </c>
      <c r="H1125" s="1" t="str">
        <f>"SHREDDING/MOWING/PCT#2"</f>
        <v>SHREDDING/MOWING/PCT#2</v>
      </c>
    </row>
    <row r="1126" spans="1:8" x14ac:dyDescent="0.25">
      <c r="E1126" s="1" t="str">
        <f>"314"</f>
        <v>314</v>
      </c>
      <c r="F1126" s="1" t="str">
        <f>"MOWING/SHREDDING/PCT#1"</f>
        <v>MOWING/SHREDDING/PCT#1</v>
      </c>
      <c r="G1126" s="3">
        <v>1560</v>
      </c>
      <c r="H1126" s="1" t="str">
        <f>"MOWING/SHREDDING/PCT#1"</f>
        <v>MOWING/SHREDDING/PCT#1</v>
      </c>
    </row>
    <row r="1127" spans="1:8" x14ac:dyDescent="0.25">
      <c r="A1127" s="1" t="s">
        <v>411</v>
      </c>
      <c r="B1127" s="1">
        <v>1093</v>
      </c>
      <c r="C1127" s="3">
        <v>7800</v>
      </c>
      <c r="D1127" s="2">
        <v>43669</v>
      </c>
      <c r="E1127" s="1" t="str">
        <f>"317"</f>
        <v>317</v>
      </c>
      <c r="F1127" s="1" t="str">
        <f>"SHREDDING/MOWING/PCT#2"</f>
        <v>SHREDDING/MOWING/PCT#2</v>
      </c>
      <c r="G1127" s="3">
        <v>4160</v>
      </c>
      <c r="H1127" s="1" t="str">
        <f>"SHREDDING/MOWING/PCT#2"</f>
        <v>SHREDDING/MOWING/PCT#2</v>
      </c>
    </row>
    <row r="1128" spans="1:8" x14ac:dyDescent="0.25">
      <c r="E1128" s="1" t="str">
        <f>"318"</f>
        <v>318</v>
      </c>
      <c r="F1128" s="1" t="str">
        <f>"MOWING/SHREDDING/PCT#1"</f>
        <v>MOWING/SHREDDING/PCT#1</v>
      </c>
      <c r="G1128" s="3">
        <v>3640</v>
      </c>
      <c r="H1128" s="1" t="str">
        <f>"MOWING/SHREDDING/PCT#1"</f>
        <v>MOWING/SHREDDING/PCT#1</v>
      </c>
    </row>
    <row r="1129" spans="1:8" x14ac:dyDescent="0.25">
      <c r="A1129" s="1" t="s">
        <v>412</v>
      </c>
      <c r="B1129" s="1">
        <v>1030</v>
      </c>
      <c r="C1129" s="3">
        <v>6263.12</v>
      </c>
      <c r="D1129" s="2">
        <v>43655</v>
      </c>
      <c r="E1129" s="1" t="str">
        <f>"95317322"</f>
        <v>95317322</v>
      </c>
      <c r="F1129" s="1" t="str">
        <f>"ACCT#10187718/BOL#661274/PCT#2"</f>
        <v>ACCT#10187718/BOL#661274/PCT#2</v>
      </c>
      <c r="G1129" s="3">
        <v>2988.28</v>
      </c>
      <c r="H1129" s="1" t="str">
        <f>"ACCT#10187718/BOL#661274/PCT#2"</f>
        <v>ACCT#10187718/BOL#661274/PCT#2</v>
      </c>
    </row>
    <row r="1130" spans="1:8" x14ac:dyDescent="0.25">
      <c r="E1130" s="1" t="str">
        <f>"95328381"</f>
        <v>95328381</v>
      </c>
      <c r="F1130" s="1" t="str">
        <f>"ACCT#10187718/BOL#664914/PCT#2"</f>
        <v>ACCT#10187718/BOL#664914/PCT#2</v>
      </c>
      <c r="G1130" s="3">
        <v>3274.84</v>
      </c>
      <c r="H1130" s="1" t="str">
        <f>"ACCT#10187718/BOL#664914/PCT#2"</f>
        <v>ACCT#10187718/BOL#664914/PCT#2</v>
      </c>
    </row>
    <row r="1131" spans="1:8" x14ac:dyDescent="0.25">
      <c r="A1131" s="1" t="s">
        <v>412</v>
      </c>
      <c r="B1131" s="1">
        <v>1103</v>
      </c>
      <c r="C1131" s="3">
        <v>3559</v>
      </c>
      <c r="D1131" s="2">
        <v>43669</v>
      </c>
      <c r="E1131" s="1" t="str">
        <f>"95342909"</f>
        <v>95342909</v>
      </c>
      <c r="F1131" s="1" t="str">
        <f>"ACCT#10187718/PCT#2"</f>
        <v>ACCT#10187718/PCT#2</v>
      </c>
      <c r="G1131" s="3">
        <v>3559</v>
      </c>
      <c r="H1131" s="1" t="str">
        <f>"ACCT#10187718/PCT#2"</f>
        <v>ACCT#10187718/PCT#2</v>
      </c>
    </row>
    <row r="1132" spans="1:8" x14ac:dyDescent="0.25">
      <c r="A1132" s="1" t="s">
        <v>413</v>
      </c>
      <c r="B1132" s="1">
        <v>82969</v>
      </c>
      <c r="C1132" s="3">
        <v>1080</v>
      </c>
      <c r="D1132" s="2">
        <v>43654</v>
      </c>
      <c r="E1132" s="1" t="str">
        <f>"200003134"</f>
        <v>200003134</v>
      </c>
      <c r="F1132" s="1" t="str">
        <f>"2019 CONF REG-A.LEWIS F.HUNTER"</f>
        <v>2019 CONF REG-A.LEWIS F.HUNTER</v>
      </c>
      <c r="G1132" s="3">
        <v>880</v>
      </c>
      <c r="H1132" s="1" t="str">
        <f>"2019 CONF REG-A.LEWIS F.HUNTER"</f>
        <v>2019 CONF REG-A.LEWIS F.HUNTER</v>
      </c>
    </row>
    <row r="1133" spans="1:8" x14ac:dyDescent="0.25">
      <c r="E1133" s="1" t="str">
        <f>"200003169"</f>
        <v>200003169</v>
      </c>
      <c r="F1133" s="1" t="str">
        <f>"2019 ANNUAL CONF SWAG BAG CONT"</f>
        <v>2019 ANNUAL CONF SWAG BAG CONT</v>
      </c>
      <c r="G1133" s="3">
        <v>200</v>
      </c>
      <c r="H1133" s="1" t="str">
        <f>"2019 ANNUAL CONF SWAG BAG CONT"</f>
        <v>2019 ANNUAL CONF SWAG BAG CONT</v>
      </c>
    </row>
    <row r="1134" spans="1:8" x14ac:dyDescent="0.25">
      <c r="A1134" s="1" t="s">
        <v>414</v>
      </c>
      <c r="B1134" s="1">
        <v>1021</v>
      </c>
      <c r="C1134" s="3">
        <v>69.760000000000005</v>
      </c>
      <c r="D1134" s="2">
        <v>43655</v>
      </c>
      <c r="E1134" s="1" t="str">
        <f>"19070114"</f>
        <v>19070114</v>
      </c>
      <c r="F1134" s="1" t="str">
        <f>"SVC CONTRACT 06/03-07/01"</f>
        <v>SVC CONTRACT 06/03-07/01</v>
      </c>
      <c r="G1134" s="3">
        <v>69.760000000000005</v>
      </c>
      <c r="H1134" s="1" t="str">
        <f>"SVC CONTRACT 06/03-07/01"</f>
        <v>SVC CONTRACT 06/03-07/01</v>
      </c>
    </row>
    <row r="1135" spans="1:8" x14ac:dyDescent="0.25">
      <c r="A1135" s="1" t="s">
        <v>415</v>
      </c>
      <c r="B1135" s="1">
        <v>83231</v>
      </c>
      <c r="C1135" s="3">
        <v>251.41</v>
      </c>
      <c r="D1135" s="2">
        <v>43668</v>
      </c>
      <c r="E1135" s="1" t="str">
        <f>"57607"</f>
        <v>57607</v>
      </c>
      <c r="F1135" s="1" t="str">
        <f>"VEHICLE REPAIRS/PCT#4"</f>
        <v>VEHICLE REPAIRS/PCT#4</v>
      </c>
      <c r="G1135" s="3">
        <v>251.41</v>
      </c>
      <c r="H1135" s="1" t="str">
        <f>"VEHICLE REPAIRS/PCT#4"</f>
        <v>VEHICLE REPAIRS/PCT#4</v>
      </c>
    </row>
    <row r="1136" spans="1:8" x14ac:dyDescent="0.25">
      <c r="A1136" s="1" t="s">
        <v>416</v>
      </c>
      <c r="B1136" s="1">
        <v>1065</v>
      </c>
      <c r="C1136" s="3">
        <v>200</v>
      </c>
      <c r="D1136" s="2">
        <v>43655</v>
      </c>
      <c r="E1136" s="1" t="str">
        <f>"21267"</f>
        <v>21267</v>
      </c>
      <c r="F1136" s="1" t="str">
        <f>"FLAT BAR/PCT#4"</f>
        <v>FLAT BAR/PCT#4</v>
      </c>
      <c r="G1136" s="3">
        <v>200</v>
      </c>
      <c r="H1136" s="1" t="str">
        <f>"FLAT BAR/PCT#4"</f>
        <v>FLAT BAR/PCT#4</v>
      </c>
    </row>
    <row r="1137" spans="1:8" x14ac:dyDescent="0.25">
      <c r="A1137" s="1" t="s">
        <v>417</v>
      </c>
      <c r="B1137" s="1">
        <v>82970</v>
      </c>
      <c r="C1137" s="3">
        <v>300</v>
      </c>
      <c r="D1137" s="2">
        <v>43654</v>
      </c>
      <c r="E1137" s="1" t="str">
        <f>"201907010233"</f>
        <v>201907010233</v>
      </c>
      <c r="F1137" s="1" t="str">
        <f>"TRAINING"</f>
        <v>TRAINING</v>
      </c>
      <c r="G1137" s="3">
        <v>300</v>
      </c>
      <c r="H1137" s="1" t="str">
        <f>"TRAINING"</f>
        <v>TRAINING</v>
      </c>
    </row>
    <row r="1138" spans="1:8" x14ac:dyDescent="0.25">
      <c r="A1138" s="1" t="s">
        <v>418</v>
      </c>
      <c r="B1138" s="1">
        <v>82971</v>
      </c>
      <c r="C1138" s="3">
        <v>300</v>
      </c>
      <c r="D1138" s="2">
        <v>43654</v>
      </c>
      <c r="E1138" s="1" t="str">
        <f>"201907020262"</f>
        <v>201907020262</v>
      </c>
      <c r="F1138" s="1" t="str">
        <f>"CONFERENCE REGISTRATION"</f>
        <v>CONFERENCE REGISTRATION</v>
      </c>
      <c r="G1138" s="3">
        <v>300</v>
      </c>
      <c r="H1138" s="1" t="str">
        <f>"CONFERENCE REGISTRATION"</f>
        <v>CONFERENCE REGISTRATION</v>
      </c>
    </row>
    <row r="1139" spans="1:8" x14ac:dyDescent="0.25">
      <c r="A1139" s="1" t="s">
        <v>419</v>
      </c>
      <c r="B1139" s="1">
        <v>83232</v>
      </c>
      <c r="C1139" s="3">
        <v>25</v>
      </c>
      <c r="D1139" s="2">
        <v>43668</v>
      </c>
      <c r="E1139" s="1" t="str">
        <f>"201907150423"</f>
        <v>201907150423</v>
      </c>
      <c r="F1139" s="1" t="str">
        <f>"LICENSING COURSE-BRICE TIPPIE"</f>
        <v>LICENSING COURSE-BRICE TIPPIE</v>
      </c>
      <c r="G1139" s="3">
        <v>25</v>
      </c>
      <c r="H1139" s="1" t="str">
        <f>"LICENSING COURSE-BRICE TIPPIE"</f>
        <v>LICENSING COURSE-BRICE TIPPIE</v>
      </c>
    </row>
    <row r="1140" spans="1:8" x14ac:dyDescent="0.25">
      <c r="A1140" s="1" t="s">
        <v>419</v>
      </c>
      <c r="B1140" s="1">
        <v>83233</v>
      </c>
      <c r="C1140" s="3">
        <v>25</v>
      </c>
      <c r="D1140" s="2">
        <v>43668</v>
      </c>
      <c r="E1140" s="1" t="str">
        <f>"201907150424"</f>
        <v>201907150424</v>
      </c>
      <c r="F1140" s="1" t="str">
        <f>"LICENSING COURSE-K. SIMPSON"</f>
        <v>LICENSING COURSE-K. SIMPSON</v>
      </c>
      <c r="G1140" s="3">
        <v>25</v>
      </c>
      <c r="H1140" s="1" t="str">
        <f>"LICENSING COURSE-K. SIMPSON"</f>
        <v>LICENSING COURSE-K. SIMPSON</v>
      </c>
    </row>
    <row r="1141" spans="1:8" x14ac:dyDescent="0.25">
      <c r="A1141" s="1" t="s">
        <v>420</v>
      </c>
      <c r="B1141" s="1">
        <v>83234</v>
      </c>
      <c r="C1141" s="3">
        <v>200</v>
      </c>
      <c r="D1141" s="2">
        <v>43668</v>
      </c>
      <c r="E1141" s="1" t="str">
        <f>"156851"</f>
        <v>156851</v>
      </c>
      <c r="F1141" s="1" t="str">
        <f>"REGISTRATION-VALERIE BULLOCK"</f>
        <v>REGISTRATION-VALERIE BULLOCK</v>
      </c>
      <c r="G1141" s="3">
        <v>100</v>
      </c>
      <c r="H1141" s="1" t="str">
        <f>"REGISTRATION-VALERIE BULLOCK"</f>
        <v>REGISTRATION-VALERIE BULLOCK</v>
      </c>
    </row>
    <row r="1142" spans="1:8" x14ac:dyDescent="0.25">
      <c r="E1142" s="1" t="str">
        <f>"158747"</f>
        <v>158747</v>
      </c>
      <c r="F1142" s="1" t="str">
        <f>"REGISTRATION-CONNIE RABEL"</f>
        <v>REGISTRATION-CONNIE RABEL</v>
      </c>
      <c r="G1142" s="3">
        <v>100</v>
      </c>
      <c r="H1142" s="1" t="str">
        <f>"REGISTRATION-CONNIE RABEL"</f>
        <v>REGISTRATION-CONNIE RABEL</v>
      </c>
    </row>
    <row r="1143" spans="1:8" x14ac:dyDescent="0.25">
      <c r="A1143" s="1" t="s">
        <v>421</v>
      </c>
      <c r="B1143" s="1">
        <v>1140</v>
      </c>
      <c r="C1143" s="3">
        <v>209</v>
      </c>
      <c r="D1143" s="2">
        <v>43669</v>
      </c>
      <c r="E1143" s="1" t="str">
        <f>"1908054"</f>
        <v>1908054</v>
      </c>
      <c r="F1143" s="1" t="str">
        <f>"MONTHLY CONTRACT BILLING"</f>
        <v>MONTHLY CONTRACT BILLING</v>
      </c>
      <c r="G1143" s="3">
        <v>209</v>
      </c>
      <c r="H1143" s="1" t="str">
        <f>"MONTHLY CONTRACT BILLING"</f>
        <v>MONTHLY CONTRACT BILLING</v>
      </c>
    </row>
    <row r="1144" spans="1:8" x14ac:dyDescent="0.25">
      <c r="A1144" s="1" t="s">
        <v>422</v>
      </c>
      <c r="B1144" s="1">
        <v>82972</v>
      </c>
      <c r="C1144" s="3">
        <v>3900</v>
      </c>
      <c r="D1144" s="2">
        <v>43654</v>
      </c>
      <c r="E1144" s="1" t="str">
        <f>"5041-1"</f>
        <v>5041-1</v>
      </c>
      <c r="F1144" s="1" t="str">
        <f>"CONCRETE PUMP &amp; LABOR/PCT#1"</f>
        <v>CONCRETE PUMP &amp; LABOR/PCT#1</v>
      </c>
      <c r="G1144" s="3">
        <v>3900</v>
      </c>
      <c r="H1144" s="1" t="str">
        <f>"CONCRETE PUMP &amp; LABOR/PCT#1"</f>
        <v>CONCRETE PUMP &amp; LABOR/PCT#1</v>
      </c>
    </row>
    <row r="1145" spans="1:8" x14ac:dyDescent="0.25">
      <c r="A1145" s="1" t="s">
        <v>423</v>
      </c>
      <c r="B1145" s="1">
        <v>82973</v>
      </c>
      <c r="C1145" s="3">
        <v>4880.88</v>
      </c>
      <c r="D1145" s="2">
        <v>43654</v>
      </c>
      <c r="E1145" s="1" t="str">
        <f>"0871868-IN"</f>
        <v>0871868-IN</v>
      </c>
      <c r="F1145" s="1" t="str">
        <f>"ACCT#01-0112917/FUEL/PCT#3"</f>
        <v>ACCT#01-0112917/FUEL/PCT#3</v>
      </c>
      <c r="G1145" s="3">
        <v>4160.9399999999996</v>
      </c>
      <c r="H1145" s="1" t="str">
        <f>"ACCT#01-0112917/FUEL/PCT#3"</f>
        <v>ACCT#01-0112917/FUEL/PCT#3</v>
      </c>
    </row>
    <row r="1146" spans="1:8" x14ac:dyDescent="0.25">
      <c r="E1146" s="1" t="str">
        <f>"0872273-IN"</f>
        <v>0872273-IN</v>
      </c>
      <c r="F1146" s="1" t="str">
        <f>"ACCT#01-0112917/MIKE FISHER BL"</f>
        <v>ACCT#01-0112917/MIKE FISHER BL</v>
      </c>
      <c r="G1146" s="3">
        <v>719.94</v>
      </c>
      <c r="H1146" s="1" t="str">
        <f>"ACCT#01-0112917/MIKE FISHER BL"</f>
        <v>ACCT#01-0112917/MIKE FISHER BL</v>
      </c>
    </row>
    <row r="1147" spans="1:8" x14ac:dyDescent="0.25">
      <c r="A1147" s="1" t="s">
        <v>423</v>
      </c>
      <c r="B1147" s="1">
        <v>83235</v>
      </c>
      <c r="C1147" s="3">
        <v>13784.88</v>
      </c>
      <c r="D1147" s="2">
        <v>43668</v>
      </c>
      <c r="E1147" s="1" t="str">
        <f>"0875018-IN"</f>
        <v>0875018-IN</v>
      </c>
      <c r="F1147" s="1" t="str">
        <f>"ACCT#01-0112917/FUEL/PCT#4"</f>
        <v>ACCT#01-0112917/FUEL/PCT#4</v>
      </c>
      <c r="G1147" s="3">
        <v>6435.13</v>
      </c>
      <c r="H1147" s="1" t="str">
        <f>"ACCT#01-0112917/FUEL/PCT#4"</f>
        <v>ACCT#01-0112917/FUEL/PCT#4</v>
      </c>
    </row>
    <row r="1148" spans="1:8" x14ac:dyDescent="0.25">
      <c r="E1148" s="1" t="str">
        <f>"0876148-IN"</f>
        <v>0876148-IN</v>
      </c>
      <c r="F1148" s="1" t="str">
        <f>"ACCT#01-0112917/FUEL/PCT#3"</f>
        <v>ACCT#01-0112917/FUEL/PCT#3</v>
      </c>
      <c r="G1148" s="3">
        <v>4334.2700000000004</v>
      </c>
      <c r="H1148" s="1" t="str">
        <f>"ACCT#01-0112917/FUEL/PCT#3"</f>
        <v>ACCT#01-0112917/FUEL/PCT#3</v>
      </c>
    </row>
    <row r="1149" spans="1:8" x14ac:dyDescent="0.25">
      <c r="E1149" s="1" t="str">
        <f>"0876211-IN"</f>
        <v>0876211-IN</v>
      </c>
      <c r="F1149" s="1" t="str">
        <f>"ACCT#01-0112917/PCT#3"</f>
        <v>ACCT#01-0112917/PCT#3</v>
      </c>
      <c r="G1149" s="3">
        <v>3015.48</v>
      </c>
      <c r="H1149" s="1" t="str">
        <f>"ACCT#01-0112917/PCT#3"</f>
        <v>ACCT#01-0112917/PCT#3</v>
      </c>
    </row>
    <row r="1150" spans="1:8" x14ac:dyDescent="0.25">
      <c r="A1150" s="1" t="s">
        <v>424</v>
      </c>
      <c r="B1150" s="1">
        <v>83236</v>
      </c>
      <c r="C1150" s="3">
        <v>187.7</v>
      </c>
      <c r="D1150" s="2">
        <v>43668</v>
      </c>
      <c r="E1150" s="1" t="str">
        <f>"1988"</f>
        <v>1988</v>
      </c>
      <c r="F1150" s="1" t="str">
        <f>"TICKET#1125629/BEDDING SAND/P1"</f>
        <v>TICKET#1125629/BEDDING SAND/P1</v>
      </c>
      <c r="G1150" s="3">
        <v>93.9</v>
      </c>
      <c r="H1150" s="1" t="str">
        <f>"TICKET#1125629/BEDDING SAND/P1"</f>
        <v>TICKET#1125629/BEDDING SAND/P1</v>
      </c>
    </row>
    <row r="1151" spans="1:8" x14ac:dyDescent="0.25">
      <c r="E1151" s="1" t="str">
        <f>"2009"</f>
        <v>2009</v>
      </c>
      <c r="F1151" s="1" t="str">
        <f>"TICKET#1125709/BEDDING SAND/P1"</f>
        <v>TICKET#1125709/BEDDING SAND/P1</v>
      </c>
      <c r="G1151" s="3">
        <v>93.8</v>
      </c>
      <c r="H1151" s="1" t="str">
        <f>"TICKET#1125709/BEDDING SAND/P1"</f>
        <v>TICKET#1125709/BEDDING SAND/P1</v>
      </c>
    </row>
    <row r="1152" spans="1:8" x14ac:dyDescent="0.25">
      <c r="A1152" s="1" t="s">
        <v>425</v>
      </c>
      <c r="B1152" s="1">
        <v>83237</v>
      </c>
      <c r="C1152" s="3">
        <v>2478</v>
      </c>
      <c r="D1152" s="2">
        <v>43668</v>
      </c>
      <c r="E1152" s="1" t="str">
        <f>"PT63468"</f>
        <v>PT63468</v>
      </c>
      <c r="F1152" s="1" t="str">
        <f>"TEXAS AIRSYSTEMS LLC"</f>
        <v>TEXAS AIRSYSTEMS LLC</v>
      </c>
      <c r="G1152" s="3">
        <v>2223</v>
      </c>
      <c r="H1152" s="1" t="str">
        <f>"BAC PUMP"</f>
        <v>BAC PUMP</v>
      </c>
    </row>
    <row r="1153" spans="1:8" x14ac:dyDescent="0.25">
      <c r="E1153" s="1" t="str">
        <f>"PT63468-FREIGHT"</f>
        <v>PT63468-FREIGHT</v>
      </c>
      <c r="F1153" s="1" t="str">
        <f>"TEXAS AIRSYSTEMS LLC"</f>
        <v>TEXAS AIRSYSTEMS LLC</v>
      </c>
      <c r="G1153" s="3">
        <v>255</v>
      </c>
      <c r="H1153" s="1" t="str">
        <f>"Freight Charges"</f>
        <v>Freight Charges</v>
      </c>
    </row>
    <row r="1154" spans="1:8" x14ac:dyDescent="0.25">
      <c r="A1154" s="1" t="s">
        <v>426</v>
      </c>
      <c r="B1154" s="1">
        <v>82974</v>
      </c>
      <c r="C1154" s="3">
        <v>121</v>
      </c>
      <c r="D1154" s="2">
        <v>43654</v>
      </c>
      <c r="E1154" s="1" t="str">
        <f>"3501"</f>
        <v>3501</v>
      </c>
      <c r="F1154" s="1" t="str">
        <f>"INV 3501"</f>
        <v>INV 3501</v>
      </c>
      <c r="G1154" s="3">
        <v>71</v>
      </c>
      <c r="H1154" s="1" t="str">
        <f>"INV 3501"</f>
        <v>INV 3501</v>
      </c>
    </row>
    <row r="1155" spans="1:8" x14ac:dyDescent="0.25">
      <c r="E1155" s="1" t="str">
        <f>"3551"</f>
        <v>3551</v>
      </c>
      <c r="F1155" s="1" t="str">
        <f>"INV 3551"</f>
        <v>INV 3551</v>
      </c>
      <c r="G1155" s="3">
        <v>50</v>
      </c>
      <c r="H1155" s="1" t="str">
        <f>"INV 3551"</f>
        <v>INV 3551</v>
      </c>
    </row>
    <row r="1156" spans="1:8" x14ac:dyDescent="0.25">
      <c r="A1156" s="1" t="s">
        <v>426</v>
      </c>
      <c r="B1156" s="1">
        <v>83238</v>
      </c>
      <c r="C1156" s="3">
        <v>100</v>
      </c>
      <c r="D1156" s="2">
        <v>43668</v>
      </c>
      <c r="E1156" s="1" t="str">
        <f>"3562"</f>
        <v>3562</v>
      </c>
      <c r="F1156" s="1" t="str">
        <f>"INV 3562"</f>
        <v>INV 3562</v>
      </c>
      <c r="G1156" s="3">
        <v>50</v>
      </c>
      <c r="H1156" s="1" t="str">
        <f>"INV 3562"</f>
        <v>INV 3562</v>
      </c>
    </row>
    <row r="1157" spans="1:8" x14ac:dyDescent="0.25">
      <c r="E1157" s="1" t="str">
        <f>"3592"</f>
        <v>3592</v>
      </c>
      <c r="F1157" s="1" t="str">
        <f>"INV 3592"</f>
        <v>INV 3592</v>
      </c>
      <c r="G1157" s="3">
        <v>50</v>
      </c>
      <c r="H1157" s="1" t="str">
        <f>"INV 3592"</f>
        <v>INV 3592</v>
      </c>
    </row>
    <row r="1158" spans="1:8" x14ac:dyDescent="0.25">
      <c r="A1158" s="1" t="s">
        <v>427</v>
      </c>
      <c r="B1158" s="1">
        <v>82975</v>
      </c>
      <c r="C1158" s="3">
        <v>5142.66</v>
      </c>
      <c r="D1158" s="2">
        <v>43654</v>
      </c>
      <c r="E1158" s="1" t="str">
        <f>"D-2019-3-0110"</f>
        <v>D-2019-3-0110</v>
      </c>
      <c r="F1158" s="1" t="str">
        <f>"UNEMPLOYMENT/QTR END 06/30/19"</f>
        <v>UNEMPLOYMENT/QTR END 06/30/19</v>
      </c>
      <c r="G1158" s="3">
        <v>5142.66</v>
      </c>
      <c r="H1158" s="1" t="str">
        <f t="shared" ref="H1158:H1195" si="18">"UNEMPLOYMENT/QTR END 06/30/19"</f>
        <v>UNEMPLOYMENT/QTR END 06/30/19</v>
      </c>
    </row>
    <row r="1159" spans="1:8" x14ac:dyDescent="0.25">
      <c r="E1159" s="1" t="str">
        <f>""</f>
        <v/>
      </c>
      <c r="F1159" s="1" t="str">
        <f>""</f>
        <v/>
      </c>
      <c r="H1159" s="1" t="str">
        <f t="shared" si="18"/>
        <v>UNEMPLOYMENT/QTR END 06/30/19</v>
      </c>
    </row>
    <row r="1160" spans="1:8" x14ac:dyDescent="0.25">
      <c r="E1160" s="1" t="str">
        <f>""</f>
        <v/>
      </c>
      <c r="F1160" s="1" t="str">
        <f>""</f>
        <v/>
      </c>
      <c r="H1160" s="1" t="str">
        <f t="shared" si="18"/>
        <v>UNEMPLOYMENT/QTR END 06/30/19</v>
      </c>
    </row>
    <row r="1161" spans="1:8" x14ac:dyDescent="0.25">
      <c r="E1161" s="1" t="str">
        <f>""</f>
        <v/>
      </c>
      <c r="F1161" s="1" t="str">
        <f>""</f>
        <v/>
      </c>
      <c r="H1161" s="1" t="str">
        <f t="shared" si="18"/>
        <v>UNEMPLOYMENT/QTR END 06/30/19</v>
      </c>
    </row>
    <row r="1162" spans="1:8" x14ac:dyDescent="0.25">
      <c r="E1162" s="1" t="str">
        <f>""</f>
        <v/>
      </c>
      <c r="F1162" s="1" t="str">
        <f>""</f>
        <v/>
      </c>
      <c r="H1162" s="1" t="str">
        <f t="shared" si="18"/>
        <v>UNEMPLOYMENT/QTR END 06/30/19</v>
      </c>
    </row>
    <row r="1163" spans="1:8" x14ac:dyDescent="0.25">
      <c r="E1163" s="1" t="str">
        <f>""</f>
        <v/>
      </c>
      <c r="F1163" s="1" t="str">
        <f>""</f>
        <v/>
      </c>
      <c r="H1163" s="1" t="str">
        <f t="shared" si="18"/>
        <v>UNEMPLOYMENT/QTR END 06/30/19</v>
      </c>
    </row>
    <row r="1164" spans="1:8" x14ac:dyDescent="0.25">
      <c r="E1164" s="1" t="str">
        <f>""</f>
        <v/>
      </c>
      <c r="F1164" s="1" t="str">
        <f>""</f>
        <v/>
      </c>
      <c r="H1164" s="1" t="str">
        <f t="shared" si="18"/>
        <v>UNEMPLOYMENT/QTR END 06/30/19</v>
      </c>
    </row>
    <row r="1165" spans="1:8" x14ac:dyDescent="0.25">
      <c r="E1165" s="1" t="str">
        <f>""</f>
        <v/>
      </c>
      <c r="F1165" s="1" t="str">
        <f>""</f>
        <v/>
      </c>
      <c r="H1165" s="1" t="str">
        <f t="shared" si="18"/>
        <v>UNEMPLOYMENT/QTR END 06/30/19</v>
      </c>
    </row>
    <row r="1166" spans="1:8" x14ac:dyDescent="0.25">
      <c r="E1166" s="1" t="str">
        <f>""</f>
        <v/>
      </c>
      <c r="F1166" s="1" t="str">
        <f>""</f>
        <v/>
      </c>
      <c r="H1166" s="1" t="str">
        <f t="shared" si="18"/>
        <v>UNEMPLOYMENT/QTR END 06/30/19</v>
      </c>
    </row>
    <row r="1167" spans="1:8" x14ac:dyDescent="0.25">
      <c r="E1167" s="1" t="str">
        <f>""</f>
        <v/>
      </c>
      <c r="F1167" s="1" t="str">
        <f>""</f>
        <v/>
      </c>
      <c r="H1167" s="1" t="str">
        <f t="shared" si="18"/>
        <v>UNEMPLOYMENT/QTR END 06/30/19</v>
      </c>
    </row>
    <row r="1168" spans="1:8" x14ac:dyDescent="0.25">
      <c r="E1168" s="1" t="str">
        <f>""</f>
        <v/>
      </c>
      <c r="F1168" s="1" t="str">
        <f>""</f>
        <v/>
      </c>
      <c r="H1168" s="1" t="str">
        <f t="shared" si="18"/>
        <v>UNEMPLOYMENT/QTR END 06/30/19</v>
      </c>
    </row>
    <row r="1169" spans="5:8" x14ac:dyDescent="0.25">
      <c r="E1169" s="1" t="str">
        <f>""</f>
        <v/>
      </c>
      <c r="F1169" s="1" t="str">
        <f>""</f>
        <v/>
      </c>
      <c r="H1169" s="1" t="str">
        <f t="shared" si="18"/>
        <v>UNEMPLOYMENT/QTR END 06/30/19</v>
      </c>
    </row>
    <row r="1170" spans="5:8" x14ac:dyDescent="0.25">
      <c r="E1170" s="1" t="str">
        <f>""</f>
        <v/>
      </c>
      <c r="F1170" s="1" t="str">
        <f>""</f>
        <v/>
      </c>
      <c r="H1170" s="1" t="str">
        <f t="shared" si="18"/>
        <v>UNEMPLOYMENT/QTR END 06/30/19</v>
      </c>
    </row>
    <row r="1171" spans="5:8" x14ac:dyDescent="0.25">
      <c r="E1171" s="1" t="str">
        <f>""</f>
        <v/>
      </c>
      <c r="F1171" s="1" t="str">
        <f>""</f>
        <v/>
      </c>
      <c r="H1171" s="1" t="str">
        <f t="shared" si="18"/>
        <v>UNEMPLOYMENT/QTR END 06/30/19</v>
      </c>
    </row>
    <row r="1172" spans="5:8" x14ac:dyDescent="0.25">
      <c r="E1172" s="1" t="str">
        <f>""</f>
        <v/>
      </c>
      <c r="F1172" s="1" t="str">
        <f>""</f>
        <v/>
      </c>
      <c r="H1172" s="1" t="str">
        <f t="shared" si="18"/>
        <v>UNEMPLOYMENT/QTR END 06/30/19</v>
      </c>
    </row>
    <row r="1173" spans="5:8" x14ac:dyDescent="0.25">
      <c r="E1173" s="1" t="str">
        <f>""</f>
        <v/>
      </c>
      <c r="F1173" s="1" t="str">
        <f>""</f>
        <v/>
      </c>
      <c r="H1173" s="1" t="str">
        <f t="shared" si="18"/>
        <v>UNEMPLOYMENT/QTR END 06/30/19</v>
      </c>
    </row>
    <row r="1174" spans="5:8" x14ac:dyDescent="0.25">
      <c r="E1174" s="1" t="str">
        <f>""</f>
        <v/>
      </c>
      <c r="F1174" s="1" t="str">
        <f>""</f>
        <v/>
      </c>
      <c r="H1174" s="1" t="str">
        <f t="shared" si="18"/>
        <v>UNEMPLOYMENT/QTR END 06/30/19</v>
      </c>
    </row>
    <row r="1175" spans="5:8" x14ac:dyDescent="0.25">
      <c r="E1175" s="1" t="str">
        <f>""</f>
        <v/>
      </c>
      <c r="F1175" s="1" t="str">
        <f>""</f>
        <v/>
      </c>
      <c r="H1175" s="1" t="str">
        <f t="shared" si="18"/>
        <v>UNEMPLOYMENT/QTR END 06/30/19</v>
      </c>
    </row>
    <row r="1176" spans="5:8" x14ac:dyDescent="0.25">
      <c r="E1176" s="1" t="str">
        <f>""</f>
        <v/>
      </c>
      <c r="F1176" s="1" t="str">
        <f>""</f>
        <v/>
      </c>
      <c r="H1176" s="1" t="str">
        <f t="shared" si="18"/>
        <v>UNEMPLOYMENT/QTR END 06/30/19</v>
      </c>
    </row>
    <row r="1177" spans="5:8" x14ac:dyDescent="0.25">
      <c r="E1177" s="1" t="str">
        <f>""</f>
        <v/>
      </c>
      <c r="F1177" s="1" t="str">
        <f>""</f>
        <v/>
      </c>
      <c r="H1177" s="1" t="str">
        <f t="shared" si="18"/>
        <v>UNEMPLOYMENT/QTR END 06/30/19</v>
      </c>
    </row>
    <row r="1178" spans="5:8" x14ac:dyDescent="0.25">
      <c r="E1178" s="1" t="str">
        <f>""</f>
        <v/>
      </c>
      <c r="F1178" s="1" t="str">
        <f>""</f>
        <v/>
      </c>
      <c r="H1178" s="1" t="str">
        <f t="shared" si="18"/>
        <v>UNEMPLOYMENT/QTR END 06/30/19</v>
      </c>
    </row>
    <row r="1179" spans="5:8" x14ac:dyDescent="0.25">
      <c r="E1179" s="1" t="str">
        <f>""</f>
        <v/>
      </c>
      <c r="F1179" s="1" t="str">
        <f>""</f>
        <v/>
      </c>
      <c r="H1179" s="1" t="str">
        <f t="shared" si="18"/>
        <v>UNEMPLOYMENT/QTR END 06/30/19</v>
      </c>
    </row>
    <row r="1180" spans="5:8" x14ac:dyDescent="0.25">
      <c r="E1180" s="1" t="str">
        <f>""</f>
        <v/>
      </c>
      <c r="F1180" s="1" t="str">
        <f>""</f>
        <v/>
      </c>
      <c r="H1180" s="1" t="str">
        <f t="shared" si="18"/>
        <v>UNEMPLOYMENT/QTR END 06/30/19</v>
      </c>
    </row>
    <row r="1181" spans="5:8" x14ac:dyDescent="0.25">
      <c r="E1181" s="1" t="str">
        <f>""</f>
        <v/>
      </c>
      <c r="F1181" s="1" t="str">
        <f>""</f>
        <v/>
      </c>
      <c r="H1181" s="1" t="str">
        <f t="shared" si="18"/>
        <v>UNEMPLOYMENT/QTR END 06/30/19</v>
      </c>
    </row>
    <row r="1182" spans="5:8" x14ac:dyDescent="0.25">
      <c r="E1182" s="1" t="str">
        <f>""</f>
        <v/>
      </c>
      <c r="F1182" s="1" t="str">
        <f>""</f>
        <v/>
      </c>
      <c r="H1182" s="1" t="str">
        <f t="shared" si="18"/>
        <v>UNEMPLOYMENT/QTR END 06/30/19</v>
      </c>
    </row>
    <row r="1183" spans="5:8" x14ac:dyDescent="0.25">
      <c r="E1183" s="1" t="str">
        <f>""</f>
        <v/>
      </c>
      <c r="F1183" s="1" t="str">
        <f>""</f>
        <v/>
      </c>
      <c r="H1183" s="1" t="str">
        <f t="shared" si="18"/>
        <v>UNEMPLOYMENT/QTR END 06/30/19</v>
      </c>
    </row>
    <row r="1184" spans="5:8" x14ac:dyDescent="0.25">
      <c r="E1184" s="1" t="str">
        <f>""</f>
        <v/>
      </c>
      <c r="F1184" s="1" t="str">
        <f>""</f>
        <v/>
      </c>
      <c r="H1184" s="1" t="str">
        <f t="shared" si="18"/>
        <v>UNEMPLOYMENT/QTR END 06/30/19</v>
      </c>
    </row>
    <row r="1185" spans="1:8" x14ac:dyDescent="0.25">
      <c r="E1185" s="1" t="str">
        <f>""</f>
        <v/>
      </c>
      <c r="F1185" s="1" t="str">
        <f>""</f>
        <v/>
      </c>
      <c r="H1185" s="1" t="str">
        <f t="shared" si="18"/>
        <v>UNEMPLOYMENT/QTR END 06/30/19</v>
      </c>
    </row>
    <row r="1186" spans="1:8" x14ac:dyDescent="0.25">
      <c r="E1186" s="1" t="str">
        <f>""</f>
        <v/>
      </c>
      <c r="F1186" s="1" t="str">
        <f>""</f>
        <v/>
      </c>
      <c r="H1186" s="1" t="str">
        <f t="shared" si="18"/>
        <v>UNEMPLOYMENT/QTR END 06/30/19</v>
      </c>
    </row>
    <row r="1187" spans="1:8" x14ac:dyDescent="0.25">
      <c r="E1187" s="1" t="str">
        <f>""</f>
        <v/>
      </c>
      <c r="F1187" s="1" t="str">
        <f>""</f>
        <v/>
      </c>
      <c r="H1187" s="1" t="str">
        <f t="shared" si="18"/>
        <v>UNEMPLOYMENT/QTR END 06/30/19</v>
      </c>
    </row>
    <row r="1188" spans="1:8" x14ac:dyDescent="0.25">
      <c r="E1188" s="1" t="str">
        <f>""</f>
        <v/>
      </c>
      <c r="F1188" s="1" t="str">
        <f>""</f>
        <v/>
      </c>
      <c r="H1188" s="1" t="str">
        <f t="shared" si="18"/>
        <v>UNEMPLOYMENT/QTR END 06/30/19</v>
      </c>
    </row>
    <row r="1189" spans="1:8" x14ac:dyDescent="0.25">
      <c r="E1189" s="1" t="str">
        <f>""</f>
        <v/>
      </c>
      <c r="F1189" s="1" t="str">
        <f>""</f>
        <v/>
      </c>
      <c r="H1189" s="1" t="str">
        <f t="shared" si="18"/>
        <v>UNEMPLOYMENT/QTR END 06/30/19</v>
      </c>
    </row>
    <row r="1190" spans="1:8" x14ac:dyDescent="0.25">
      <c r="E1190" s="1" t="str">
        <f>""</f>
        <v/>
      </c>
      <c r="F1190" s="1" t="str">
        <f>""</f>
        <v/>
      </c>
      <c r="H1190" s="1" t="str">
        <f t="shared" si="18"/>
        <v>UNEMPLOYMENT/QTR END 06/30/19</v>
      </c>
    </row>
    <row r="1191" spans="1:8" x14ac:dyDescent="0.25">
      <c r="E1191" s="1" t="str">
        <f>""</f>
        <v/>
      </c>
      <c r="F1191" s="1" t="str">
        <f>""</f>
        <v/>
      </c>
      <c r="H1191" s="1" t="str">
        <f t="shared" si="18"/>
        <v>UNEMPLOYMENT/QTR END 06/30/19</v>
      </c>
    </row>
    <row r="1192" spans="1:8" x14ac:dyDescent="0.25">
      <c r="E1192" s="1" t="str">
        <f>""</f>
        <v/>
      </c>
      <c r="F1192" s="1" t="str">
        <f>""</f>
        <v/>
      </c>
      <c r="H1192" s="1" t="str">
        <f t="shared" si="18"/>
        <v>UNEMPLOYMENT/QTR END 06/30/19</v>
      </c>
    </row>
    <row r="1193" spans="1:8" x14ac:dyDescent="0.25">
      <c r="E1193" s="1" t="str">
        <f>""</f>
        <v/>
      </c>
      <c r="F1193" s="1" t="str">
        <f>""</f>
        <v/>
      </c>
      <c r="H1193" s="1" t="str">
        <f t="shared" si="18"/>
        <v>UNEMPLOYMENT/QTR END 06/30/19</v>
      </c>
    </row>
    <row r="1194" spans="1:8" x14ac:dyDescent="0.25">
      <c r="E1194" s="1" t="str">
        <f>""</f>
        <v/>
      </c>
      <c r="F1194" s="1" t="str">
        <f>""</f>
        <v/>
      </c>
      <c r="H1194" s="1" t="str">
        <f t="shared" si="18"/>
        <v>UNEMPLOYMENT/QTR END 06/30/19</v>
      </c>
    </row>
    <row r="1195" spans="1:8" x14ac:dyDescent="0.25">
      <c r="E1195" s="1" t="str">
        <f>""</f>
        <v/>
      </c>
      <c r="F1195" s="1" t="str">
        <f>""</f>
        <v/>
      </c>
      <c r="H1195" s="1" t="str">
        <f t="shared" si="18"/>
        <v>UNEMPLOYMENT/QTR END 06/30/19</v>
      </c>
    </row>
    <row r="1196" spans="1:8" x14ac:dyDescent="0.25">
      <c r="A1196" s="1" t="s">
        <v>427</v>
      </c>
      <c r="B1196" s="1">
        <v>83017</v>
      </c>
      <c r="C1196" s="3">
        <v>1498.1</v>
      </c>
      <c r="D1196" s="2">
        <v>43655</v>
      </c>
      <c r="E1196" s="1" t="str">
        <f>"DP-2019-1-0110"</f>
        <v>DP-2019-1-0110</v>
      </c>
      <c r="F1196" s="1" t="str">
        <f>"UNEMPLOYMENT DEFICIT 1ST-2019"</f>
        <v>UNEMPLOYMENT DEFICIT 1ST-2019</v>
      </c>
      <c r="G1196" s="3">
        <v>1498.1</v>
      </c>
      <c r="H1196" s="1" t="str">
        <f t="shared" ref="H1196:H1233" si="19">"UNEMPLOYMENT DEFICIT 1ST-2019"</f>
        <v>UNEMPLOYMENT DEFICIT 1ST-2019</v>
      </c>
    </row>
    <row r="1197" spans="1:8" x14ac:dyDescent="0.25">
      <c r="E1197" s="1" t="str">
        <f>""</f>
        <v/>
      </c>
      <c r="F1197" s="1" t="str">
        <f>""</f>
        <v/>
      </c>
      <c r="H1197" s="1" t="str">
        <f t="shared" si="19"/>
        <v>UNEMPLOYMENT DEFICIT 1ST-2019</v>
      </c>
    </row>
    <row r="1198" spans="1:8" x14ac:dyDescent="0.25">
      <c r="E1198" s="1" t="str">
        <f>""</f>
        <v/>
      </c>
      <c r="F1198" s="1" t="str">
        <f>""</f>
        <v/>
      </c>
      <c r="H1198" s="1" t="str">
        <f t="shared" si="19"/>
        <v>UNEMPLOYMENT DEFICIT 1ST-2019</v>
      </c>
    </row>
    <row r="1199" spans="1:8" x14ac:dyDescent="0.25">
      <c r="E1199" s="1" t="str">
        <f>""</f>
        <v/>
      </c>
      <c r="F1199" s="1" t="str">
        <f>""</f>
        <v/>
      </c>
      <c r="H1199" s="1" t="str">
        <f t="shared" si="19"/>
        <v>UNEMPLOYMENT DEFICIT 1ST-2019</v>
      </c>
    </row>
    <row r="1200" spans="1:8" x14ac:dyDescent="0.25">
      <c r="E1200" s="1" t="str">
        <f>""</f>
        <v/>
      </c>
      <c r="F1200" s="1" t="str">
        <f>""</f>
        <v/>
      </c>
      <c r="H1200" s="1" t="str">
        <f t="shared" si="19"/>
        <v>UNEMPLOYMENT DEFICIT 1ST-2019</v>
      </c>
    </row>
    <row r="1201" spans="5:8" x14ac:dyDescent="0.25">
      <c r="E1201" s="1" t="str">
        <f>""</f>
        <v/>
      </c>
      <c r="F1201" s="1" t="str">
        <f>""</f>
        <v/>
      </c>
      <c r="H1201" s="1" t="str">
        <f t="shared" si="19"/>
        <v>UNEMPLOYMENT DEFICIT 1ST-2019</v>
      </c>
    </row>
    <row r="1202" spans="5:8" x14ac:dyDescent="0.25">
      <c r="E1202" s="1" t="str">
        <f>""</f>
        <v/>
      </c>
      <c r="F1202" s="1" t="str">
        <f>""</f>
        <v/>
      </c>
      <c r="H1202" s="1" t="str">
        <f t="shared" si="19"/>
        <v>UNEMPLOYMENT DEFICIT 1ST-2019</v>
      </c>
    </row>
    <row r="1203" spans="5:8" x14ac:dyDescent="0.25">
      <c r="E1203" s="1" t="str">
        <f>""</f>
        <v/>
      </c>
      <c r="F1203" s="1" t="str">
        <f>""</f>
        <v/>
      </c>
      <c r="H1203" s="1" t="str">
        <f t="shared" si="19"/>
        <v>UNEMPLOYMENT DEFICIT 1ST-2019</v>
      </c>
    </row>
    <row r="1204" spans="5:8" x14ac:dyDescent="0.25">
      <c r="E1204" s="1" t="str">
        <f>""</f>
        <v/>
      </c>
      <c r="F1204" s="1" t="str">
        <f>""</f>
        <v/>
      </c>
      <c r="H1204" s="1" t="str">
        <f t="shared" si="19"/>
        <v>UNEMPLOYMENT DEFICIT 1ST-2019</v>
      </c>
    </row>
    <row r="1205" spans="5:8" x14ac:dyDescent="0.25">
      <c r="E1205" s="1" t="str">
        <f>""</f>
        <v/>
      </c>
      <c r="F1205" s="1" t="str">
        <f>""</f>
        <v/>
      </c>
      <c r="H1205" s="1" t="str">
        <f t="shared" si="19"/>
        <v>UNEMPLOYMENT DEFICIT 1ST-2019</v>
      </c>
    </row>
    <row r="1206" spans="5:8" x14ac:dyDescent="0.25">
      <c r="E1206" s="1" t="str">
        <f>""</f>
        <v/>
      </c>
      <c r="F1206" s="1" t="str">
        <f>""</f>
        <v/>
      </c>
      <c r="H1206" s="1" t="str">
        <f t="shared" si="19"/>
        <v>UNEMPLOYMENT DEFICIT 1ST-2019</v>
      </c>
    </row>
    <row r="1207" spans="5:8" x14ac:dyDescent="0.25">
      <c r="E1207" s="1" t="str">
        <f>""</f>
        <v/>
      </c>
      <c r="F1207" s="1" t="str">
        <f>""</f>
        <v/>
      </c>
      <c r="H1207" s="1" t="str">
        <f t="shared" si="19"/>
        <v>UNEMPLOYMENT DEFICIT 1ST-2019</v>
      </c>
    </row>
    <row r="1208" spans="5:8" x14ac:dyDescent="0.25">
      <c r="E1208" s="1" t="str">
        <f>""</f>
        <v/>
      </c>
      <c r="F1208" s="1" t="str">
        <f>""</f>
        <v/>
      </c>
      <c r="H1208" s="1" t="str">
        <f t="shared" si="19"/>
        <v>UNEMPLOYMENT DEFICIT 1ST-2019</v>
      </c>
    </row>
    <row r="1209" spans="5:8" x14ac:dyDescent="0.25">
      <c r="E1209" s="1" t="str">
        <f>""</f>
        <v/>
      </c>
      <c r="F1209" s="1" t="str">
        <f>""</f>
        <v/>
      </c>
      <c r="H1209" s="1" t="str">
        <f t="shared" si="19"/>
        <v>UNEMPLOYMENT DEFICIT 1ST-2019</v>
      </c>
    </row>
    <row r="1210" spans="5:8" x14ac:dyDescent="0.25">
      <c r="E1210" s="1" t="str">
        <f>""</f>
        <v/>
      </c>
      <c r="F1210" s="1" t="str">
        <f>""</f>
        <v/>
      </c>
      <c r="H1210" s="1" t="str">
        <f t="shared" si="19"/>
        <v>UNEMPLOYMENT DEFICIT 1ST-2019</v>
      </c>
    </row>
    <row r="1211" spans="5:8" x14ac:dyDescent="0.25">
      <c r="E1211" s="1" t="str">
        <f>""</f>
        <v/>
      </c>
      <c r="F1211" s="1" t="str">
        <f>""</f>
        <v/>
      </c>
      <c r="H1211" s="1" t="str">
        <f t="shared" si="19"/>
        <v>UNEMPLOYMENT DEFICIT 1ST-2019</v>
      </c>
    </row>
    <row r="1212" spans="5:8" x14ac:dyDescent="0.25">
      <c r="E1212" s="1" t="str">
        <f>""</f>
        <v/>
      </c>
      <c r="F1212" s="1" t="str">
        <f>""</f>
        <v/>
      </c>
      <c r="H1212" s="1" t="str">
        <f t="shared" si="19"/>
        <v>UNEMPLOYMENT DEFICIT 1ST-2019</v>
      </c>
    </row>
    <row r="1213" spans="5:8" x14ac:dyDescent="0.25">
      <c r="E1213" s="1" t="str">
        <f>""</f>
        <v/>
      </c>
      <c r="F1213" s="1" t="str">
        <f>""</f>
        <v/>
      </c>
      <c r="H1213" s="1" t="str">
        <f t="shared" si="19"/>
        <v>UNEMPLOYMENT DEFICIT 1ST-2019</v>
      </c>
    </row>
    <row r="1214" spans="5:8" x14ac:dyDescent="0.25">
      <c r="E1214" s="1" t="str">
        <f>""</f>
        <v/>
      </c>
      <c r="F1214" s="1" t="str">
        <f>""</f>
        <v/>
      </c>
      <c r="H1214" s="1" t="str">
        <f t="shared" si="19"/>
        <v>UNEMPLOYMENT DEFICIT 1ST-2019</v>
      </c>
    </row>
    <row r="1215" spans="5:8" x14ac:dyDescent="0.25">
      <c r="E1215" s="1" t="str">
        <f>""</f>
        <v/>
      </c>
      <c r="F1215" s="1" t="str">
        <f>""</f>
        <v/>
      </c>
      <c r="H1215" s="1" t="str">
        <f t="shared" si="19"/>
        <v>UNEMPLOYMENT DEFICIT 1ST-2019</v>
      </c>
    </row>
    <row r="1216" spans="5:8" x14ac:dyDescent="0.25">
      <c r="E1216" s="1" t="str">
        <f>""</f>
        <v/>
      </c>
      <c r="F1216" s="1" t="str">
        <f>""</f>
        <v/>
      </c>
      <c r="H1216" s="1" t="str">
        <f t="shared" si="19"/>
        <v>UNEMPLOYMENT DEFICIT 1ST-2019</v>
      </c>
    </row>
    <row r="1217" spans="5:8" x14ac:dyDescent="0.25">
      <c r="E1217" s="1" t="str">
        <f>""</f>
        <v/>
      </c>
      <c r="F1217" s="1" t="str">
        <f>""</f>
        <v/>
      </c>
      <c r="H1217" s="1" t="str">
        <f t="shared" si="19"/>
        <v>UNEMPLOYMENT DEFICIT 1ST-2019</v>
      </c>
    </row>
    <row r="1218" spans="5:8" x14ac:dyDescent="0.25">
      <c r="E1218" s="1" t="str">
        <f>""</f>
        <v/>
      </c>
      <c r="F1218" s="1" t="str">
        <f>""</f>
        <v/>
      </c>
      <c r="H1218" s="1" t="str">
        <f t="shared" si="19"/>
        <v>UNEMPLOYMENT DEFICIT 1ST-2019</v>
      </c>
    </row>
    <row r="1219" spans="5:8" x14ac:dyDescent="0.25">
      <c r="E1219" s="1" t="str">
        <f>""</f>
        <v/>
      </c>
      <c r="F1219" s="1" t="str">
        <f>""</f>
        <v/>
      </c>
      <c r="H1219" s="1" t="str">
        <f t="shared" si="19"/>
        <v>UNEMPLOYMENT DEFICIT 1ST-2019</v>
      </c>
    </row>
    <row r="1220" spans="5:8" x14ac:dyDescent="0.25">
      <c r="E1220" s="1" t="str">
        <f>""</f>
        <v/>
      </c>
      <c r="F1220" s="1" t="str">
        <f>""</f>
        <v/>
      </c>
      <c r="H1220" s="1" t="str">
        <f t="shared" si="19"/>
        <v>UNEMPLOYMENT DEFICIT 1ST-2019</v>
      </c>
    </row>
    <row r="1221" spans="5:8" x14ac:dyDescent="0.25">
      <c r="E1221" s="1" t="str">
        <f>""</f>
        <v/>
      </c>
      <c r="F1221" s="1" t="str">
        <f>""</f>
        <v/>
      </c>
      <c r="H1221" s="1" t="str">
        <f t="shared" si="19"/>
        <v>UNEMPLOYMENT DEFICIT 1ST-2019</v>
      </c>
    </row>
    <row r="1222" spans="5:8" x14ac:dyDescent="0.25">
      <c r="E1222" s="1" t="str">
        <f>""</f>
        <v/>
      </c>
      <c r="F1222" s="1" t="str">
        <f>""</f>
        <v/>
      </c>
      <c r="H1222" s="1" t="str">
        <f t="shared" si="19"/>
        <v>UNEMPLOYMENT DEFICIT 1ST-2019</v>
      </c>
    </row>
    <row r="1223" spans="5:8" x14ac:dyDescent="0.25">
      <c r="E1223" s="1" t="str">
        <f>""</f>
        <v/>
      </c>
      <c r="F1223" s="1" t="str">
        <f>""</f>
        <v/>
      </c>
      <c r="H1223" s="1" t="str">
        <f t="shared" si="19"/>
        <v>UNEMPLOYMENT DEFICIT 1ST-2019</v>
      </c>
    </row>
    <row r="1224" spans="5:8" x14ac:dyDescent="0.25">
      <c r="E1224" s="1" t="str">
        <f>""</f>
        <v/>
      </c>
      <c r="F1224" s="1" t="str">
        <f>""</f>
        <v/>
      </c>
      <c r="H1224" s="1" t="str">
        <f t="shared" si="19"/>
        <v>UNEMPLOYMENT DEFICIT 1ST-2019</v>
      </c>
    </row>
    <row r="1225" spans="5:8" x14ac:dyDescent="0.25">
      <c r="E1225" s="1" t="str">
        <f>""</f>
        <v/>
      </c>
      <c r="F1225" s="1" t="str">
        <f>""</f>
        <v/>
      </c>
      <c r="H1225" s="1" t="str">
        <f t="shared" si="19"/>
        <v>UNEMPLOYMENT DEFICIT 1ST-2019</v>
      </c>
    </row>
    <row r="1226" spans="5:8" x14ac:dyDescent="0.25">
      <c r="E1226" s="1" t="str">
        <f>""</f>
        <v/>
      </c>
      <c r="F1226" s="1" t="str">
        <f>""</f>
        <v/>
      </c>
      <c r="H1226" s="1" t="str">
        <f t="shared" si="19"/>
        <v>UNEMPLOYMENT DEFICIT 1ST-2019</v>
      </c>
    </row>
    <row r="1227" spans="5:8" x14ac:dyDescent="0.25">
      <c r="E1227" s="1" t="str">
        <f>""</f>
        <v/>
      </c>
      <c r="F1227" s="1" t="str">
        <f>""</f>
        <v/>
      </c>
      <c r="H1227" s="1" t="str">
        <f t="shared" si="19"/>
        <v>UNEMPLOYMENT DEFICIT 1ST-2019</v>
      </c>
    </row>
    <row r="1228" spans="5:8" x14ac:dyDescent="0.25">
      <c r="E1228" s="1" t="str">
        <f>""</f>
        <v/>
      </c>
      <c r="F1228" s="1" t="str">
        <f>""</f>
        <v/>
      </c>
      <c r="H1228" s="1" t="str">
        <f t="shared" si="19"/>
        <v>UNEMPLOYMENT DEFICIT 1ST-2019</v>
      </c>
    </row>
    <row r="1229" spans="5:8" x14ac:dyDescent="0.25">
      <c r="E1229" s="1" t="str">
        <f>""</f>
        <v/>
      </c>
      <c r="F1229" s="1" t="str">
        <f>""</f>
        <v/>
      </c>
      <c r="H1229" s="1" t="str">
        <f t="shared" si="19"/>
        <v>UNEMPLOYMENT DEFICIT 1ST-2019</v>
      </c>
    </row>
    <row r="1230" spans="5:8" x14ac:dyDescent="0.25">
      <c r="E1230" s="1" t="str">
        <f>""</f>
        <v/>
      </c>
      <c r="F1230" s="1" t="str">
        <f>""</f>
        <v/>
      </c>
      <c r="H1230" s="1" t="str">
        <f t="shared" si="19"/>
        <v>UNEMPLOYMENT DEFICIT 1ST-2019</v>
      </c>
    </row>
    <row r="1231" spans="5:8" x14ac:dyDescent="0.25">
      <c r="E1231" s="1" t="str">
        <f>""</f>
        <v/>
      </c>
      <c r="F1231" s="1" t="str">
        <f>""</f>
        <v/>
      </c>
      <c r="H1231" s="1" t="str">
        <f t="shared" si="19"/>
        <v>UNEMPLOYMENT DEFICIT 1ST-2019</v>
      </c>
    </row>
    <row r="1232" spans="5:8" x14ac:dyDescent="0.25">
      <c r="E1232" s="1" t="str">
        <f>""</f>
        <v/>
      </c>
      <c r="F1232" s="1" t="str">
        <f>""</f>
        <v/>
      </c>
      <c r="H1232" s="1" t="str">
        <f t="shared" si="19"/>
        <v>UNEMPLOYMENT DEFICIT 1ST-2019</v>
      </c>
    </row>
    <row r="1233" spans="1:8" x14ac:dyDescent="0.25">
      <c r="E1233" s="1" t="str">
        <f>""</f>
        <v/>
      </c>
      <c r="F1233" s="1" t="str">
        <f>""</f>
        <v/>
      </c>
      <c r="H1233" s="1" t="str">
        <f t="shared" si="19"/>
        <v>UNEMPLOYMENT DEFICIT 1ST-2019</v>
      </c>
    </row>
    <row r="1234" spans="1:8" x14ac:dyDescent="0.25">
      <c r="A1234" s="1" t="s">
        <v>428</v>
      </c>
      <c r="B1234" s="1">
        <v>83239</v>
      </c>
      <c r="C1234" s="3">
        <v>75</v>
      </c>
      <c r="D1234" s="2">
        <v>43668</v>
      </c>
      <c r="E1234" s="1" t="str">
        <f>"00934"</f>
        <v>00934</v>
      </c>
      <c r="F1234" s="1" t="str">
        <f>"MEMBR RENEWAL-DEBORAH SHIROCKY"</f>
        <v>MEMBR RENEWAL-DEBORAH SHIROCKY</v>
      </c>
      <c r="G1234" s="3">
        <v>75</v>
      </c>
      <c r="H1234" s="1" t="str">
        <f>"MEMBR RENEWAL-DEBORAH SHIROCKY"</f>
        <v>MEMBR RENEWAL-DEBORAH SHIROCKY</v>
      </c>
    </row>
    <row r="1235" spans="1:8" x14ac:dyDescent="0.25">
      <c r="A1235" s="1" t="s">
        <v>427</v>
      </c>
      <c r="B1235" s="1">
        <v>83240</v>
      </c>
      <c r="C1235" s="3">
        <v>125</v>
      </c>
      <c r="D1235" s="2">
        <v>43668</v>
      </c>
      <c r="E1235" s="1" t="str">
        <f>"231974"</f>
        <v>231974</v>
      </c>
      <c r="F1235" s="1" t="str">
        <f>"MEMBERSHIP DUES-SARAH LOUCKS"</f>
        <v>MEMBERSHIP DUES-SARAH LOUCKS</v>
      </c>
      <c r="G1235" s="3">
        <v>125</v>
      </c>
      <c r="H1235" s="1" t="str">
        <f>"MEMBERSHIP DUES-SARAH LOUCKS"</f>
        <v>MEMBERSHIP DUES-SARAH LOUCKS</v>
      </c>
    </row>
    <row r="1236" spans="1:8" x14ac:dyDescent="0.25">
      <c r="A1236" s="1" t="s">
        <v>429</v>
      </c>
      <c r="B1236" s="1">
        <v>83241</v>
      </c>
      <c r="C1236" s="3">
        <v>500</v>
      </c>
      <c r="D1236" s="2">
        <v>43668</v>
      </c>
      <c r="E1236" s="1" t="str">
        <f>"10531"</f>
        <v>10531</v>
      </c>
      <c r="F1236" s="1" t="str">
        <f>"2019 CONFERENCE-ADENA LEWIS"</f>
        <v>2019 CONFERENCE-ADENA LEWIS</v>
      </c>
      <c r="G1236" s="3">
        <v>500</v>
      </c>
      <c r="H1236" s="1" t="str">
        <f>"2019 CONFERENCE-ADENA LEWIS"</f>
        <v>2019 CONFERENCE-ADENA LEWIS</v>
      </c>
    </row>
    <row r="1237" spans="1:8" x14ac:dyDescent="0.25">
      <c r="A1237" s="1" t="s">
        <v>430</v>
      </c>
      <c r="B1237" s="1">
        <v>82976</v>
      </c>
      <c r="C1237" s="3">
        <v>1035</v>
      </c>
      <c r="D1237" s="2">
        <v>43654</v>
      </c>
      <c r="E1237" s="1" t="str">
        <f>"3091"</f>
        <v>3091</v>
      </c>
      <c r="F1237" s="1" t="str">
        <f>"INV 3091"</f>
        <v>INV 3091</v>
      </c>
      <c r="G1237" s="3">
        <v>1035</v>
      </c>
      <c r="H1237" s="1" t="str">
        <f>"INV 3091"</f>
        <v>INV 3091</v>
      </c>
    </row>
    <row r="1238" spans="1:8" x14ac:dyDescent="0.25">
      <c r="A1238" s="1" t="s">
        <v>431</v>
      </c>
      <c r="B1238" s="1">
        <v>83242</v>
      </c>
      <c r="C1238" s="3">
        <v>1460</v>
      </c>
      <c r="D1238" s="2">
        <v>43668</v>
      </c>
      <c r="E1238" s="1" t="str">
        <f>"201907170596"</f>
        <v>201907170596</v>
      </c>
      <c r="F1238" s="1" t="str">
        <f>"TRAINING"</f>
        <v>TRAINING</v>
      </c>
      <c r="G1238" s="3">
        <v>1460</v>
      </c>
      <c r="H1238" s="1" t="str">
        <f>"TRAINING J DAVENPORT"</f>
        <v>TRAINING J DAVENPORT</v>
      </c>
    </row>
    <row r="1239" spans="1:8" x14ac:dyDescent="0.25">
      <c r="E1239" s="1" t="str">
        <f>""</f>
        <v/>
      </c>
      <c r="F1239" s="1" t="str">
        <f>""</f>
        <v/>
      </c>
      <c r="H1239" s="1" t="str">
        <f>"TRAINING R MCMILLAN"</f>
        <v>TRAINING R MCMILLAN</v>
      </c>
    </row>
    <row r="1240" spans="1:8" x14ac:dyDescent="0.25">
      <c r="E1240" s="1" t="str">
        <f>""</f>
        <v/>
      </c>
      <c r="F1240" s="1" t="str">
        <f>""</f>
        <v/>
      </c>
      <c r="H1240" s="1" t="str">
        <f>"TRAINING A BERGER"</f>
        <v>TRAINING A BERGER</v>
      </c>
    </row>
    <row r="1241" spans="1:8" x14ac:dyDescent="0.25">
      <c r="E1241" s="1" t="str">
        <f>""</f>
        <v/>
      </c>
      <c r="F1241" s="1" t="str">
        <f>""</f>
        <v/>
      </c>
      <c r="H1241" s="1" t="str">
        <f>"TRAINING M PANZINO"</f>
        <v>TRAINING M PANZINO</v>
      </c>
    </row>
    <row r="1242" spans="1:8" x14ac:dyDescent="0.25">
      <c r="A1242" s="1" t="s">
        <v>432</v>
      </c>
      <c r="B1242" s="1">
        <v>82977</v>
      </c>
      <c r="C1242" s="3">
        <v>3026</v>
      </c>
      <c r="D1242" s="2">
        <v>43654</v>
      </c>
      <c r="E1242" s="1" t="str">
        <f>"1CO-0072-19"</f>
        <v>1CO-0072-19</v>
      </c>
      <c r="F1242" s="1" t="str">
        <f>"A8286601 - S. GARRETSON"</f>
        <v>A8286601 - S. GARRETSON</v>
      </c>
      <c r="G1242" s="3">
        <v>157.25</v>
      </c>
      <c r="H1242" s="1" t="str">
        <f>"A8286601 - S. GARRETSON"</f>
        <v>A8286601 - S. GARRETSON</v>
      </c>
    </row>
    <row r="1243" spans="1:8" x14ac:dyDescent="0.25">
      <c r="E1243" s="1" t="str">
        <f>"1CO-0196-18"</f>
        <v>1CO-0196-18</v>
      </c>
      <c r="F1243" s="1" t="str">
        <f>"A8243951 - P. SCHULTE"</f>
        <v>A8243951 - P. SCHULTE</v>
      </c>
      <c r="G1243" s="3">
        <v>157.25</v>
      </c>
      <c r="H1243" s="1" t="str">
        <f>"A8243951 - P. SCHULTE"</f>
        <v>A8243951 - P. SCHULTE</v>
      </c>
    </row>
    <row r="1244" spans="1:8" x14ac:dyDescent="0.25">
      <c r="E1244" s="1" t="str">
        <f>"J2-46099"</f>
        <v>J2-46099</v>
      </c>
      <c r="F1244" s="1" t="str">
        <f>"A8210908-A. HARBORTH"</f>
        <v>A8210908-A. HARBORTH</v>
      </c>
      <c r="G1244" s="3">
        <v>157.25</v>
      </c>
      <c r="H1244" s="1" t="str">
        <f>"A8210908-A. HARBORTH"</f>
        <v>A8210908-A. HARBORTH</v>
      </c>
    </row>
    <row r="1245" spans="1:8" x14ac:dyDescent="0.25">
      <c r="E1245" s="1" t="str">
        <f>"J2-54327"</f>
        <v>J2-54327</v>
      </c>
      <c r="F1245" s="1" t="str">
        <f>"A13381-J. ALVARADO-PEREZ"</f>
        <v>A13381-J. ALVARADO-PEREZ</v>
      </c>
      <c r="G1245" s="3">
        <v>114.75</v>
      </c>
      <c r="H1245" s="1" t="str">
        <f>"A13381-J. ALVARADO-PEREZ"</f>
        <v>A13381-J. ALVARADO-PEREZ</v>
      </c>
    </row>
    <row r="1246" spans="1:8" x14ac:dyDescent="0.25">
      <c r="E1246" s="1" t="str">
        <f>"J2-54328"</f>
        <v>J2-54328</v>
      </c>
      <c r="F1246" s="1" t="str">
        <f>"A13381-J. ALVARADO-PEREZ"</f>
        <v>A13381-J. ALVARADO-PEREZ</v>
      </c>
      <c r="G1246" s="3">
        <v>170</v>
      </c>
      <c r="H1246" s="1" t="str">
        <f>"A13381-J. ALVARADO-PEREZ"</f>
        <v>A13381-J. ALVARADO-PEREZ</v>
      </c>
    </row>
    <row r="1247" spans="1:8" x14ac:dyDescent="0.25">
      <c r="E1247" s="1" t="str">
        <f>"J2-55061"</f>
        <v>J2-55061</v>
      </c>
      <c r="F1247" s="1" t="str">
        <f>"A8210966-S. PADILLA-LUNA"</f>
        <v>A8210966-S. PADILLA-LUNA</v>
      </c>
      <c r="G1247" s="3">
        <v>114.75</v>
      </c>
      <c r="H1247" s="1" t="str">
        <f>"A8210966-S. PADILLA-LUNA"</f>
        <v>A8210966-S. PADILLA-LUNA</v>
      </c>
    </row>
    <row r="1248" spans="1:8" x14ac:dyDescent="0.25">
      <c r="E1248" s="1" t="str">
        <f>"J2-55451"</f>
        <v>J2-55451</v>
      </c>
      <c r="F1248" s="1" t="str">
        <f>"A13314-R. JIMENEZ"</f>
        <v>A13314-R. JIMENEZ</v>
      </c>
      <c r="G1248" s="3">
        <v>114.75</v>
      </c>
      <c r="H1248" s="1" t="str">
        <f>"A13314-R. JIMENEZ"</f>
        <v>A13314-R. JIMENEZ</v>
      </c>
    </row>
    <row r="1249" spans="5:8" x14ac:dyDescent="0.25">
      <c r="E1249" s="1" t="str">
        <f>"J2-55935"</f>
        <v>J2-55935</v>
      </c>
      <c r="F1249" s="1" t="str">
        <f>"A12228-C. CURTIS"</f>
        <v>A12228-C. CURTIS</v>
      </c>
      <c r="G1249" s="3">
        <v>114.75</v>
      </c>
      <c r="H1249" s="1" t="str">
        <f>"A12228-C. CURTIS"</f>
        <v>A12228-C. CURTIS</v>
      </c>
    </row>
    <row r="1250" spans="5:8" x14ac:dyDescent="0.25">
      <c r="E1250" s="1" t="str">
        <f>"J2-56258"</f>
        <v>J2-56258</v>
      </c>
      <c r="F1250" s="1" t="str">
        <f>"A8270966-M. RUSSELL"</f>
        <v>A8270966-M. RUSSELL</v>
      </c>
      <c r="G1250" s="3">
        <v>114.75</v>
      </c>
      <c r="H1250" s="1" t="str">
        <f>"A8270966-M. RUSSELL"</f>
        <v>A8270966-M. RUSSELL</v>
      </c>
    </row>
    <row r="1251" spans="5:8" x14ac:dyDescent="0.25">
      <c r="E1251" s="1" t="str">
        <f>"J2-56883"</f>
        <v>J2-56883</v>
      </c>
      <c r="F1251" s="1" t="str">
        <f>"A8207056-J. MARTINEZ"</f>
        <v>A8207056-J. MARTINEZ</v>
      </c>
      <c r="G1251" s="3">
        <v>114.75</v>
      </c>
      <c r="H1251" s="1" t="str">
        <f>"A8207056-J. MARTINEZ"</f>
        <v>A8207056-J. MARTINEZ</v>
      </c>
    </row>
    <row r="1252" spans="5:8" x14ac:dyDescent="0.25">
      <c r="E1252" s="1" t="str">
        <f>"J2-59553"</f>
        <v>J2-59553</v>
      </c>
      <c r="F1252" s="1" t="str">
        <f>"A16110-L. APREZA-RENDON"</f>
        <v>A16110-L. APREZA-RENDON</v>
      </c>
      <c r="G1252" s="3">
        <v>114.75</v>
      </c>
      <c r="H1252" s="1" t="str">
        <f>"A16110-L. APREZA-RENDON"</f>
        <v>A16110-L. APREZA-RENDON</v>
      </c>
    </row>
    <row r="1253" spans="5:8" x14ac:dyDescent="0.25">
      <c r="E1253" s="1" t="str">
        <f>"J2-59781"</f>
        <v>J2-59781</v>
      </c>
      <c r="F1253" s="1" t="str">
        <f>"A16123-W.A. JUAREZ-GUADALUPE"</f>
        <v>A16123-W.A. JUAREZ-GUADALUPE</v>
      </c>
      <c r="G1253" s="3">
        <v>157.25</v>
      </c>
      <c r="H1253" s="1" t="str">
        <f>"A16123-W.A. JUAREZ-GUADALUPE"</f>
        <v>A16123-W.A. JUAREZ-GUADALUPE</v>
      </c>
    </row>
    <row r="1254" spans="5:8" x14ac:dyDescent="0.25">
      <c r="E1254" s="1" t="str">
        <f>"J2-59909"</f>
        <v>J2-59909</v>
      </c>
      <c r="F1254" s="1" t="str">
        <f>"A8271087-V. SOLORZANO"</f>
        <v>A8271087-V. SOLORZANO</v>
      </c>
      <c r="G1254" s="3">
        <v>80.75</v>
      </c>
      <c r="H1254" s="1" t="str">
        <f>"A8271087-V. SOLORZANO"</f>
        <v>A8271087-V. SOLORZANO</v>
      </c>
    </row>
    <row r="1255" spans="5:8" x14ac:dyDescent="0.25">
      <c r="E1255" s="1" t="str">
        <f>"J2-60322"</f>
        <v>J2-60322</v>
      </c>
      <c r="F1255" s="1" t="str">
        <f>"A-16125-D.A. GARCIA MARTINEZ"</f>
        <v>A-16125-D.A. GARCIA MARTINEZ</v>
      </c>
      <c r="G1255" s="3">
        <v>157.25</v>
      </c>
      <c r="H1255" s="1" t="str">
        <f>"A-16125-D.A. GARCIA MARTINEZ"</f>
        <v>A-16125-D.A. GARCIA MARTINEZ</v>
      </c>
    </row>
    <row r="1256" spans="5:8" x14ac:dyDescent="0.25">
      <c r="E1256" s="1" t="str">
        <f>"J2-62850"</f>
        <v>J2-62850</v>
      </c>
      <c r="F1256" s="1" t="str">
        <f>"A8258532-S. WAGNER"</f>
        <v>A8258532-S. WAGNER</v>
      </c>
      <c r="G1256" s="3">
        <v>114.75</v>
      </c>
      <c r="H1256" s="1" t="str">
        <f>"A8258532-S. WAGNER"</f>
        <v>A8258532-S. WAGNER</v>
      </c>
    </row>
    <row r="1257" spans="5:8" x14ac:dyDescent="0.25">
      <c r="E1257" s="1" t="str">
        <f>"J2-62851"</f>
        <v>J2-62851</v>
      </c>
      <c r="F1257" s="1" t="str">
        <f>"A8258532-S. WAGNER"</f>
        <v>A8258532-S. WAGNER</v>
      </c>
      <c r="G1257" s="3">
        <v>114.75</v>
      </c>
      <c r="H1257" s="1" t="str">
        <f>"A8258532-S. WAGNER"</f>
        <v>A8258532-S. WAGNER</v>
      </c>
    </row>
    <row r="1258" spans="5:8" x14ac:dyDescent="0.25">
      <c r="E1258" s="1" t="str">
        <f>"J2-63103"</f>
        <v>J2-63103</v>
      </c>
      <c r="F1258" s="1" t="str">
        <f>"A8303644-C. OESIRICH"</f>
        <v>A8303644-C. OESIRICH</v>
      </c>
      <c r="G1258" s="3">
        <v>114.75</v>
      </c>
      <c r="H1258" s="1" t="str">
        <f>"A8303644-C. OESIRICH"</f>
        <v>A8303644-C. OESIRICH</v>
      </c>
    </row>
    <row r="1259" spans="5:8" x14ac:dyDescent="0.25">
      <c r="E1259" s="1" t="str">
        <f>"J2-63104"</f>
        <v>J2-63104</v>
      </c>
      <c r="F1259" s="1" t="str">
        <f>"A8303644-C. OESIRICH"</f>
        <v>A8303644-C. OESIRICH</v>
      </c>
      <c r="G1259" s="3">
        <v>114.75</v>
      </c>
      <c r="H1259" s="1" t="str">
        <f>"A8303644-C. OESIRICH"</f>
        <v>A8303644-C. OESIRICH</v>
      </c>
    </row>
    <row r="1260" spans="5:8" x14ac:dyDescent="0.25">
      <c r="E1260" s="1" t="str">
        <f>"J2-63136"</f>
        <v>J2-63136</v>
      </c>
      <c r="F1260" s="1" t="str">
        <f>"A13274-G.L. HARRIS"</f>
        <v>A13274-G.L. HARRIS</v>
      </c>
      <c r="G1260" s="3">
        <v>170</v>
      </c>
      <c r="H1260" s="1" t="str">
        <f>"A13274-G.L. HARRIS"</f>
        <v>A13274-G.L. HARRIS</v>
      </c>
    </row>
    <row r="1261" spans="5:8" x14ac:dyDescent="0.25">
      <c r="E1261" s="1" t="str">
        <f>"J2-63138"</f>
        <v>J2-63138</v>
      </c>
      <c r="F1261" s="1" t="str">
        <f>"A13275-C.W. BENLEY"</f>
        <v>A13275-C.W. BENLEY</v>
      </c>
      <c r="G1261" s="3">
        <v>170</v>
      </c>
      <c r="H1261" s="1" t="str">
        <f>"A13275-C.W. BENLEY"</f>
        <v>A13275-C.W. BENLEY</v>
      </c>
    </row>
    <row r="1262" spans="5:8" x14ac:dyDescent="0.25">
      <c r="E1262" s="1" t="str">
        <f>"J2-63545"</f>
        <v>J2-63545</v>
      </c>
      <c r="F1262" s="1" t="str">
        <f>"A-16209-G. SALINAS"</f>
        <v>A-16209-G. SALINAS</v>
      </c>
      <c r="G1262" s="3">
        <v>114.75</v>
      </c>
      <c r="H1262" s="1" t="str">
        <f>"A-16209-G. SALINAS"</f>
        <v>A-16209-G. SALINAS</v>
      </c>
    </row>
    <row r="1263" spans="5:8" x14ac:dyDescent="0.25">
      <c r="E1263" s="1" t="str">
        <f>"J2-63664"</f>
        <v>J2-63664</v>
      </c>
      <c r="F1263" s="1" t="str">
        <f>"A16728-J. FRANCISCO-SEGUNDO JR"</f>
        <v>A16728-J. FRANCISCO-SEGUNDO JR</v>
      </c>
      <c r="G1263" s="3">
        <v>114.75</v>
      </c>
      <c r="H1263" s="1" t="str">
        <f>"A16728-J. FRANCISCO-SEGUNDO JR"</f>
        <v>A16728-J. FRANCISCO-SEGUNDO JR</v>
      </c>
    </row>
    <row r="1264" spans="5:8" x14ac:dyDescent="0.25">
      <c r="E1264" s="1" t="str">
        <f>"J2-63665"</f>
        <v>J2-63665</v>
      </c>
      <c r="F1264" s="1" t="str">
        <f>"A16728-J. SEGUNDO FRANCISCO JR"</f>
        <v>A16728-J. SEGUNDO FRANCISCO JR</v>
      </c>
      <c r="G1264" s="3">
        <v>157.25</v>
      </c>
      <c r="H1264" s="1" t="str">
        <f>"A16728-S. FRANCISCO-JAVIER JR."</f>
        <v>A16728-S. FRANCISCO-JAVIER JR.</v>
      </c>
    </row>
    <row r="1265" spans="1:8" x14ac:dyDescent="0.25">
      <c r="A1265" s="1" t="s">
        <v>432</v>
      </c>
      <c r="B1265" s="1">
        <v>83243</v>
      </c>
      <c r="C1265" s="3">
        <v>344.25</v>
      </c>
      <c r="D1265" s="2">
        <v>43668</v>
      </c>
      <c r="E1265" s="1" t="str">
        <f>"J2-64607"</f>
        <v>J2-64607</v>
      </c>
      <c r="F1265" s="1" t="str">
        <f>"A8245802 - K.J. HEMMI"</f>
        <v>A8245802 - K.J. HEMMI</v>
      </c>
      <c r="G1265" s="3">
        <v>114.75</v>
      </c>
      <c r="H1265" s="1" t="str">
        <f>"A8245802 - K.J. HEMMI"</f>
        <v>A8245802 - K.J. HEMMI</v>
      </c>
    </row>
    <row r="1266" spans="1:8" x14ac:dyDescent="0.25">
      <c r="E1266" s="1" t="str">
        <f>"J2-64616"</f>
        <v>J2-64616</v>
      </c>
      <c r="F1266" s="1" t="str">
        <f>"A8245675 - A.M. ROSE"</f>
        <v>A8245675 - A.M. ROSE</v>
      </c>
      <c r="G1266" s="3">
        <v>114.75</v>
      </c>
      <c r="H1266" s="1" t="str">
        <f>"A8245675 - A.M. ROSE"</f>
        <v>A8245675 - A.M. ROSE</v>
      </c>
    </row>
    <row r="1267" spans="1:8" x14ac:dyDescent="0.25">
      <c r="E1267" s="1" t="str">
        <f>"J2-64617"</f>
        <v>J2-64617</v>
      </c>
      <c r="F1267" s="1" t="str">
        <f>"A8303678 - J.A. MENDOZA"</f>
        <v>A8303678 - J.A. MENDOZA</v>
      </c>
      <c r="G1267" s="3">
        <v>114.75</v>
      </c>
      <c r="H1267" s="1" t="str">
        <f>"A8303678 - J.A. MENDOZA"</f>
        <v>A8303678 - J.A. MENDOZA</v>
      </c>
    </row>
    <row r="1268" spans="1:8" x14ac:dyDescent="0.25">
      <c r="A1268" s="1" t="s">
        <v>433</v>
      </c>
      <c r="B1268" s="1">
        <v>82978</v>
      </c>
      <c r="C1268" s="3">
        <v>118.26</v>
      </c>
      <c r="D1268" s="2">
        <v>43654</v>
      </c>
      <c r="E1268" s="1" t="str">
        <f>"190624"</f>
        <v>190624</v>
      </c>
      <c r="F1268" s="1" t="str">
        <f>"SLIDE GATE/DOOR/PCT#2"</f>
        <v>SLIDE GATE/DOOR/PCT#2</v>
      </c>
      <c r="G1268" s="3">
        <v>118.26</v>
      </c>
      <c r="H1268" s="1" t="str">
        <f>"SLIDE GATE/DOOR/PCT#2"</f>
        <v>SLIDE GATE/DOOR/PCT#2</v>
      </c>
    </row>
    <row r="1269" spans="1:8" x14ac:dyDescent="0.25">
      <c r="A1269" s="1" t="s">
        <v>434</v>
      </c>
      <c r="B1269" s="1">
        <v>83244</v>
      </c>
      <c r="C1269" s="3">
        <v>165</v>
      </c>
      <c r="D1269" s="2">
        <v>43668</v>
      </c>
      <c r="E1269" s="1" t="str">
        <f>"T61668"</f>
        <v>T61668</v>
      </c>
      <c r="F1269" s="1" t="str">
        <f>"INV t61668"</f>
        <v>INV t61668</v>
      </c>
      <c r="G1269" s="3">
        <v>165</v>
      </c>
      <c r="H1269" s="1" t="str">
        <f>"INV t61668"</f>
        <v>INV t61668</v>
      </c>
    </row>
    <row r="1270" spans="1:8" x14ac:dyDescent="0.25">
      <c r="A1270" s="1" t="s">
        <v>435</v>
      </c>
      <c r="B1270" s="1">
        <v>1104</v>
      </c>
      <c r="C1270" s="3">
        <v>134.44999999999999</v>
      </c>
      <c r="D1270" s="2">
        <v>43669</v>
      </c>
      <c r="E1270" s="1" t="str">
        <f>"201907160587"</f>
        <v>201907160587</v>
      </c>
      <c r="F1270" s="1" t="str">
        <f>"INDIGENT HEALTH"</f>
        <v>INDIGENT HEALTH</v>
      </c>
      <c r="G1270" s="3">
        <v>134.44999999999999</v>
      </c>
      <c r="H1270" s="1" t="str">
        <f>"INDIGENT HEALTH"</f>
        <v>INDIGENT HEALTH</v>
      </c>
    </row>
    <row r="1271" spans="1:8" x14ac:dyDescent="0.25">
      <c r="A1271" s="1" t="s">
        <v>436</v>
      </c>
      <c r="B1271" s="1">
        <v>82979</v>
      </c>
      <c r="C1271" s="3">
        <v>1367.5</v>
      </c>
      <c r="D1271" s="2">
        <v>43654</v>
      </c>
      <c r="E1271" s="1" t="str">
        <f>"109869"</f>
        <v>109869</v>
      </c>
      <c r="F1271" s="1" t="str">
        <f>"ACCT#188757/MIKE FISHER BLDG"</f>
        <v>ACCT#188757/MIKE FISHER BLDG</v>
      </c>
      <c r="G1271" s="3">
        <v>112</v>
      </c>
      <c r="H1271" s="1" t="str">
        <f>"ACCT#188757/MIKE FISHER BLDG"</f>
        <v>ACCT#188757/MIKE FISHER BLDG</v>
      </c>
    </row>
    <row r="1272" spans="1:8" x14ac:dyDescent="0.25">
      <c r="E1272" s="1" t="str">
        <f>"109912"</f>
        <v>109912</v>
      </c>
      <c r="F1272" s="1" t="str">
        <f>"ACCT#188757/RD &amp; BRIDGE/SIGN"</f>
        <v>ACCT#188757/RD &amp; BRIDGE/SIGN</v>
      </c>
      <c r="G1272" s="3">
        <v>95</v>
      </c>
      <c r="H1272" s="1" t="str">
        <f>"ACCT#188757/RD &amp; BRIDGE/SIGN"</f>
        <v>ACCT#188757/RD &amp; BRIDGE/SIGN</v>
      </c>
    </row>
    <row r="1273" spans="1:8" x14ac:dyDescent="0.25">
      <c r="E1273" s="1" t="str">
        <f>"110044"</f>
        <v>110044</v>
      </c>
      <c r="F1273" s="1" t="str">
        <f>"ACCT#188757/CT HOUSE MAIN &amp; AN"</f>
        <v>ACCT#188757/CT HOUSE MAIN &amp; AN</v>
      </c>
      <c r="G1273" s="3">
        <v>335</v>
      </c>
      <c r="H1273" s="1" t="str">
        <f>"ACCT#188757/CT HOUSE MAIN &amp; AN"</f>
        <v>ACCT#188757/CT HOUSE MAIN &amp; AN</v>
      </c>
    </row>
    <row r="1274" spans="1:8" x14ac:dyDescent="0.25">
      <c r="E1274" s="1" t="str">
        <f>"110325"</f>
        <v>110325</v>
      </c>
      <c r="F1274" s="1" t="str">
        <f>"ACCT#188757/CEDAR CREEK PARK"</f>
        <v>ACCT#188757/CEDAR CREEK PARK</v>
      </c>
      <c r="G1274" s="3">
        <v>125</v>
      </c>
      <c r="H1274" s="1" t="str">
        <f>"ACCT#188757/CEDAR CREEK PARK"</f>
        <v>ACCT#188757/CEDAR CREEK PARK</v>
      </c>
    </row>
    <row r="1275" spans="1:8" x14ac:dyDescent="0.25">
      <c r="E1275" s="1" t="str">
        <f>"110633"</f>
        <v>110633</v>
      </c>
      <c r="F1275" s="1" t="str">
        <f>"ACCT#188757/COURTHOUSE"</f>
        <v>ACCT#188757/COURTHOUSE</v>
      </c>
      <c r="G1275" s="3">
        <v>137</v>
      </c>
      <c r="H1275" s="1" t="str">
        <f>"ACCT#188757/COURTHOUSE"</f>
        <v>ACCT#188757/COURTHOUSE</v>
      </c>
    </row>
    <row r="1276" spans="1:8" x14ac:dyDescent="0.25">
      <c r="E1276" s="1" t="str">
        <f>"110635"</f>
        <v>110635</v>
      </c>
      <c r="F1276" s="1" t="str">
        <f>"ACCT#188757/HISTORIC JAIL"</f>
        <v>ACCT#188757/HISTORIC JAIL</v>
      </c>
      <c r="G1276" s="3">
        <v>76</v>
      </c>
      <c r="H1276" s="1" t="str">
        <f>"ACCT#188757/HISTORIC JAIL"</f>
        <v>ACCT#188757/HISTORIC JAIL</v>
      </c>
    </row>
    <row r="1277" spans="1:8" x14ac:dyDescent="0.25">
      <c r="E1277" s="1" t="str">
        <f>"110649"</f>
        <v>110649</v>
      </c>
      <c r="F1277" s="1" t="str">
        <f>"ACCT#188757/EXT HABITAT OFFICE"</f>
        <v>ACCT#188757/EXT HABITAT OFFICE</v>
      </c>
      <c r="G1277" s="3">
        <v>89</v>
      </c>
      <c r="H1277" s="1" t="str">
        <f>"ACCT#188757/EXT HABITAT OFFICE"</f>
        <v>ACCT#188757/EXT HABITAT OFFICE</v>
      </c>
    </row>
    <row r="1278" spans="1:8" x14ac:dyDescent="0.25">
      <c r="E1278" s="1" t="str">
        <f>"110672"</f>
        <v>110672</v>
      </c>
      <c r="F1278" s="1" t="str">
        <f>"ACCT#188757/JUVENILE PROBATION"</f>
        <v>ACCT#188757/JUVENILE PROBATION</v>
      </c>
      <c r="G1278" s="3">
        <v>132</v>
      </c>
      <c r="H1278" s="1" t="str">
        <f>"ACCT#188757/JUVENILE PROBATION"</f>
        <v>ACCT#188757/JUVENILE PROBATION</v>
      </c>
    </row>
    <row r="1279" spans="1:8" x14ac:dyDescent="0.25">
      <c r="E1279" s="1" t="str">
        <f>"111021"</f>
        <v>111021</v>
      </c>
      <c r="F1279" s="1" t="str">
        <f>"ACCT#188757/LBJ BLDG/HLTH DPT"</f>
        <v>ACCT#188757/LBJ BLDG/HLTH DPT</v>
      </c>
      <c r="G1279" s="3">
        <v>69</v>
      </c>
      <c r="H1279" s="1" t="str">
        <f>"ACCT#188757/LBJ BLDG/HLTH DPT"</f>
        <v>ACCT#188757/LBJ BLDG/HLTH DPT</v>
      </c>
    </row>
    <row r="1280" spans="1:8" x14ac:dyDescent="0.25">
      <c r="E1280" s="1" t="str">
        <f>"111038"</f>
        <v>111038</v>
      </c>
      <c r="F1280" s="1" t="str">
        <f>"ACCT#188757/PCT#4 RD &amp; BRIDGE"</f>
        <v>ACCT#188757/PCT#4 RD &amp; BRIDGE</v>
      </c>
      <c r="G1280" s="3">
        <v>95.5</v>
      </c>
      <c r="H1280" s="1" t="str">
        <f>"ACCT#188757/PCT#4 RD &amp; BRIDGE"</f>
        <v>ACCT#188757/PCT#4 RD &amp; BRIDGE</v>
      </c>
    </row>
    <row r="1281" spans="1:8" x14ac:dyDescent="0.25">
      <c r="E1281" s="1" t="str">
        <f>"111145"</f>
        <v>111145</v>
      </c>
      <c r="F1281" s="1" t="str">
        <f>"ACCT#188757/TAX OFFICE"</f>
        <v>ACCT#188757/TAX OFFICE</v>
      </c>
      <c r="G1281" s="3">
        <v>102</v>
      </c>
      <c r="H1281" s="1" t="str">
        <f>"ACCT#188757/TAX OFFICE"</f>
        <v>ACCT#188757/TAX OFFICE</v>
      </c>
    </row>
    <row r="1282" spans="1:8" x14ac:dyDescent="0.25">
      <c r="A1282" s="1" t="s">
        <v>436</v>
      </c>
      <c r="B1282" s="1">
        <v>83245</v>
      </c>
      <c r="C1282" s="3">
        <v>201</v>
      </c>
      <c r="D1282" s="2">
        <v>43668</v>
      </c>
      <c r="E1282" s="1" t="str">
        <f>"112382"</f>
        <v>112382</v>
      </c>
      <c r="F1282" s="1" t="str">
        <f>"ACCT#188757/DPS/TDL"</f>
        <v>ACCT#188757/DPS/TDL</v>
      </c>
      <c r="G1282" s="3">
        <v>76</v>
      </c>
      <c r="H1282" s="1" t="str">
        <f>"ACCT#188757/DPS/TDL"</f>
        <v>ACCT#188757/DPS/TDL</v>
      </c>
    </row>
    <row r="1283" spans="1:8" x14ac:dyDescent="0.25">
      <c r="E1283" s="1" t="str">
        <f>"113007"</f>
        <v>113007</v>
      </c>
      <c r="F1283" s="1" t="str">
        <f>"ACCT#188757/CEDAR CREEK PARK"</f>
        <v>ACCT#188757/CEDAR CREEK PARK</v>
      </c>
      <c r="G1283" s="3">
        <v>125</v>
      </c>
      <c r="H1283" s="1" t="str">
        <f>"ACCT#188757/CEDAR CREEK PARK"</f>
        <v>ACCT#188757/CEDAR CREEK PARK</v>
      </c>
    </row>
    <row r="1284" spans="1:8" x14ac:dyDescent="0.25">
      <c r="A1284" s="1" t="s">
        <v>437</v>
      </c>
      <c r="B1284" s="1">
        <v>1015</v>
      </c>
      <c r="C1284" s="3">
        <v>1225</v>
      </c>
      <c r="D1284" s="2">
        <v>43655</v>
      </c>
      <c r="E1284" s="1" t="str">
        <f>"201906250091"</f>
        <v>201906250091</v>
      </c>
      <c r="F1284" s="1" t="str">
        <f>"1180-21  423-6591"</f>
        <v>1180-21  423-6591</v>
      </c>
      <c r="G1284" s="3">
        <v>200</v>
      </c>
      <c r="H1284" s="1" t="str">
        <f>"1180-21  423-6591"</f>
        <v>1180-21  423-6591</v>
      </c>
    </row>
    <row r="1285" spans="1:8" x14ac:dyDescent="0.25">
      <c r="E1285" s="1" t="str">
        <f>"201906250092"</f>
        <v>201906250092</v>
      </c>
      <c r="F1285" s="1" t="str">
        <f>"1183-335"</f>
        <v>1183-335</v>
      </c>
      <c r="G1285" s="3">
        <v>100</v>
      </c>
      <c r="H1285" s="1" t="str">
        <f>"1183-335"</f>
        <v>1183-335</v>
      </c>
    </row>
    <row r="1286" spans="1:8" x14ac:dyDescent="0.25">
      <c r="E1286" s="1" t="str">
        <f>"201906270136"</f>
        <v>201906270136</v>
      </c>
      <c r="F1286" s="1" t="str">
        <f>"56 774"</f>
        <v>56 774</v>
      </c>
      <c r="G1286" s="3">
        <v>250</v>
      </c>
      <c r="H1286" s="1" t="str">
        <f>"56 774"</f>
        <v>56 774</v>
      </c>
    </row>
    <row r="1287" spans="1:8" x14ac:dyDescent="0.25">
      <c r="E1287" s="1" t="str">
        <f>"201906270137"</f>
        <v>201906270137</v>
      </c>
      <c r="F1287" s="1" t="str">
        <f>"4051971-1"</f>
        <v>4051971-1</v>
      </c>
      <c r="G1287" s="3">
        <v>250</v>
      </c>
      <c r="H1287" s="1" t="str">
        <f>"4051971-1"</f>
        <v>4051971-1</v>
      </c>
    </row>
    <row r="1288" spans="1:8" x14ac:dyDescent="0.25">
      <c r="E1288" s="1" t="str">
        <f>"201906280175"</f>
        <v>201906280175</v>
      </c>
      <c r="F1288" s="1" t="str">
        <f>"NO CAUSE # LISTED"</f>
        <v>NO CAUSE # LISTED</v>
      </c>
      <c r="G1288" s="3">
        <v>250</v>
      </c>
      <c r="H1288" s="1" t="str">
        <f>"NO CAUSE # LISTED"</f>
        <v>NO CAUSE # LISTED</v>
      </c>
    </row>
    <row r="1289" spans="1:8" x14ac:dyDescent="0.25">
      <c r="E1289" s="1" t="str">
        <f>"201907010212"</f>
        <v>201907010212</v>
      </c>
      <c r="F1289" s="1" t="str">
        <f>"18-19013"</f>
        <v>18-19013</v>
      </c>
      <c r="G1289" s="3">
        <v>175</v>
      </c>
      <c r="H1289" s="1" t="str">
        <f>"18-19013"</f>
        <v>18-19013</v>
      </c>
    </row>
    <row r="1290" spans="1:8" x14ac:dyDescent="0.25">
      <c r="A1290" s="1" t="s">
        <v>437</v>
      </c>
      <c r="B1290" s="1">
        <v>1079</v>
      </c>
      <c r="C1290" s="3">
        <v>2300</v>
      </c>
      <c r="D1290" s="2">
        <v>43669</v>
      </c>
      <c r="E1290" s="1" t="str">
        <f>"201907090296"</f>
        <v>201907090296</v>
      </c>
      <c r="F1290" s="1" t="str">
        <f>"CATLIN EXTRADITION"</f>
        <v>CATLIN EXTRADITION</v>
      </c>
      <c r="G1290" s="3">
        <v>400</v>
      </c>
      <c r="H1290" s="1" t="str">
        <f>"CATLIN EXTRADITION"</f>
        <v>CATLIN EXTRADITION</v>
      </c>
    </row>
    <row r="1291" spans="1:8" x14ac:dyDescent="0.25">
      <c r="E1291" s="1" t="str">
        <f>"201907090297"</f>
        <v>201907090297</v>
      </c>
      <c r="F1291" s="1" t="str">
        <f>"16 126"</f>
        <v>16 126</v>
      </c>
      <c r="G1291" s="3">
        <v>1000</v>
      </c>
      <c r="H1291" s="1" t="str">
        <f>"16 126"</f>
        <v>16 126</v>
      </c>
    </row>
    <row r="1292" spans="1:8" x14ac:dyDescent="0.25">
      <c r="E1292" s="1" t="str">
        <f>"201907110412"</f>
        <v>201907110412</v>
      </c>
      <c r="F1292" s="1" t="str">
        <f>"16 718"</f>
        <v>16 718</v>
      </c>
      <c r="G1292" s="3">
        <v>400</v>
      </c>
      <c r="H1292" s="1" t="str">
        <f>"16 718"</f>
        <v>16 718</v>
      </c>
    </row>
    <row r="1293" spans="1:8" x14ac:dyDescent="0.25">
      <c r="E1293" s="1" t="str">
        <f>"201907120415"</f>
        <v>201907120415</v>
      </c>
      <c r="F1293" s="1" t="str">
        <f>"20190065/B JP1-04122019A/B/C"</f>
        <v>20190065/B JP1-04122019A/B/C</v>
      </c>
      <c r="G1293" s="3">
        <v>500</v>
      </c>
      <c r="H1293" s="1" t="str">
        <f>"20190065/B JP1-04122019A/B/C"</f>
        <v>20190065/B JP1-04122019A/B/C</v>
      </c>
    </row>
    <row r="1294" spans="1:8" x14ac:dyDescent="0.25">
      <c r="A1294" s="1" t="s">
        <v>438</v>
      </c>
      <c r="B1294" s="1">
        <v>83246</v>
      </c>
      <c r="C1294" s="3">
        <v>348.55</v>
      </c>
      <c r="D1294" s="2">
        <v>43668</v>
      </c>
      <c r="E1294" s="1" t="str">
        <f>"283746283764"</f>
        <v>283746283764</v>
      </c>
      <c r="F1294" s="1" t="str">
        <f>"INV 283746283764"</f>
        <v>INV 283746283764</v>
      </c>
      <c r="G1294" s="3">
        <v>348.55</v>
      </c>
      <c r="H1294" s="1" t="str">
        <f>"INV 283746283764"</f>
        <v>INV 283746283764</v>
      </c>
    </row>
    <row r="1295" spans="1:8" x14ac:dyDescent="0.25">
      <c r="A1295" s="1" t="s">
        <v>439</v>
      </c>
      <c r="B1295" s="1">
        <v>83247</v>
      </c>
      <c r="C1295" s="3">
        <v>705.6</v>
      </c>
      <c r="D1295" s="2">
        <v>43668</v>
      </c>
      <c r="E1295" s="1" t="str">
        <f>"000560127"</f>
        <v>000560127</v>
      </c>
      <c r="F1295" s="1" t="str">
        <f>"ACCT#4812W1083/BILL#000560127"</f>
        <v>ACCT#4812W1083/BILL#000560127</v>
      </c>
      <c r="G1295" s="3">
        <v>705.6</v>
      </c>
      <c r="H1295" s="1" t="str">
        <f>"ACCT#4812W1083/BILL#000560127"</f>
        <v>ACCT#4812W1083/BILL#000560127</v>
      </c>
    </row>
    <row r="1296" spans="1:8" x14ac:dyDescent="0.25">
      <c r="A1296" s="1" t="s">
        <v>440</v>
      </c>
      <c r="B1296" s="1">
        <v>82980</v>
      </c>
      <c r="C1296" s="3">
        <v>1212</v>
      </c>
      <c r="D1296" s="2">
        <v>43654</v>
      </c>
      <c r="E1296" s="1" t="str">
        <f>"201907010215"</f>
        <v>201907010215</v>
      </c>
      <c r="F1296" s="1" t="str">
        <f>"423-2327"</f>
        <v>423-2327</v>
      </c>
      <c r="G1296" s="3">
        <v>657</v>
      </c>
      <c r="H1296" s="1" t="str">
        <f>"423-2327"</f>
        <v>423-2327</v>
      </c>
    </row>
    <row r="1297" spans="1:8" x14ac:dyDescent="0.25">
      <c r="E1297" s="1" t="str">
        <f>"201907010216"</f>
        <v>201907010216</v>
      </c>
      <c r="F1297" s="1" t="str">
        <f>"423-6363"</f>
        <v>423-6363</v>
      </c>
      <c r="G1297" s="3">
        <v>555</v>
      </c>
      <c r="H1297" s="1" t="str">
        <f>"423-6363"</f>
        <v>423-6363</v>
      </c>
    </row>
    <row r="1298" spans="1:8" x14ac:dyDescent="0.25">
      <c r="A1298" s="1" t="s">
        <v>441</v>
      </c>
      <c r="B1298" s="1">
        <v>82981</v>
      </c>
      <c r="C1298" s="3">
        <v>11472.94</v>
      </c>
      <c r="D1298" s="2">
        <v>43654</v>
      </c>
      <c r="E1298" s="1" t="str">
        <f>"0003669062819"</f>
        <v>0003669062819</v>
      </c>
      <c r="F1298" s="1" t="str">
        <f>"ACCT#8260163000003669"</f>
        <v>ACCT#8260163000003669</v>
      </c>
      <c r="G1298" s="3">
        <v>11472.94</v>
      </c>
      <c r="H1298" s="1" t="str">
        <f>"ACCT#8260163000003669"</f>
        <v>ACCT#8260163000003669</v>
      </c>
    </row>
    <row r="1299" spans="1:8" x14ac:dyDescent="0.25">
      <c r="E1299" s="1" t="str">
        <f>""</f>
        <v/>
      </c>
      <c r="F1299" s="1" t="str">
        <f>""</f>
        <v/>
      </c>
      <c r="H1299" s="1" t="str">
        <f>"ACCT#8260163000003669"</f>
        <v>ACCT#8260163000003669</v>
      </c>
    </row>
    <row r="1300" spans="1:8" x14ac:dyDescent="0.25">
      <c r="E1300" s="1" t="str">
        <f>""</f>
        <v/>
      </c>
      <c r="F1300" s="1" t="str">
        <f>""</f>
        <v/>
      </c>
      <c r="H1300" s="1" t="str">
        <f>"ACCT#8260163000003669"</f>
        <v>ACCT#8260163000003669</v>
      </c>
    </row>
    <row r="1301" spans="1:8" x14ac:dyDescent="0.25">
      <c r="A1301" s="1" t="s">
        <v>442</v>
      </c>
      <c r="B1301" s="1">
        <v>82982</v>
      </c>
      <c r="C1301" s="3">
        <v>675.93</v>
      </c>
      <c r="D1301" s="2">
        <v>43654</v>
      </c>
      <c r="E1301" s="1" t="str">
        <f>"200338206 30055288"</f>
        <v>200338206 30055288</v>
      </c>
      <c r="F1301" s="1" t="str">
        <f>"acct# 6035301200160982"</f>
        <v>acct# 6035301200160982</v>
      </c>
      <c r="G1301" s="3">
        <v>675.93</v>
      </c>
      <c r="H1301" s="1" t="str">
        <f>"inv# 30055790"</f>
        <v>inv# 30055790</v>
      </c>
    </row>
    <row r="1302" spans="1:8" x14ac:dyDescent="0.25">
      <c r="E1302" s="1" t="str">
        <f>""</f>
        <v/>
      </c>
      <c r="F1302" s="1" t="str">
        <f>""</f>
        <v/>
      </c>
      <c r="H1302" s="1" t="str">
        <f>"inv# 300552880"</f>
        <v>inv# 300552880</v>
      </c>
    </row>
    <row r="1303" spans="1:8" x14ac:dyDescent="0.25">
      <c r="E1303" s="1" t="str">
        <f>""</f>
        <v/>
      </c>
      <c r="F1303" s="1" t="str">
        <f>""</f>
        <v/>
      </c>
      <c r="H1303" s="1" t="str">
        <f>"inv# 200338206"</f>
        <v>inv# 200338206</v>
      </c>
    </row>
    <row r="1304" spans="1:8" x14ac:dyDescent="0.25">
      <c r="A1304" s="1" t="s">
        <v>443</v>
      </c>
      <c r="B1304" s="1">
        <v>82983</v>
      </c>
      <c r="C1304" s="3">
        <v>112.25</v>
      </c>
      <c r="D1304" s="2">
        <v>43654</v>
      </c>
      <c r="E1304" s="1" t="str">
        <f>"6426181"</f>
        <v>6426181</v>
      </c>
      <c r="F1304" s="1" t="str">
        <f>"CUST#79910/REF#10196042"</f>
        <v>CUST#79910/REF#10196042</v>
      </c>
      <c r="G1304" s="3">
        <v>65.62</v>
      </c>
      <c r="H1304" s="1" t="str">
        <f>"CUST#79910/REF#10196042"</f>
        <v>CUST#79910/REF#10196042</v>
      </c>
    </row>
    <row r="1305" spans="1:8" x14ac:dyDescent="0.25">
      <c r="E1305" s="1" t="str">
        <f>"6426251"</f>
        <v>6426251</v>
      </c>
      <c r="F1305" s="1" t="str">
        <f>"CUST#79910/REF#10197239"</f>
        <v>CUST#79910/REF#10197239</v>
      </c>
      <c r="G1305" s="3">
        <v>17.39</v>
      </c>
      <c r="H1305" s="1" t="str">
        <f>"CUST#79910/REF#10197239"</f>
        <v>CUST#79910/REF#10197239</v>
      </c>
    </row>
    <row r="1306" spans="1:8" x14ac:dyDescent="0.25">
      <c r="E1306" s="1" t="str">
        <f>"6460883"</f>
        <v>6460883</v>
      </c>
      <c r="F1306" s="1" t="str">
        <f>"CUST#79910/REF#10241000"</f>
        <v>CUST#79910/REF#10241000</v>
      </c>
      <c r="G1306" s="3">
        <v>29.24</v>
      </c>
      <c r="H1306" s="1" t="str">
        <f>"CUST#79910/REF#10241000"</f>
        <v>CUST#79910/REF#10241000</v>
      </c>
    </row>
    <row r="1307" spans="1:8" x14ac:dyDescent="0.25">
      <c r="A1307" s="1" t="s">
        <v>443</v>
      </c>
      <c r="B1307" s="1">
        <v>83248</v>
      </c>
      <c r="C1307" s="3">
        <v>183.84</v>
      </c>
      <c r="D1307" s="2">
        <v>43668</v>
      </c>
      <c r="E1307" s="1" t="str">
        <f>"6604961"</f>
        <v>6604961</v>
      </c>
      <c r="F1307" s="1" t="str">
        <f>"ACCT#2843373/P21 ID:1102999"</f>
        <v>ACCT#2843373/P21 ID:1102999</v>
      </c>
      <c r="G1307" s="3">
        <v>183.84</v>
      </c>
      <c r="H1307" s="1" t="str">
        <f>"ACCT#2843373/P21 ID:1102999"</f>
        <v>ACCT#2843373/P21 ID:1102999</v>
      </c>
    </row>
    <row r="1308" spans="1:8" x14ac:dyDescent="0.25">
      <c r="A1308" s="1" t="s">
        <v>444</v>
      </c>
      <c r="B1308" s="1">
        <v>82984</v>
      </c>
      <c r="C1308" s="3">
        <v>1050</v>
      </c>
      <c r="D1308" s="2">
        <v>43654</v>
      </c>
      <c r="E1308" s="1" t="str">
        <f>"12632"</f>
        <v>12632</v>
      </c>
      <c r="F1308" s="1" t="str">
        <f>"SERVICE  04/04/19"</f>
        <v>SERVICE  04/04/19</v>
      </c>
      <c r="G1308" s="3">
        <v>150</v>
      </c>
      <c r="H1308" s="1" t="str">
        <f>"SERVICE  04/04/19"</f>
        <v>SERVICE  04/04/19</v>
      </c>
    </row>
    <row r="1309" spans="1:8" x14ac:dyDescent="0.25">
      <c r="E1309" s="1" t="str">
        <f>"12756"</f>
        <v>12756</v>
      </c>
      <c r="F1309" s="1" t="str">
        <f>"SERVICE 04/04/19"</f>
        <v>SERVICE 04/04/19</v>
      </c>
      <c r="G1309" s="3">
        <v>225</v>
      </c>
      <c r="H1309" s="1" t="str">
        <f>"SERVICE 04/04/19"</f>
        <v>SERVICE 04/04/19</v>
      </c>
    </row>
    <row r="1310" spans="1:8" x14ac:dyDescent="0.25">
      <c r="E1310" s="1" t="str">
        <f>"12765"</f>
        <v>12765</v>
      </c>
      <c r="F1310" s="1" t="str">
        <f>"SERVICE 04/04/19"</f>
        <v>SERVICE 04/04/19</v>
      </c>
      <c r="G1310" s="3">
        <v>375</v>
      </c>
      <c r="H1310" s="1" t="str">
        <f>"SERVICE 04/04/19"</f>
        <v>SERVICE 04/04/19</v>
      </c>
    </row>
    <row r="1311" spans="1:8" x14ac:dyDescent="0.25">
      <c r="E1311" s="1" t="str">
        <f>"12765  04/04/19"</f>
        <v>12765  04/04/19</v>
      </c>
      <c r="F1311" s="1" t="str">
        <f>"SERVICE"</f>
        <v>SERVICE</v>
      </c>
      <c r="G1311" s="3">
        <v>75</v>
      </c>
      <c r="H1311" s="1" t="str">
        <f>"SERVICE"</f>
        <v>SERVICE</v>
      </c>
    </row>
    <row r="1312" spans="1:8" x14ac:dyDescent="0.25">
      <c r="E1312" s="1" t="str">
        <f>"12850"</f>
        <v>12850</v>
      </c>
      <c r="F1312" s="1" t="str">
        <f>"SERVICE 04/04/19"</f>
        <v>SERVICE 04/04/19</v>
      </c>
      <c r="G1312" s="3">
        <v>75</v>
      </c>
      <c r="H1312" s="1" t="str">
        <f>"SERVICE 04/04/19"</f>
        <v>SERVICE 04/04/19</v>
      </c>
    </row>
    <row r="1313" spans="1:8" x14ac:dyDescent="0.25">
      <c r="E1313" s="1" t="str">
        <f>"12871"</f>
        <v>12871</v>
      </c>
      <c r="F1313" s="1" t="str">
        <f>"SERVICE 04/04/19"</f>
        <v>SERVICE 04/04/19</v>
      </c>
      <c r="G1313" s="3">
        <v>75</v>
      </c>
      <c r="H1313" s="1" t="str">
        <f>"SERVICE 04/04/19"</f>
        <v>SERVICE 04/04/19</v>
      </c>
    </row>
    <row r="1314" spans="1:8" x14ac:dyDescent="0.25">
      <c r="E1314" s="1" t="str">
        <f>"13115"</f>
        <v>13115</v>
      </c>
      <c r="F1314" s="1" t="str">
        <f>"SERVICE"</f>
        <v>SERVICE</v>
      </c>
      <c r="G1314" s="3">
        <v>75</v>
      </c>
      <c r="H1314" s="1" t="str">
        <f>"SERVICE"</f>
        <v>SERVICE</v>
      </c>
    </row>
    <row r="1315" spans="1:8" x14ac:dyDescent="0.25">
      <c r="A1315" s="1" t="s">
        <v>444</v>
      </c>
      <c r="B1315" s="1">
        <v>83249</v>
      </c>
      <c r="C1315" s="3">
        <v>675</v>
      </c>
      <c r="D1315" s="2">
        <v>43668</v>
      </c>
      <c r="E1315" s="1" t="str">
        <f>"12733"</f>
        <v>12733</v>
      </c>
      <c r="F1315" s="1" t="str">
        <f>"SERVICE"</f>
        <v>SERVICE</v>
      </c>
      <c r="G1315" s="3">
        <v>675</v>
      </c>
      <c r="H1315" s="1" t="str">
        <f>"SERVICE"</f>
        <v>SERVICE</v>
      </c>
    </row>
    <row r="1316" spans="1:8" x14ac:dyDescent="0.25">
      <c r="A1316" s="1" t="s">
        <v>445</v>
      </c>
      <c r="B1316" s="1">
        <v>83250</v>
      </c>
      <c r="C1316" s="3">
        <v>2900</v>
      </c>
      <c r="D1316" s="2">
        <v>43668</v>
      </c>
      <c r="E1316" s="1" t="str">
        <f>"3300002468"</f>
        <v>3300002468</v>
      </c>
      <c r="F1316" s="1" t="str">
        <f>"CUST#100009/INV#3300002468"</f>
        <v>CUST#100009/INV#3300002468</v>
      </c>
      <c r="G1316" s="3">
        <v>2900</v>
      </c>
      <c r="H1316" s="1" t="str">
        <f>"CUST#100009/INV#3300002468"</f>
        <v>CUST#100009/INV#3300002468</v>
      </c>
    </row>
    <row r="1317" spans="1:8" x14ac:dyDescent="0.25">
      <c r="A1317" s="1" t="s">
        <v>446</v>
      </c>
      <c r="B1317" s="1">
        <v>1017</v>
      </c>
      <c r="C1317" s="3">
        <v>1460.29</v>
      </c>
      <c r="D1317" s="2">
        <v>43655</v>
      </c>
      <c r="E1317" s="1" t="str">
        <f>"767860"</f>
        <v>767860</v>
      </c>
      <c r="F1317" s="1" t="str">
        <f>"INV 767860 / TRAILER"</f>
        <v>INV 767860 / TRAILER</v>
      </c>
      <c r="G1317" s="3">
        <v>182.66</v>
      </c>
      <c r="H1317" s="1" t="str">
        <f>"INV 767860 / TRAILER"</f>
        <v>INV 767860 / TRAILER</v>
      </c>
    </row>
    <row r="1318" spans="1:8" x14ac:dyDescent="0.25">
      <c r="E1318" s="1" t="str">
        <f>"768313"</f>
        <v>768313</v>
      </c>
      <c r="F1318" s="1" t="str">
        <f>"INV 768313 / UNIT 5291"</f>
        <v>INV 768313 / UNIT 5291</v>
      </c>
      <c r="G1318" s="3">
        <v>80.72</v>
      </c>
      <c r="H1318" s="1" t="str">
        <f>"INV 768313 / RAV4"</f>
        <v>INV 768313 / RAV4</v>
      </c>
    </row>
    <row r="1319" spans="1:8" x14ac:dyDescent="0.25">
      <c r="E1319" s="1" t="str">
        <f>"768314"</f>
        <v>768314</v>
      </c>
      <c r="F1319" s="1" t="str">
        <f>"INV 768314 / UNIT 1496"</f>
        <v>INV 768314 / UNIT 1496</v>
      </c>
      <c r="G1319" s="3">
        <v>1054.8</v>
      </c>
      <c r="H1319" s="1" t="str">
        <f>"INV 768314 / UNIT 1496"</f>
        <v>INV 768314 / UNIT 1496</v>
      </c>
    </row>
    <row r="1320" spans="1:8" x14ac:dyDescent="0.25">
      <c r="E1320" s="1" t="str">
        <f>"768705"</f>
        <v>768705</v>
      </c>
      <c r="F1320" s="1" t="str">
        <f>"INV 768705 / UNIT 6492"</f>
        <v>INV 768705 / UNIT 6492</v>
      </c>
      <c r="G1320" s="3">
        <v>142.11000000000001</v>
      </c>
      <c r="H1320" s="1" t="str">
        <f>"INV 768705 / UNIT 6492"</f>
        <v>INV 768705 / UNIT 6492</v>
      </c>
    </row>
    <row r="1321" spans="1:8" x14ac:dyDescent="0.25">
      <c r="A1321" s="1" t="s">
        <v>447</v>
      </c>
      <c r="B1321" s="1">
        <v>82985</v>
      </c>
      <c r="C1321" s="3">
        <v>43.84</v>
      </c>
      <c r="D1321" s="2">
        <v>43654</v>
      </c>
      <c r="E1321" s="1" t="str">
        <f>"4521*131*4"</f>
        <v>4521*131*4</v>
      </c>
      <c r="F1321" s="1" t="str">
        <f>"JAIL MEDICAL"</f>
        <v>JAIL MEDICAL</v>
      </c>
      <c r="G1321" s="3">
        <v>43.84</v>
      </c>
      <c r="H1321" s="1" t="str">
        <f>"JAIL MEDICAL"</f>
        <v>JAIL MEDICAL</v>
      </c>
    </row>
    <row r="1322" spans="1:8" x14ac:dyDescent="0.25">
      <c r="A1322" s="1" t="s">
        <v>448</v>
      </c>
      <c r="B1322" s="1">
        <v>82986</v>
      </c>
      <c r="C1322" s="3">
        <v>189</v>
      </c>
      <c r="D1322" s="2">
        <v>43654</v>
      </c>
      <c r="E1322" s="1" t="str">
        <f>"201906270120"</f>
        <v>201906270120</v>
      </c>
      <c r="F1322" s="1" t="str">
        <f>"REIMBURSE-REGISTRATION"</f>
        <v>REIMBURSE-REGISTRATION</v>
      </c>
      <c r="G1322" s="3">
        <v>189</v>
      </c>
      <c r="H1322" s="1" t="str">
        <f>"REIMBURSE-REGISTRATION"</f>
        <v>REIMBURSE-REGISTRATION</v>
      </c>
    </row>
    <row r="1323" spans="1:8" x14ac:dyDescent="0.25">
      <c r="A1323" s="1" t="s">
        <v>449</v>
      </c>
      <c r="B1323" s="1">
        <v>1066</v>
      </c>
      <c r="C1323" s="3">
        <v>1200</v>
      </c>
      <c r="D1323" s="2">
        <v>43655</v>
      </c>
      <c r="E1323" s="1" t="str">
        <f>"201906250087"</f>
        <v>201906250087</v>
      </c>
      <c r="F1323" s="1" t="str">
        <f>"16 289"</f>
        <v>16 289</v>
      </c>
      <c r="G1323" s="3">
        <v>1200</v>
      </c>
      <c r="H1323" s="1" t="str">
        <f>"16 289"</f>
        <v>16 289</v>
      </c>
    </row>
    <row r="1324" spans="1:8" x14ac:dyDescent="0.25">
      <c r="A1324" s="1" t="s">
        <v>450</v>
      </c>
      <c r="B1324" s="1">
        <v>82987</v>
      </c>
      <c r="C1324" s="3">
        <v>6200</v>
      </c>
      <c r="D1324" s="2">
        <v>43654</v>
      </c>
      <c r="E1324" s="1" t="str">
        <f>"19-22791"</f>
        <v>19-22791</v>
      </c>
      <c r="F1324" s="1" t="str">
        <f>"4-Wheeler for SO"</f>
        <v>4-Wheeler for SO</v>
      </c>
      <c r="G1324" s="3">
        <v>6200</v>
      </c>
      <c r="H1324" s="1" t="str">
        <f>"4- Wheeler"</f>
        <v>4- Wheeler</v>
      </c>
    </row>
    <row r="1325" spans="1:8" x14ac:dyDescent="0.25">
      <c r="A1325" s="1" t="s">
        <v>451</v>
      </c>
      <c r="B1325" s="1">
        <v>1034</v>
      </c>
      <c r="C1325" s="3">
        <v>4548.05</v>
      </c>
      <c r="D1325" s="2">
        <v>43655</v>
      </c>
      <c r="E1325" s="1" t="str">
        <f>"0170022-IN"</f>
        <v>0170022-IN</v>
      </c>
      <c r="F1325" s="1" t="str">
        <f>"repair of Smithville Towe"</f>
        <v>repair of Smithville Towe</v>
      </c>
      <c r="G1325" s="3">
        <v>4519.1000000000004</v>
      </c>
      <c r="H1325" s="1" t="str">
        <f>"017572"</f>
        <v>017572</v>
      </c>
    </row>
    <row r="1326" spans="1:8" x14ac:dyDescent="0.25">
      <c r="E1326" s="1" t="str">
        <f>""</f>
        <v/>
      </c>
      <c r="F1326" s="1" t="str">
        <f>""</f>
        <v/>
      </c>
      <c r="H1326" s="1" t="str">
        <f>"200258"</f>
        <v>200258</v>
      </c>
    </row>
    <row r="1327" spans="1:8" x14ac:dyDescent="0.25">
      <c r="E1327" s="1" t="str">
        <f>""</f>
        <v/>
      </c>
      <c r="F1327" s="1" t="str">
        <f>""</f>
        <v/>
      </c>
      <c r="H1327" s="1" t="str">
        <f>"Freight"</f>
        <v>Freight</v>
      </c>
    </row>
    <row r="1328" spans="1:8" x14ac:dyDescent="0.25">
      <c r="E1328" s="1" t="str">
        <f>"0170065-IN"</f>
        <v>0170065-IN</v>
      </c>
      <c r="F1328" s="1" t="str">
        <f>"Parts for Tower"</f>
        <v>Parts for Tower</v>
      </c>
      <c r="G1328" s="3">
        <v>28.95</v>
      </c>
      <c r="H1328" s="1" t="str">
        <f>"item# STA22013"</f>
        <v>item# STA22013</v>
      </c>
    </row>
    <row r="1329" spans="1:8" x14ac:dyDescent="0.25">
      <c r="E1329" s="1" t="str">
        <f>""</f>
        <v/>
      </c>
      <c r="F1329" s="1" t="str">
        <f>""</f>
        <v/>
      </c>
      <c r="H1329" s="1" t="str">
        <f>"Item# TERMBLK7"</f>
        <v>Item# TERMBLK7</v>
      </c>
    </row>
    <row r="1330" spans="1:8" x14ac:dyDescent="0.25">
      <c r="E1330" s="1" t="str">
        <f>""</f>
        <v/>
      </c>
      <c r="F1330" s="1" t="str">
        <f>""</f>
        <v/>
      </c>
      <c r="H1330" s="1" t="str">
        <f>"shipping"</f>
        <v>shipping</v>
      </c>
    </row>
    <row r="1331" spans="1:8" x14ac:dyDescent="0.25">
      <c r="A1331" s="1" t="s">
        <v>452</v>
      </c>
      <c r="B1331" s="1">
        <v>82988</v>
      </c>
      <c r="C1331" s="3">
        <v>3240</v>
      </c>
      <c r="D1331" s="2">
        <v>43654</v>
      </c>
      <c r="E1331" s="1" t="str">
        <f>"WTR0052729-31"</f>
        <v>WTR0052729-31</v>
      </c>
      <c r="F1331" s="1" t="str">
        <f>"ACCT#0620010/ONSITE COUNCIL FE"</f>
        <v>ACCT#0620010/ONSITE COUNCIL FE</v>
      </c>
      <c r="G1331" s="3">
        <v>3240</v>
      </c>
      <c r="H1331" s="1" t="str">
        <f>"ACCT#0620010/ONSITE COUNCIL FE"</f>
        <v>ACCT#0620010/ONSITE COUNCIL FE</v>
      </c>
    </row>
    <row r="1332" spans="1:8" x14ac:dyDescent="0.25">
      <c r="A1332" s="1" t="s">
        <v>453</v>
      </c>
      <c r="B1332" s="1">
        <v>82989</v>
      </c>
      <c r="C1332" s="3">
        <v>7294.19</v>
      </c>
      <c r="D1332" s="2">
        <v>43654</v>
      </c>
      <c r="E1332" s="1" t="str">
        <f>"130-7231"</f>
        <v>130-7231</v>
      </c>
      <c r="F1332" s="1" t="str">
        <f>"CUST#42161/ORD#5441"</f>
        <v>CUST#42161/ORD#5441</v>
      </c>
      <c r="G1332" s="3">
        <v>4938.1499999999996</v>
      </c>
      <c r="H1332" s="1" t="str">
        <f>"CUST#42161/ORD#5441"</f>
        <v>CUST#42161/ORD#5441</v>
      </c>
    </row>
    <row r="1333" spans="1:8" x14ac:dyDescent="0.25">
      <c r="E1333" s="1" t="str">
        <f>""</f>
        <v/>
      </c>
      <c r="F1333" s="1" t="str">
        <f>""</f>
        <v/>
      </c>
      <c r="H1333" s="1" t="str">
        <f>"CUST#42161/ORD#5441"</f>
        <v>CUST#42161/ORD#5441</v>
      </c>
    </row>
    <row r="1334" spans="1:8" x14ac:dyDescent="0.25">
      <c r="E1334" s="1" t="str">
        <f>"130-7255"</f>
        <v>130-7255</v>
      </c>
      <c r="F1334" s="1" t="str">
        <f>"CUST#42161/ORD#5465"</f>
        <v>CUST#42161/ORD#5465</v>
      </c>
      <c r="G1334" s="3">
        <v>2356.04</v>
      </c>
      <c r="H1334" s="1" t="str">
        <f>"CUST#42161/ORD#5465"</f>
        <v>CUST#42161/ORD#5465</v>
      </c>
    </row>
    <row r="1335" spans="1:8" x14ac:dyDescent="0.25">
      <c r="E1335" s="1" t="str">
        <f>""</f>
        <v/>
      </c>
      <c r="F1335" s="1" t="str">
        <f>""</f>
        <v/>
      </c>
      <c r="H1335" s="1" t="str">
        <f>"CUST#42161/ORD#5465"</f>
        <v>CUST#42161/ORD#5465</v>
      </c>
    </row>
    <row r="1336" spans="1:8" x14ac:dyDescent="0.25">
      <c r="A1336" s="1" t="s">
        <v>453</v>
      </c>
      <c r="B1336" s="1">
        <v>83251</v>
      </c>
      <c r="C1336" s="3">
        <v>1590</v>
      </c>
      <c r="D1336" s="2">
        <v>43668</v>
      </c>
      <c r="E1336" s="1" t="str">
        <f>"020-20681"</f>
        <v>020-20681</v>
      </c>
      <c r="F1336" s="1" t="str">
        <f>"CUST#42161/ORD#99737"</f>
        <v>CUST#42161/ORD#99737</v>
      </c>
      <c r="G1336" s="3">
        <v>1590</v>
      </c>
      <c r="H1336" s="1" t="str">
        <f>"CUST#42161/ORD#99737"</f>
        <v>CUST#42161/ORD#99737</v>
      </c>
    </row>
    <row r="1337" spans="1:8" x14ac:dyDescent="0.25">
      <c r="A1337" s="1" t="s">
        <v>454</v>
      </c>
      <c r="B1337" s="1">
        <v>83252</v>
      </c>
      <c r="C1337" s="3">
        <v>1200</v>
      </c>
      <c r="D1337" s="2">
        <v>43668</v>
      </c>
      <c r="E1337" s="1" t="str">
        <f>"123"</f>
        <v>123</v>
      </c>
      <c r="F1337" s="1" t="str">
        <f>"ESTO-6018362"</f>
        <v>ESTO-6018362</v>
      </c>
      <c r="G1337" s="3">
        <v>1200</v>
      </c>
      <c r="H1337" s="1" t="str">
        <f>"ESTO-6018362"</f>
        <v>ESTO-6018362</v>
      </c>
    </row>
    <row r="1338" spans="1:8" x14ac:dyDescent="0.25">
      <c r="A1338" s="1" t="s">
        <v>455</v>
      </c>
      <c r="B1338" s="1">
        <v>1012</v>
      </c>
      <c r="C1338" s="3">
        <v>107.16</v>
      </c>
      <c r="D1338" s="2">
        <v>43655</v>
      </c>
      <c r="E1338" s="1" t="str">
        <f>"10489211"</f>
        <v>10489211</v>
      </c>
      <c r="F1338" s="1" t="str">
        <f>"ACCT#38049/FILTER ELEMENT/P4"</f>
        <v>ACCT#38049/FILTER ELEMENT/P4</v>
      </c>
      <c r="G1338" s="3">
        <v>107.16</v>
      </c>
      <c r="H1338" s="1" t="str">
        <f>"ACCT#38049/FILTER ELEMENT/P4"</f>
        <v>ACCT#38049/FILTER ELEMENT/P4</v>
      </c>
    </row>
    <row r="1339" spans="1:8" x14ac:dyDescent="0.25">
      <c r="A1339" s="1" t="s">
        <v>456</v>
      </c>
      <c r="B1339" s="1">
        <v>1057</v>
      </c>
      <c r="C1339" s="3">
        <v>224.41</v>
      </c>
      <c r="D1339" s="2">
        <v>43655</v>
      </c>
      <c r="E1339" s="1" t="str">
        <f>"68728969-00"</f>
        <v>68728969-00</v>
      </c>
      <c r="F1339" s="1" t="str">
        <f>"(4) Teflon Gasket Kit"</f>
        <v>(4) Teflon Gasket Kit</v>
      </c>
      <c r="G1339" s="3">
        <v>52.5</v>
      </c>
      <c r="H1339" s="1" t="str">
        <f>"Part #ROTOLOCK"</f>
        <v>Part #ROTOLOCK</v>
      </c>
    </row>
    <row r="1340" spans="1:8" x14ac:dyDescent="0.25">
      <c r="E1340" s="1" t="str">
        <f>""</f>
        <v/>
      </c>
      <c r="F1340" s="1" t="str">
        <f>""</f>
        <v/>
      </c>
      <c r="H1340" s="1" t="str">
        <f>"freight"</f>
        <v>freight</v>
      </c>
    </row>
    <row r="1341" spans="1:8" x14ac:dyDescent="0.25">
      <c r="E1341" s="1" t="str">
        <f>"68736452-00"</f>
        <v>68736452-00</v>
      </c>
      <c r="F1341" s="1" t="str">
        <f>"CUST#706810/ANEX"</f>
        <v>CUST#706810/ANEX</v>
      </c>
      <c r="G1341" s="3">
        <v>171.91</v>
      </c>
      <c r="H1341" s="1" t="str">
        <f>"CUST#706810/ANEX"</f>
        <v>CUST#706810/ANEX</v>
      </c>
    </row>
    <row r="1342" spans="1:8" x14ac:dyDescent="0.25">
      <c r="A1342" s="1" t="s">
        <v>378</v>
      </c>
      <c r="B1342" s="1">
        <v>83253</v>
      </c>
      <c r="C1342" s="3">
        <v>936.64</v>
      </c>
      <c r="D1342" s="2">
        <v>43668</v>
      </c>
      <c r="E1342" s="1" t="str">
        <f>"174*98041*1"</f>
        <v>174*98041*1</v>
      </c>
      <c r="F1342" s="1" t="str">
        <f>"JAIL MEDICAL"</f>
        <v>JAIL MEDICAL</v>
      </c>
      <c r="G1342" s="3">
        <v>936.64</v>
      </c>
      <c r="H1342" s="1" t="str">
        <f>"JAIL MEDICAL"</f>
        <v>JAIL MEDICAL</v>
      </c>
    </row>
    <row r="1343" spans="1:8" x14ac:dyDescent="0.25">
      <c r="A1343" s="1" t="s">
        <v>457</v>
      </c>
      <c r="B1343" s="1">
        <v>82990</v>
      </c>
      <c r="C1343" s="3">
        <v>5</v>
      </c>
      <c r="D1343" s="2">
        <v>43654</v>
      </c>
      <c r="E1343" s="1" t="str">
        <f>"000018VW63249"</f>
        <v>000018VW63249</v>
      </c>
      <c r="F1343" s="1" t="str">
        <f>"INV 000018VW63249"</f>
        <v>INV 000018VW63249</v>
      </c>
      <c r="G1343" s="3">
        <v>5</v>
      </c>
      <c r="H1343" s="1" t="str">
        <f>"INV 000018VW63249"</f>
        <v>INV 000018VW63249</v>
      </c>
    </row>
    <row r="1344" spans="1:8" x14ac:dyDescent="0.25">
      <c r="A1344" s="1" t="s">
        <v>458</v>
      </c>
      <c r="B1344" s="1">
        <v>83254</v>
      </c>
      <c r="C1344" s="3">
        <v>204.96</v>
      </c>
      <c r="D1344" s="2">
        <v>43668</v>
      </c>
      <c r="E1344" s="1" t="str">
        <f>"2008685"</f>
        <v>2008685</v>
      </c>
      <c r="F1344" s="1" t="str">
        <f>"ACCT#17460002268 003/REMOTE BI"</f>
        <v>ACCT#17460002268 003/REMOTE BI</v>
      </c>
      <c r="G1344" s="3">
        <v>204.96</v>
      </c>
      <c r="H1344" s="1" t="str">
        <f>"ACCT#17460002268 003/REMOTE BI"</f>
        <v>ACCT#17460002268 003/REMOTE BI</v>
      </c>
    </row>
    <row r="1345" spans="1:8" x14ac:dyDescent="0.25">
      <c r="A1345" s="1" t="s">
        <v>459</v>
      </c>
      <c r="B1345" s="1">
        <v>82991</v>
      </c>
      <c r="C1345" s="3">
        <v>35956.33</v>
      </c>
      <c r="D1345" s="2">
        <v>43654</v>
      </c>
      <c r="E1345" s="1" t="str">
        <f>"201906280192"</f>
        <v>201906280192</v>
      </c>
      <c r="F1345" s="1" t="str">
        <f>"inv# 869395921926"</f>
        <v>inv# 869395921926</v>
      </c>
      <c r="G1345" s="3">
        <v>35956.33</v>
      </c>
      <c r="H1345" s="1" t="str">
        <f>"Fuel"</f>
        <v>Fuel</v>
      </c>
    </row>
    <row r="1346" spans="1:8" x14ac:dyDescent="0.25">
      <c r="E1346" s="1" t="str">
        <f>""</f>
        <v/>
      </c>
      <c r="F1346" s="1" t="str">
        <f>""</f>
        <v/>
      </c>
      <c r="H1346" s="1" t="str">
        <f>"Tax"</f>
        <v>Tax</v>
      </c>
    </row>
    <row r="1347" spans="1:8" x14ac:dyDescent="0.25">
      <c r="E1347" s="1" t="str">
        <f>""</f>
        <v/>
      </c>
      <c r="F1347" s="1" t="str">
        <f>""</f>
        <v/>
      </c>
      <c r="H1347" s="1" t="str">
        <f>"Main"</f>
        <v>Main</v>
      </c>
    </row>
    <row r="1348" spans="1:8" x14ac:dyDescent="0.25">
      <c r="E1348" s="1" t="str">
        <f>""</f>
        <v/>
      </c>
      <c r="F1348" s="1" t="str">
        <f>""</f>
        <v/>
      </c>
      <c r="H1348" s="1" t="str">
        <f>"Main"</f>
        <v>Main</v>
      </c>
    </row>
    <row r="1349" spans="1:8" x14ac:dyDescent="0.25">
      <c r="E1349" s="1" t="str">
        <f>""</f>
        <v/>
      </c>
      <c r="F1349" s="1" t="str">
        <f>""</f>
        <v/>
      </c>
      <c r="H1349" s="1" t="str">
        <f>"Fuel"</f>
        <v>Fuel</v>
      </c>
    </row>
    <row r="1350" spans="1:8" x14ac:dyDescent="0.25">
      <c r="E1350" s="1" t="str">
        <f>""</f>
        <v/>
      </c>
      <c r="F1350" s="1" t="str">
        <f>""</f>
        <v/>
      </c>
      <c r="H1350" s="1" t="str">
        <f>"Tax"</f>
        <v>Tax</v>
      </c>
    </row>
    <row r="1351" spans="1:8" x14ac:dyDescent="0.25">
      <c r="E1351" s="1" t="str">
        <f>""</f>
        <v/>
      </c>
      <c r="F1351" s="1" t="str">
        <f>""</f>
        <v/>
      </c>
      <c r="H1351" s="1" t="str">
        <f>"Fuel"</f>
        <v>Fuel</v>
      </c>
    </row>
    <row r="1352" spans="1:8" x14ac:dyDescent="0.25">
      <c r="E1352" s="1" t="str">
        <f>""</f>
        <v/>
      </c>
      <c r="F1352" s="1" t="str">
        <f>""</f>
        <v/>
      </c>
      <c r="H1352" s="1" t="str">
        <f>"Tax"</f>
        <v>Tax</v>
      </c>
    </row>
    <row r="1353" spans="1:8" x14ac:dyDescent="0.25">
      <c r="E1353" s="1" t="str">
        <f>""</f>
        <v/>
      </c>
      <c r="F1353" s="1" t="str">
        <f>""</f>
        <v/>
      </c>
      <c r="H1353" s="1" t="str">
        <f>"Main"</f>
        <v>Main</v>
      </c>
    </row>
    <row r="1354" spans="1:8" x14ac:dyDescent="0.25">
      <c r="E1354" s="1" t="str">
        <f>""</f>
        <v/>
      </c>
      <c r="F1354" s="1" t="str">
        <f>""</f>
        <v/>
      </c>
      <c r="H1354" s="1" t="str">
        <f>"Fuel"</f>
        <v>Fuel</v>
      </c>
    </row>
    <row r="1355" spans="1:8" x14ac:dyDescent="0.25">
      <c r="E1355" s="1" t="str">
        <f>""</f>
        <v/>
      </c>
      <c r="F1355" s="1" t="str">
        <f>""</f>
        <v/>
      </c>
      <c r="H1355" s="1" t="str">
        <f>"Tax"</f>
        <v>Tax</v>
      </c>
    </row>
    <row r="1356" spans="1:8" x14ac:dyDescent="0.25">
      <c r="E1356" s="1" t="str">
        <f>""</f>
        <v/>
      </c>
      <c r="F1356" s="1" t="str">
        <f>""</f>
        <v/>
      </c>
      <c r="H1356" s="1" t="str">
        <f>"Main"</f>
        <v>Main</v>
      </c>
    </row>
    <row r="1357" spans="1:8" x14ac:dyDescent="0.25">
      <c r="E1357" s="1" t="str">
        <f>""</f>
        <v/>
      </c>
      <c r="F1357" s="1" t="str">
        <f>""</f>
        <v/>
      </c>
      <c r="H1357" s="1" t="str">
        <f>"Fuel"</f>
        <v>Fuel</v>
      </c>
    </row>
    <row r="1358" spans="1:8" x14ac:dyDescent="0.25">
      <c r="E1358" s="1" t="str">
        <f>""</f>
        <v/>
      </c>
      <c r="F1358" s="1" t="str">
        <f>""</f>
        <v/>
      </c>
      <c r="H1358" s="1" t="str">
        <f>"Tax"</f>
        <v>Tax</v>
      </c>
    </row>
    <row r="1359" spans="1:8" x14ac:dyDescent="0.25">
      <c r="E1359" s="1" t="str">
        <f>""</f>
        <v/>
      </c>
      <c r="F1359" s="1" t="str">
        <f>""</f>
        <v/>
      </c>
      <c r="H1359" s="1" t="str">
        <f>"Main"</f>
        <v>Main</v>
      </c>
    </row>
    <row r="1360" spans="1:8" x14ac:dyDescent="0.25">
      <c r="E1360" s="1" t="str">
        <f>""</f>
        <v/>
      </c>
      <c r="F1360" s="1" t="str">
        <f>""</f>
        <v/>
      </c>
      <c r="H1360" s="1" t="str">
        <f>"Fuel"</f>
        <v>Fuel</v>
      </c>
    </row>
    <row r="1361" spans="1:9" x14ac:dyDescent="0.25">
      <c r="E1361" s="1" t="str">
        <f>""</f>
        <v/>
      </c>
      <c r="F1361" s="1" t="str">
        <f>""</f>
        <v/>
      </c>
      <c r="H1361" s="1" t="str">
        <f>"Tax"</f>
        <v>Tax</v>
      </c>
    </row>
    <row r="1362" spans="1:9" x14ac:dyDescent="0.25">
      <c r="E1362" s="1" t="str">
        <f>""</f>
        <v/>
      </c>
      <c r="F1362" s="1" t="str">
        <f>""</f>
        <v/>
      </c>
      <c r="H1362" s="1" t="str">
        <f>"FUel"</f>
        <v>FUel</v>
      </c>
    </row>
    <row r="1363" spans="1:9" x14ac:dyDescent="0.25">
      <c r="E1363" s="1" t="str">
        <f>""</f>
        <v/>
      </c>
      <c r="F1363" s="1" t="str">
        <f>""</f>
        <v/>
      </c>
      <c r="H1363" s="1" t="str">
        <f>"Tax"</f>
        <v>Tax</v>
      </c>
    </row>
    <row r="1364" spans="1:9" x14ac:dyDescent="0.25">
      <c r="E1364" s="1" t="str">
        <f>""</f>
        <v/>
      </c>
      <c r="F1364" s="1" t="str">
        <f>""</f>
        <v/>
      </c>
      <c r="H1364" s="1" t="str">
        <f>"Fuel Rebate"</f>
        <v>Fuel Rebate</v>
      </c>
    </row>
    <row r="1365" spans="1:9" x14ac:dyDescent="0.25">
      <c r="E1365" s="1" t="str">
        <f>""</f>
        <v/>
      </c>
      <c r="F1365" s="1" t="str">
        <f>""</f>
        <v/>
      </c>
      <c r="H1365" s="1" t="str">
        <f>"Fuel"</f>
        <v>Fuel</v>
      </c>
    </row>
    <row r="1366" spans="1:9" x14ac:dyDescent="0.25">
      <c r="E1366" s="1" t="str">
        <f>""</f>
        <v/>
      </c>
      <c r="F1366" s="1" t="str">
        <f>""</f>
        <v/>
      </c>
      <c r="H1366" s="1" t="str">
        <f>"Tax"</f>
        <v>Tax</v>
      </c>
    </row>
    <row r="1367" spans="1:9" x14ac:dyDescent="0.25">
      <c r="E1367" s="1" t="str">
        <f>""</f>
        <v/>
      </c>
      <c r="F1367" s="1" t="str">
        <f>""</f>
        <v/>
      </c>
      <c r="H1367" s="1" t="str">
        <f>"Main"</f>
        <v>Main</v>
      </c>
    </row>
    <row r="1368" spans="1:9" x14ac:dyDescent="0.25">
      <c r="E1368" s="1" t="str">
        <f>""</f>
        <v/>
      </c>
      <c r="F1368" s="1" t="str">
        <f>""</f>
        <v/>
      </c>
      <c r="H1368" s="1" t="str">
        <f>"Main"</f>
        <v>Main</v>
      </c>
    </row>
    <row r="1369" spans="1:9" x14ac:dyDescent="0.25">
      <c r="A1369" s="1" t="s">
        <v>460</v>
      </c>
      <c r="B1369" s="1">
        <v>1067</v>
      </c>
      <c r="C1369" s="3">
        <v>1704.5</v>
      </c>
      <c r="D1369" s="2">
        <v>43655</v>
      </c>
      <c r="E1369" s="1" t="str">
        <f>"342682"</f>
        <v>342682</v>
      </c>
      <c r="F1369" s="1" t="str">
        <f>"Sign Shop Materials"</f>
        <v>Sign Shop Materials</v>
      </c>
      <c r="G1369" s="3">
        <v>1704.5</v>
      </c>
      <c r="H1369" s="1" t="str">
        <f>"10x2 U-Chann. Posts"</f>
        <v>10x2 U-Chann. Posts</v>
      </c>
    </row>
    <row r="1370" spans="1:9" x14ac:dyDescent="0.25">
      <c r="E1370" s="1" t="str">
        <f>""</f>
        <v/>
      </c>
      <c r="F1370" s="1" t="str">
        <f>""</f>
        <v/>
      </c>
      <c r="H1370" s="1" t="str">
        <f>"6x1.12 U-Chann Posts"</f>
        <v>6x1.12 U-Chann Posts</v>
      </c>
    </row>
    <row r="1371" spans="1:9" x14ac:dyDescent="0.25">
      <c r="E1371" s="1" t="str">
        <f>""</f>
        <v/>
      </c>
      <c r="F1371" s="1" t="str">
        <f>""</f>
        <v/>
      </c>
      <c r="H1371" s="1" t="str">
        <f>"Round Post Bracket"</f>
        <v>Round Post Bracket</v>
      </c>
    </row>
    <row r="1372" spans="1:9" x14ac:dyDescent="0.25">
      <c r="A1372" s="1" t="s">
        <v>461</v>
      </c>
      <c r="B1372" s="1">
        <v>83255</v>
      </c>
      <c r="C1372" s="3">
        <v>93.2</v>
      </c>
      <c r="D1372" s="2">
        <v>43668</v>
      </c>
      <c r="E1372" s="1" t="str">
        <f>"0619-DR14926"</f>
        <v>0619-DR14926</v>
      </c>
      <c r="F1372" s="1" t="str">
        <f>"CLIENT ID:CXD 14926-JUNE 2019"</f>
        <v>CLIENT ID:CXD 14926-JUNE 2019</v>
      </c>
      <c r="G1372" s="3">
        <v>93.2</v>
      </c>
      <c r="H1372" s="1" t="str">
        <f>"CLIENT ID:CXD 14926-JUNE 2019"</f>
        <v>CLIENT ID:CXD 14926-JUNE 2019</v>
      </c>
    </row>
    <row r="1373" spans="1:9" x14ac:dyDescent="0.25">
      <c r="A1373" s="1" t="s">
        <v>462</v>
      </c>
      <c r="B1373" s="1">
        <v>83256</v>
      </c>
      <c r="C1373" s="3">
        <v>100</v>
      </c>
      <c r="D1373" s="2">
        <v>43668</v>
      </c>
      <c r="E1373" s="1" t="s">
        <v>58</v>
      </c>
      <c r="F1373" s="1" t="s">
        <v>463</v>
      </c>
      <c r="G1373" s="3" t="str">
        <f>"RESTITUTION - A. VILLEGAS"</f>
        <v>RESTITUTION - A. VILLEGAS</v>
      </c>
      <c r="H1373" s="1" t="str">
        <f>"210-0000"</f>
        <v>210-0000</v>
      </c>
      <c r="I1373" s="1" t="str">
        <f>""</f>
        <v/>
      </c>
    </row>
    <row r="1374" spans="1:9" x14ac:dyDescent="0.25">
      <c r="A1374" s="1" t="s">
        <v>464</v>
      </c>
      <c r="B1374" s="1">
        <v>1086</v>
      </c>
      <c r="C1374" s="3">
        <v>8005.47</v>
      </c>
      <c r="D1374" s="2">
        <v>43669</v>
      </c>
      <c r="E1374" s="1" t="str">
        <f>"16961"</f>
        <v>16961</v>
      </c>
      <c r="F1374" s="1" t="str">
        <f>"COLD MIX/PCT#3"</f>
        <v>COLD MIX/PCT#3</v>
      </c>
      <c r="G1374" s="3">
        <v>5344.9</v>
      </c>
      <c r="H1374" s="1" t="str">
        <f>"COLD MIX/PCT#3"</f>
        <v>COLD MIX/PCT#3</v>
      </c>
    </row>
    <row r="1375" spans="1:9" x14ac:dyDescent="0.25">
      <c r="E1375" s="1" t="str">
        <f>"16993"</f>
        <v>16993</v>
      </c>
      <c r="F1375" s="1" t="str">
        <f>"COLD MIX/FREIGHT/PCT#4"</f>
        <v>COLD MIX/FREIGHT/PCT#4</v>
      </c>
      <c r="G1375" s="3">
        <v>2660.57</v>
      </c>
      <c r="H1375" s="1" t="str">
        <f>"COLD MIX/FREIGHT/PCT#4"</f>
        <v>COLD MIX/FREIGHT/PCT#4</v>
      </c>
    </row>
    <row r="1376" spans="1:9" x14ac:dyDescent="0.25">
      <c r="A1376" s="1" t="s">
        <v>465</v>
      </c>
      <c r="B1376" s="1">
        <v>82845</v>
      </c>
      <c r="C1376" s="3">
        <v>19092.150000000001</v>
      </c>
      <c r="D1376" s="2">
        <v>43649</v>
      </c>
      <c r="E1376" s="1" t="str">
        <f>"9961137"</f>
        <v>9961137</v>
      </c>
      <c r="F1376" s="1" t="str">
        <f>"ACCT#5150-005117630/07012019"</f>
        <v>ACCT#5150-005117630/07012019</v>
      </c>
      <c r="G1376" s="3">
        <v>250.29</v>
      </c>
      <c r="H1376" s="1" t="str">
        <f>"ACCT#5150-005117630/07012019"</f>
        <v>ACCT#5150-005117630/07012019</v>
      </c>
    </row>
    <row r="1377" spans="1:8" x14ac:dyDescent="0.25">
      <c r="E1377" s="1" t="str">
        <f>"9961144"</f>
        <v>9961144</v>
      </c>
      <c r="F1377" s="1" t="str">
        <f>"ACCT#5150-005117766/07012019"</f>
        <v>ACCT#5150-005117766/07012019</v>
      </c>
      <c r="G1377" s="3">
        <v>109.87</v>
      </c>
      <c r="H1377" s="1" t="str">
        <f>"ACCT#5150-005117766/07012019"</f>
        <v>ACCT#5150-005117766/07012019</v>
      </c>
    </row>
    <row r="1378" spans="1:8" x14ac:dyDescent="0.25">
      <c r="E1378" s="1" t="str">
        <f>"9961148"</f>
        <v>9961148</v>
      </c>
      <c r="F1378" s="1" t="str">
        <f>"ACCT#5150-005117838/07012019"</f>
        <v>ACCT#5150-005117838/07012019</v>
      </c>
      <c r="G1378" s="3">
        <v>101.68</v>
      </c>
      <c r="H1378" s="1" t="str">
        <f>"ACCT#5150-005117838/07012019"</f>
        <v>ACCT#5150-005117838/07012019</v>
      </c>
    </row>
    <row r="1379" spans="1:8" x14ac:dyDescent="0.25">
      <c r="E1379" s="1" t="str">
        <f>"9961150"</f>
        <v>9961150</v>
      </c>
      <c r="F1379" s="1" t="str">
        <f>"ACCT#5150-005117882/07012019"</f>
        <v>ACCT#5150-005117882/07012019</v>
      </c>
      <c r="G1379" s="3">
        <v>137.32</v>
      </c>
      <c r="H1379" s="1" t="str">
        <f>"ACCT#5150-005117882/07012019"</f>
        <v>ACCT#5150-005117882/07012019</v>
      </c>
    </row>
    <row r="1380" spans="1:8" x14ac:dyDescent="0.25">
      <c r="E1380" s="1" t="str">
        <f>"9961159"</f>
        <v>9961159</v>
      </c>
      <c r="F1380" s="1" t="str">
        <f>"ACCT#5150-005118183/07012019"</f>
        <v>ACCT#5150-005118183/07012019</v>
      </c>
      <c r="G1380" s="3">
        <v>589.49</v>
      </c>
      <c r="H1380" s="1" t="str">
        <f>"ACCT#5150-005118183/07012019"</f>
        <v>ACCT#5150-005118183/07012019</v>
      </c>
    </row>
    <row r="1381" spans="1:8" x14ac:dyDescent="0.25">
      <c r="E1381" s="1" t="str">
        <f>"9961230"</f>
        <v>9961230</v>
      </c>
      <c r="F1381" s="1" t="str">
        <f>"ACCT#5150-005129483/07012019"</f>
        <v>ACCT#5150-005129483/07012019</v>
      </c>
      <c r="G1381" s="3">
        <v>17903.5</v>
      </c>
      <c r="H1381" s="1" t="str">
        <f>"ACCT#5150-005129483/07012019"</f>
        <v>ACCT#5150-005129483/07012019</v>
      </c>
    </row>
    <row r="1382" spans="1:8" x14ac:dyDescent="0.25">
      <c r="A1382" s="1" t="s">
        <v>465</v>
      </c>
      <c r="B1382" s="1">
        <v>83257</v>
      </c>
      <c r="C1382" s="3">
        <v>167.57</v>
      </c>
      <c r="D1382" s="2">
        <v>43668</v>
      </c>
      <c r="E1382" s="1" t="str">
        <f>"9966405"</f>
        <v>9966405</v>
      </c>
      <c r="F1382" s="1" t="str">
        <f>"ACCT#5150-16203415/911 BLDG"</f>
        <v>ACCT#5150-16203415/911 BLDG</v>
      </c>
      <c r="G1382" s="3">
        <v>79.510000000000005</v>
      </c>
      <c r="H1382" s="1" t="str">
        <f>"ACCT#5150-16203415/911 BLDG"</f>
        <v>ACCT#5150-16203415/911 BLDG</v>
      </c>
    </row>
    <row r="1383" spans="1:8" x14ac:dyDescent="0.25">
      <c r="E1383" s="1" t="str">
        <f>"9966406"</f>
        <v>9966406</v>
      </c>
      <c r="F1383" s="1" t="str">
        <f>"ACCT#5150-16203417/EXTEN OFFIC"</f>
        <v>ACCT#5150-16203417/EXTEN OFFIC</v>
      </c>
      <c r="G1383" s="3">
        <v>88.06</v>
      </c>
      <c r="H1383" s="1" t="str">
        <f>"ACCT#5150-16203417/EXTEN OFFIC"</f>
        <v>ACCT#5150-16203417/EXTEN OFFIC</v>
      </c>
    </row>
    <row r="1384" spans="1:8" x14ac:dyDescent="0.25">
      <c r="A1384" s="1" t="s">
        <v>466</v>
      </c>
      <c r="B1384" s="1">
        <v>82992</v>
      </c>
      <c r="C1384" s="3">
        <v>412.89</v>
      </c>
      <c r="D1384" s="2">
        <v>43654</v>
      </c>
      <c r="E1384" s="1" t="str">
        <f>"0044401-2161-6"</f>
        <v>0044401-2161-6</v>
      </c>
      <c r="F1384" s="1" t="str">
        <f>"CUST ID:2-56581-95066/ANIMAL C"</f>
        <v>CUST ID:2-56581-95066/ANIMAL C</v>
      </c>
      <c r="G1384" s="3">
        <v>412.89</v>
      </c>
      <c r="H1384" s="1" t="str">
        <f>"CUST ID:2-56581-95066/ANIMAL C"</f>
        <v>CUST ID:2-56581-95066/ANIMAL C</v>
      </c>
    </row>
    <row r="1385" spans="1:8" x14ac:dyDescent="0.25">
      <c r="A1385" s="1" t="s">
        <v>466</v>
      </c>
      <c r="B1385" s="1">
        <v>83258</v>
      </c>
      <c r="C1385" s="3">
        <v>4691.75</v>
      </c>
      <c r="D1385" s="2">
        <v>43668</v>
      </c>
      <c r="E1385" s="1" t="str">
        <f>"0020863-2161-5"</f>
        <v>0020863-2161-5</v>
      </c>
      <c r="F1385" s="1" t="str">
        <f>"CUST ID:2-57060-55062/PCT#4"</f>
        <v>CUST ID:2-57060-55062/PCT#4</v>
      </c>
      <c r="G1385" s="3">
        <v>4581.6000000000004</v>
      </c>
      <c r="H1385" s="1" t="str">
        <f>"CUST ID:2-57060-55062/PCT#4"</f>
        <v>CUST ID:2-57060-55062/PCT#4</v>
      </c>
    </row>
    <row r="1386" spans="1:8" x14ac:dyDescent="0.25">
      <c r="E1386" s="1" t="str">
        <f>"0038827-2162-8"</f>
        <v>0038827-2162-8</v>
      </c>
      <c r="F1386" s="1" t="str">
        <f>"CUST#16-27603-83003/ANIMAL SVC"</f>
        <v>CUST#16-27603-83003/ANIMAL SVC</v>
      </c>
      <c r="G1386" s="3">
        <v>110.15</v>
      </c>
      <c r="H1386" s="1" t="str">
        <f>"CUST#16-27603-83003/ANIMAL SVC"</f>
        <v>CUST#16-27603-83003/ANIMAL SVC</v>
      </c>
    </row>
    <row r="1387" spans="1:8" x14ac:dyDescent="0.25">
      <c r="A1387" s="1" t="s">
        <v>467</v>
      </c>
      <c r="B1387" s="1">
        <v>1026</v>
      </c>
      <c r="C1387" s="3">
        <v>382</v>
      </c>
      <c r="D1387" s="2">
        <v>43655</v>
      </c>
      <c r="E1387" s="1" t="str">
        <f>"3896"</f>
        <v>3896</v>
      </c>
      <c r="F1387" s="1" t="str">
        <f>"EMBROIDERY/PCT#2"</f>
        <v>EMBROIDERY/PCT#2</v>
      </c>
      <c r="G1387" s="3">
        <v>182</v>
      </c>
      <c r="H1387" s="1" t="str">
        <f>"EMBROIDERY/PCT#2"</f>
        <v>EMBROIDERY/PCT#2</v>
      </c>
    </row>
    <row r="1388" spans="1:8" x14ac:dyDescent="0.25">
      <c r="E1388" s="1" t="str">
        <f>"3900"</f>
        <v>3900</v>
      </c>
      <c r="F1388" s="1" t="str">
        <f>"REFURBISH MIGHT FRIENDLY"</f>
        <v>REFURBISH MIGHT FRIENDLY</v>
      </c>
      <c r="G1388" s="3">
        <v>200</v>
      </c>
      <c r="H1388" s="1" t="str">
        <f>"REFURBISH MIGHT FRIENDLY"</f>
        <v>REFURBISH MIGHT FRIENDLY</v>
      </c>
    </row>
    <row r="1389" spans="1:8" x14ac:dyDescent="0.25">
      <c r="A1389" s="1" t="s">
        <v>468</v>
      </c>
      <c r="B1389" s="1">
        <v>82993</v>
      </c>
      <c r="C1389" s="3">
        <v>70</v>
      </c>
      <c r="D1389" s="2">
        <v>43654</v>
      </c>
      <c r="E1389" s="1" t="str">
        <f>"12850"</f>
        <v>12850</v>
      </c>
      <c r="F1389" s="1" t="str">
        <f>"SERVICE 04/04/19"</f>
        <v>SERVICE 04/04/19</v>
      </c>
      <c r="G1389" s="3">
        <v>70</v>
      </c>
      <c r="H1389" s="1" t="str">
        <f>"SERVICE 04/04/19"</f>
        <v>SERVICE 04/04/19</v>
      </c>
    </row>
    <row r="1390" spans="1:8" x14ac:dyDescent="0.25">
      <c r="A1390" s="1" t="s">
        <v>469</v>
      </c>
      <c r="B1390" s="1">
        <v>82994</v>
      </c>
      <c r="C1390" s="3">
        <v>70</v>
      </c>
      <c r="D1390" s="2">
        <v>43654</v>
      </c>
      <c r="E1390" s="1" t="str">
        <f>"12933"</f>
        <v>12933</v>
      </c>
      <c r="F1390" s="1" t="str">
        <f>"SERVICE 04/04/19"</f>
        <v>SERVICE 04/04/19</v>
      </c>
      <c r="G1390" s="3">
        <v>70</v>
      </c>
      <c r="H1390" s="1" t="str">
        <f>"SERVICE 04/04/19"</f>
        <v>SERVICE 04/04/19</v>
      </c>
    </row>
    <row r="1391" spans="1:8" x14ac:dyDescent="0.25">
      <c r="A1391" s="1" t="s">
        <v>470</v>
      </c>
      <c r="B1391" s="1">
        <v>83259</v>
      </c>
      <c r="C1391" s="3">
        <v>140</v>
      </c>
      <c r="D1391" s="2">
        <v>43668</v>
      </c>
      <c r="E1391" s="1" t="str">
        <f>"12733"</f>
        <v>12733</v>
      </c>
      <c r="F1391" s="1" t="str">
        <f>"SERVICE"</f>
        <v>SERVICE</v>
      </c>
      <c r="G1391" s="3">
        <v>140</v>
      </c>
      <c r="H1391" s="1" t="str">
        <f>"SERVICE"</f>
        <v>SERVICE</v>
      </c>
    </row>
    <row r="1392" spans="1:8" x14ac:dyDescent="0.25">
      <c r="A1392" s="1" t="s">
        <v>469</v>
      </c>
      <c r="B1392" s="1">
        <v>83260</v>
      </c>
      <c r="C1392" s="3">
        <v>280</v>
      </c>
      <c r="D1392" s="2">
        <v>43668</v>
      </c>
      <c r="E1392" s="1" t="str">
        <f>"12733"</f>
        <v>12733</v>
      </c>
      <c r="F1392" s="1" t="str">
        <f>"SERVICE"</f>
        <v>SERVICE</v>
      </c>
      <c r="G1392" s="3">
        <v>210</v>
      </c>
      <c r="H1392" s="1" t="str">
        <f>"SERVICE"</f>
        <v>SERVICE</v>
      </c>
    </row>
    <row r="1393" spans="1:8" x14ac:dyDescent="0.25">
      <c r="E1393" s="1" t="str">
        <f>"13185"</f>
        <v>13185</v>
      </c>
      <c r="F1393" s="1" t="str">
        <f>"SERVICE"</f>
        <v>SERVICE</v>
      </c>
      <c r="G1393" s="3">
        <v>70</v>
      </c>
      <c r="H1393" s="1" t="str">
        <f>"SERVICE"</f>
        <v>SERVICE</v>
      </c>
    </row>
    <row r="1394" spans="1:8" x14ac:dyDescent="0.25">
      <c r="A1394" s="1" t="s">
        <v>471</v>
      </c>
      <c r="B1394" s="1">
        <v>82995</v>
      </c>
      <c r="C1394" s="3">
        <v>4999</v>
      </c>
      <c r="D1394" s="2">
        <v>43654</v>
      </c>
      <c r="E1394" s="1" t="str">
        <f>"1420"</f>
        <v>1420</v>
      </c>
      <c r="F1394" s="1" t="str">
        <f>"ROAD WORK / PCT #1"</f>
        <v>ROAD WORK / PCT #1</v>
      </c>
      <c r="G1394" s="3">
        <v>4999</v>
      </c>
      <c r="H1394" s="1" t="str">
        <f>"ROAD WORK / PCT #1"</f>
        <v>ROAD WORK / PCT #1</v>
      </c>
    </row>
    <row r="1395" spans="1:8" x14ac:dyDescent="0.25">
      <c r="A1395" s="1" t="s">
        <v>471</v>
      </c>
      <c r="B1395" s="1">
        <v>83261</v>
      </c>
      <c r="C1395" s="3">
        <v>9775</v>
      </c>
      <c r="D1395" s="2">
        <v>43668</v>
      </c>
      <c r="E1395" s="1" t="str">
        <f>"1424-P1"</f>
        <v>1424-P1</v>
      </c>
      <c r="F1395" s="1" t="str">
        <f>"TRACK HOE/PCT#1"</f>
        <v>TRACK HOE/PCT#1</v>
      </c>
      <c r="G1395" s="3">
        <v>4887.5</v>
      </c>
      <c r="H1395" s="1" t="str">
        <f>"TRACK HOE/PCT#1"</f>
        <v>TRACK HOE/PCT#1</v>
      </c>
    </row>
    <row r="1396" spans="1:8" x14ac:dyDescent="0.25">
      <c r="E1396" s="1" t="str">
        <f>"1424-P2"</f>
        <v>1424-P2</v>
      </c>
      <c r="F1396" s="1" t="str">
        <f>"TRACK HOE/PCT#2"</f>
        <v>TRACK HOE/PCT#2</v>
      </c>
      <c r="G1396" s="3">
        <v>4887.5</v>
      </c>
      <c r="H1396" s="1" t="str">
        <f>"TRACK HOE/PCT#2"</f>
        <v>TRACK HOE/PCT#2</v>
      </c>
    </row>
    <row r="1397" spans="1:8" x14ac:dyDescent="0.25">
      <c r="A1397" s="1" t="s">
        <v>472</v>
      </c>
      <c r="B1397" s="1">
        <v>82996</v>
      </c>
      <c r="C1397" s="3">
        <v>9845.0300000000007</v>
      </c>
      <c r="D1397" s="2">
        <v>43654</v>
      </c>
      <c r="E1397" s="1" t="str">
        <f>"INV2065902VC"</f>
        <v>INV2065902VC</v>
      </c>
      <c r="F1397" s="1" t="str">
        <f>"Lease Buyout"</f>
        <v>Lease Buyout</v>
      </c>
      <c r="G1397" s="3">
        <v>9845.0300000000007</v>
      </c>
      <c r="H1397" s="1" t="str">
        <f>"Xerox C8055"</f>
        <v>Xerox C8055</v>
      </c>
    </row>
    <row r="1398" spans="1:8" x14ac:dyDescent="0.25">
      <c r="A1398" s="1" t="s">
        <v>473</v>
      </c>
      <c r="B1398" s="1">
        <v>1068</v>
      </c>
      <c r="C1398" s="3">
        <v>143.74</v>
      </c>
      <c r="D1398" s="2">
        <v>43655</v>
      </c>
      <c r="E1398" s="1" t="str">
        <f>"097239231"</f>
        <v>097239231</v>
      </c>
      <c r="F1398" s="1" t="str">
        <f>"CUST#662445931/REF#VTX00000X-0"</f>
        <v>CUST#662445931/REF#VTX00000X-0</v>
      </c>
      <c r="G1398" s="3">
        <v>143.74</v>
      </c>
      <c r="H1398" s="1" t="str">
        <f>"CUST#662445931/REF#VTX00000X-0"</f>
        <v>CUST#662445931/REF#VTX00000X-0</v>
      </c>
    </row>
    <row r="1399" spans="1:8" x14ac:dyDescent="0.25">
      <c r="A1399" s="1" t="s">
        <v>473</v>
      </c>
      <c r="B1399" s="1">
        <v>82997</v>
      </c>
      <c r="C1399" s="3">
        <v>201.64</v>
      </c>
      <c r="D1399" s="2">
        <v>43654</v>
      </c>
      <c r="E1399" s="1" t="str">
        <f>"1660147"</f>
        <v>1660147</v>
      </c>
      <c r="F1399" s="1" t="str">
        <f>"CONTRACT#010-0095885-001-JUNE"</f>
        <v>CONTRACT#010-0095885-001-JUNE</v>
      </c>
      <c r="G1399" s="3">
        <v>201.64</v>
      </c>
      <c r="H1399" s="1" t="str">
        <f>"CONTRACT#010-0095885-001-JUNE"</f>
        <v>CONTRACT#010-0095885-001-JUNE</v>
      </c>
    </row>
    <row r="1400" spans="1:8" x14ac:dyDescent="0.25">
      <c r="A1400" s="1" t="s">
        <v>474</v>
      </c>
      <c r="B1400" s="1">
        <v>82998</v>
      </c>
      <c r="C1400" s="3">
        <v>1934.88</v>
      </c>
      <c r="D1400" s="2">
        <v>43654</v>
      </c>
      <c r="E1400" s="1" t="str">
        <f>"9008376261"</f>
        <v>9008376261</v>
      </c>
      <c r="F1400" s="1" t="str">
        <f>"CUST#20000053103/ANIMAL SHELTE"</f>
        <v>CUST#20000053103/ANIMAL SHELTE</v>
      </c>
      <c r="G1400" s="3">
        <v>301.27999999999997</v>
      </c>
      <c r="H1400" s="1" t="str">
        <f>"CUST#20000053103/ANIMAL SHELTE"</f>
        <v>CUST#20000053103/ANIMAL SHELTE</v>
      </c>
    </row>
    <row r="1401" spans="1:8" x14ac:dyDescent="0.25">
      <c r="E1401" s="1" t="str">
        <f>"9008385172"</f>
        <v>9008385172</v>
      </c>
      <c r="F1401" s="1" t="str">
        <f>"CUST#2000053103/ANIMAL SHELTER"</f>
        <v>CUST#2000053103/ANIMAL SHELTER</v>
      </c>
      <c r="G1401" s="3">
        <v>1164.4000000000001</v>
      </c>
      <c r="H1401" s="1" t="str">
        <f>"CUST#2000053103/ANIMAL SHELTER"</f>
        <v>CUST#2000053103/ANIMAL SHELTER</v>
      </c>
    </row>
    <row r="1402" spans="1:8" x14ac:dyDescent="0.25">
      <c r="E1402" s="1" t="str">
        <f>"900842346"</f>
        <v>900842346</v>
      </c>
      <c r="F1402" s="1" t="str">
        <f>"CUST#2000053103/ANIMAL SHELTER"</f>
        <v>CUST#2000053103/ANIMAL SHELTER</v>
      </c>
      <c r="G1402" s="3">
        <v>469.2</v>
      </c>
      <c r="H1402" s="1" t="str">
        <f>"CUST#2000053103/ANIMAL SHELTER"</f>
        <v>CUST#2000053103/ANIMAL SHELTER</v>
      </c>
    </row>
    <row r="1403" spans="1:8" x14ac:dyDescent="0.25">
      <c r="A1403" s="1" t="s">
        <v>37</v>
      </c>
      <c r="B1403" s="1">
        <v>83262</v>
      </c>
      <c r="C1403" s="3">
        <v>387.48</v>
      </c>
      <c r="D1403" s="2">
        <v>43668</v>
      </c>
      <c r="E1403" s="1" t="str">
        <f>"201907150427"</f>
        <v>201907150427</v>
      </c>
      <c r="F1403" s="1" t="str">
        <f>"ACCT#015397/JUVENILE BOOT CAMP"</f>
        <v>ACCT#015397/JUVENILE BOOT CAMP</v>
      </c>
      <c r="G1403" s="3">
        <v>387.48</v>
      </c>
      <c r="H1403" s="1" t="str">
        <f>"ACCT#015397/JUVENILE BOOT CAMP"</f>
        <v>ACCT#015397/JUVENILE BOOT CAMP</v>
      </c>
    </row>
    <row r="1404" spans="1:8" x14ac:dyDescent="0.25">
      <c r="A1404" s="1" t="s">
        <v>475</v>
      </c>
      <c r="B1404" s="1">
        <v>82999</v>
      </c>
      <c r="C1404" s="3">
        <v>82017</v>
      </c>
      <c r="D1404" s="2">
        <v>43654</v>
      </c>
      <c r="E1404" s="1" t="str">
        <f>"3RD QUARTER 2019"</f>
        <v>3RD QUARTER 2019</v>
      </c>
      <c r="F1404" s="1" t="str">
        <f>"REVENUE-BASTROP 3RD QTR 2019"</f>
        <v>REVENUE-BASTROP 3RD QTR 2019</v>
      </c>
      <c r="G1404" s="3">
        <v>82017</v>
      </c>
      <c r="H1404" s="1" t="str">
        <f>"REVENUE-BASTROP 3RD QTR 2019"</f>
        <v>REVENUE-BASTROP 3RD QTR 2019</v>
      </c>
    </row>
    <row r="1405" spans="1:8" x14ac:dyDescent="0.25">
      <c r="A1405" s="1" t="s">
        <v>476</v>
      </c>
      <c r="B1405" s="1">
        <v>83263</v>
      </c>
      <c r="C1405" s="3">
        <v>27876.97</v>
      </c>
      <c r="D1405" s="2">
        <v>43668</v>
      </c>
      <c r="E1405" s="1" t="str">
        <f>"1070"</f>
        <v>1070</v>
      </c>
      <c r="F1405" s="1" t="str">
        <f>"BOOT CAMP EXPS/APRIL-JUNE 2019"</f>
        <v>BOOT CAMP EXPS/APRIL-JUNE 2019</v>
      </c>
      <c r="G1405" s="3">
        <v>27876.97</v>
      </c>
      <c r="H1405" s="1" t="str">
        <f>"BOOT CAMP EXPS/APRIL-JUNE 2019"</f>
        <v>BOOT CAMP EXPS/APRIL-JUNE 2019</v>
      </c>
    </row>
    <row r="1406" spans="1:8" x14ac:dyDescent="0.25">
      <c r="A1406" s="1" t="s">
        <v>78</v>
      </c>
      <c r="B1406" s="1">
        <v>83021</v>
      </c>
      <c r="C1406" s="3">
        <v>389.78</v>
      </c>
      <c r="D1406" s="2">
        <v>43662</v>
      </c>
      <c r="E1406" s="1" t="str">
        <f>"201907160486"</f>
        <v>201907160486</v>
      </c>
      <c r="F1406" s="1" t="str">
        <f>"ACCT#5000057374 / 07062019"</f>
        <v>ACCT#5000057374 / 07062019</v>
      </c>
      <c r="G1406" s="3">
        <v>389.78</v>
      </c>
      <c r="H1406" s="1" t="str">
        <f>"ACCT#5000057374 / 07062019"</f>
        <v>ACCT#5000057374 / 07062019</v>
      </c>
    </row>
    <row r="1407" spans="1:8" x14ac:dyDescent="0.25">
      <c r="A1407" s="1" t="s">
        <v>88</v>
      </c>
      <c r="B1407" s="1">
        <v>175</v>
      </c>
      <c r="C1407" s="3">
        <v>8.7100000000000009</v>
      </c>
      <c r="D1407" s="2">
        <v>43668</v>
      </c>
      <c r="E1407" s="1" t="str">
        <f>"201907170617"</f>
        <v>201907170617</v>
      </c>
      <c r="F1407" s="1" t="str">
        <f>"acct# 0058"</f>
        <v>acct# 0058</v>
      </c>
      <c r="G1407" s="3">
        <v>-14.65</v>
      </c>
      <c r="H1407" s="1" t="str">
        <f>"magnets on the go"</f>
        <v>magnets on the go</v>
      </c>
    </row>
    <row r="1408" spans="1:8" x14ac:dyDescent="0.25">
      <c r="E1408" s="1" t="str">
        <f>"201907170616"</f>
        <v>201907170616</v>
      </c>
      <c r="F1408" s="1" t="str">
        <f>"acct# 0058"</f>
        <v>acct# 0058</v>
      </c>
      <c r="G1408" s="3">
        <v>23.36</v>
      </c>
      <c r="H1408" s="1" t="str">
        <f>"walmart"</f>
        <v>walmart</v>
      </c>
    </row>
    <row r="1409" spans="1:8" x14ac:dyDescent="0.25">
      <c r="A1409" s="1" t="s">
        <v>477</v>
      </c>
      <c r="B1409" s="1">
        <v>176</v>
      </c>
      <c r="C1409" s="3">
        <v>1842106.26</v>
      </c>
      <c r="D1409" s="2">
        <v>43668</v>
      </c>
      <c r="E1409" s="1" t="str">
        <f>"1429353"</f>
        <v>1429353</v>
      </c>
      <c r="F1409" s="1" t="str">
        <f>"DEBT SERVICE PMT - SERIES 2017"</f>
        <v>DEBT SERVICE PMT - SERIES 2017</v>
      </c>
      <c r="G1409" s="3">
        <v>534350</v>
      </c>
      <c r="H1409" s="1" t="str">
        <f>"DEBT SERVICE PMT - SERIES 2017"</f>
        <v>DEBT SERVICE PMT - SERIES 2017</v>
      </c>
    </row>
    <row r="1410" spans="1:8" x14ac:dyDescent="0.25">
      <c r="E1410" s="1" t="str">
        <f>""</f>
        <v/>
      </c>
      <c r="F1410" s="1" t="str">
        <f>""</f>
        <v/>
      </c>
      <c r="H1410" s="1" t="str">
        <f>"DEBT SERVICE PMT - SERIES 2017"</f>
        <v>DEBT SERVICE PMT - SERIES 2017</v>
      </c>
    </row>
    <row r="1411" spans="1:8" x14ac:dyDescent="0.25">
      <c r="E1411" s="1" t="str">
        <f>"1429376"</f>
        <v>1429376</v>
      </c>
      <c r="F1411" s="1" t="str">
        <f>"DEBT SERVICE PMT - SERIES 2014"</f>
        <v>DEBT SERVICE PMT - SERIES 2014</v>
      </c>
      <c r="G1411" s="3">
        <v>493093.75</v>
      </c>
      <c r="H1411" s="1" t="str">
        <f>"DEBT SERVICE PMT - SERIES 2014"</f>
        <v>DEBT SERVICE PMT - SERIES 2014</v>
      </c>
    </row>
    <row r="1412" spans="1:8" x14ac:dyDescent="0.25">
      <c r="E1412" s="1" t="str">
        <f>""</f>
        <v/>
      </c>
      <c r="F1412" s="1" t="str">
        <f>""</f>
        <v/>
      </c>
      <c r="H1412" s="1" t="str">
        <f>"DEBT SERVICE PMT - SERIES 2014"</f>
        <v>DEBT SERVICE PMT - SERIES 2014</v>
      </c>
    </row>
    <row r="1413" spans="1:8" x14ac:dyDescent="0.25">
      <c r="E1413" s="1" t="str">
        <f>"1429377"</f>
        <v>1429377</v>
      </c>
      <c r="F1413" s="1" t="str">
        <f>"DEBT SERVICE PMT - SERIES 2018"</f>
        <v>DEBT SERVICE PMT - SERIES 2018</v>
      </c>
      <c r="G1413" s="3">
        <v>174968.76</v>
      </c>
      <c r="H1413" s="1" t="str">
        <f>"DEBT SERVICE PMT - SERIES 2018"</f>
        <v>DEBT SERVICE PMT - SERIES 2018</v>
      </c>
    </row>
    <row r="1414" spans="1:8" x14ac:dyDescent="0.25">
      <c r="E1414" s="1" t="str">
        <f>"201907100406"</f>
        <v>201907100406</v>
      </c>
      <c r="F1414" s="1" t="str">
        <f>"DEBT SERVICE PMT - SERIES 2010"</f>
        <v>DEBT SERVICE PMT - SERIES 2010</v>
      </c>
      <c r="G1414" s="3">
        <v>639243.75</v>
      </c>
      <c r="H1414" s="1" t="str">
        <f>"DEBT SERVICE PMT - SERIES 2010"</f>
        <v>DEBT SERVICE PMT - SERIES 2010</v>
      </c>
    </row>
    <row r="1415" spans="1:8" x14ac:dyDescent="0.25">
      <c r="E1415" s="1" t="str">
        <f>""</f>
        <v/>
      </c>
      <c r="F1415" s="1" t="str">
        <f>""</f>
        <v/>
      </c>
      <c r="H1415" s="1" t="str">
        <f>"DEBT SERVICE PMT - SERIES 2010"</f>
        <v>DEBT SERVICE PMT - SERIES 2010</v>
      </c>
    </row>
    <row r="1416" spans="1:8" x14ac:dyDescent="0.25">
      <c r="E1416" s="1" t="str">
        <f>""</f>
        <v/>
      </c>
      <c r="F1416" s="1" t="str">
        <f>""</f>
        <v/>
      </c>
      <c r="H1416" s="1" t="str">
        <f>"DEBT SERVICE PMT - SERIES 2010"</f>
        <v>DEBT SERVICE PMT - SERIES 2010</v>
      </c>
    </row>
    <row r="1417" spans="1:8" x14ac:dyDescent="0.25">
      <c r="E1417" s="1" t="str">
        <f>"5406098"</f>
        <v>5406098</v>
      </c>
      <c r="F1417" s="1" t="str">
        <f>"DEBT SERVICE PMT - SERIES 2017"</f>
        <v>DEBT SERVICE PMT - SERIES 2017</v>
      </c>
      <c r="G1417" s="3">
        <v>450</v>
      </c>
      <c r="H1417" s="1" t="str">
        <f>"DEBT SERVICE PMT - SERIES 2017"</f>
        <v>DEBT SERVICE PMT - SERIES 2017</v>
      </c>
    </row>
    <row r="1418" spans="1:8" x14ac:dyDescent="0.25">
      <c r="A1418" s="1" t="s">
        <v>155</v>
      </c>
      <c r="B1418" s="1">
        <v>83006</v>
      </c>
      <c r="C1418" s="3">
        <v>148754</v>
      </c>
      <c r="D1418" s="2">
        <v>43654</v>
      </c>
      <c r="E1418" s="1" t="str">
        <f>"KY1701"</f>
        <v>KY1701</v>
      </c>
      <c r="F1418" s="1" t="str">
        <f>"AUSTIN TRUCK &amp; EQUIPMENT  LTD"</f>
        <v>AUSTIN TRUCK &amp; EQUIPMENT  LTD</v>
      </c>
      <c r="G1418" s="3">
        <v>148754</v>
      </c>
      <c r="H1418" s="1" t="str">
        <f>"2020 FREIGHTLINER"</f>
        <v>2020 FREIGHTLINER</v>
      </c>
    </row>
    <row r="1419" spans="1:8" x14ac:dyDescent="0.25">
      <c r="E1419" s="1" t="str">
        <f>""</f>
        <v/>
      </c>
      <c r="F1419" s="1" t="str">
        <f>""</f>
        <v/>
      </c>
      <c r="H1419" s="1" t="str">
        <f>"WARREN 15' DUMP"</f>
        <v>WARREN 15' DUMP</v>
      </c>
    </row>
    <row r="1420" spans="1:8" x14ac:dyDescent="0.25">
      <c r="E1420" s="1" t="str">
        <f>""</f>
        <v/>
      </c>
      <c r="F1420" s="1" t="str">
        <f>""</f>
        <v/>
      </c>
      <c r="H1420" s="1" t="str">
        <f>"FLINK CROSS CONVEYOR"</f>
        <v>FLINK CROSS CONVEYOR</v>
      </c>
    </row>
    <row r="1421" spans="1:8" x14ac:dyDescent="0.25">
      <c r="E1421" s="1" t="str">
        <f>""</f>
        <v/>
      </c>
      <c r="F1421" s="1" t="str">
        <f>""</f>
        <v/>
      </c>
      <c r="H1421" s="1" t="str">
        <f>"BUYBOARD FEE"</f>
        <v>BUYBOARD FEE</v>
      </c>
    </row>
    <row r="1422" spans="1:8" x14ac:dyDescent="0.25">
      <c r="A1422" s="1" t="s">
        <v>213</v>
      </c>
      <c r="B1422" s="1">
        <v>83264</v>
      </c>
      <c r="C1422" s="3">
        <v>162.51</v>
      </c>
      <c r="D1422" s="2">
        <v>43668</v>
      </c>
      <c r="E1422" s="1" t="str">
        <f>"201907100407"</f>
        <v>201907100407</v>
      </c>
      <c r="F1422" s="1" t="str">
        <f>"ACCT#1645/WILDIFRE MITIGATION"</f>
        <v>ACCT#1645/WILDIFRE MITIGATION</v>
      </c>
      <c r="G1422" s="3">
        <v>162.51</v>
      </c>
      <c r="H1422" s="1" t="str">
        <f>"ACCT#1645/WILDIFRE MITIGATION"</f>
        <v>ACCT#1645/WILDIFRE MITIGATION</v>
      </c>
    </row>
    <row r="1423" spans="1:8" x14ac:dyDescent="0.25">
      <c r="A1423" s="1" t="s">
        <v>478</v>
      </c>
      <c r="B1423" s="1">
        <v>83000</v>
      </c>
      <c r="C1423" s="3">
        <v>11757.18</v>
      </c>
      <c r="D1423" s="2">
        <v>43654</v>
      </c>
      <c r="E1423" s="1" t="str">
        <f>"3785"</f>
        <v>3785</v>
      </c>
      <c r="F1423" s="1" t="str">
        <f>"HMGP ADMIN-DRAINAGE IMP PROJ"</f>
        <v>HMGP ADMIN-DRAINAGE IMP PROJ</v>
      </c>
      <c r="G1423" s="3">
        <v>5558.67</v>
      </c>
      <c r="H1423" s="1" t="str">
        <f>"HMGP ADMIN-DRAINAGE IMP PROJ"</f>
        <v>HMGP ADMIN-DRAINAGE IMP PROJ</v>
      </c>
    </row>
    <row r="1424" spans="1:8" x14ac:dyDescent="0.25">
      <c r="E1424" s="1" t="str">
        <f>"3786"</f>
        <v>3786</v>
      </c>
      <c r="F1424" s="1" t="str">
        <f>"HMGP ADMIN-DRAINAGE IMP PROJ"</f>
        <v>HMGP ADMIN-DRAINAGE IMP PROJ</v>
      </c>
      <c r="G1424" s="3">
        <v>6198.51</v>
      </c>
      <c r="H1424" s="1" t="str">
        <f>"HMGP ADMIN-DRAINAGE IMP PROJ"</f>
        <v>HMGP ADMIN-DRAINAGE IMP PROJ</v>
      </c>
    </row>
    <row r="1425" spans="1:8" x14ac:dyDescent="0.25">
      <c r="A1425" s="1" t="s">
        <v>224</v>
      </c>
      <c r="B1425" s="1">
        <v>83001</v>
      </c>
      <c r="C1425" s="3">
        <v>67.5</v>
      </c>
      <c r="D1425" s="2">
        <v>43654</v>
      </c>
      <c r="E1425" s="1" t="str">
        <f>"201906250105"</f>
        <v>201906250105</v>
      </c>
      <c r="F1425" s="1" t="str">
        <f>"VEHICLE REGISTRATIONS/OEM"</f>
        <v>VEHICLE REGISTRATIONS/OEM</v>
      </c>
      <c r="G1425" s="3">
        <v>67.5</v>
      </c>
      <c r="H1425" s="1" t="str">
        <f>"VEHICLE REGISTRATIONS/OEM"</f>
        <v>VEHICLE REGISTRATIONS/OEM</v>
      </c>
    </row>
    <row r="1426" spans="1:8" x14ac:dyDescent="0.25">
      <c r="A1426" s="1" t="s">
        <v>231</v>
      </c>
      <c r="B1426" s="1">
        <v>83265</v>
      </c>
      <c r="C1426" s="3">
        <v>221.11</v>
      </c>
      <c r="D1426" s="2">
        <v>43668</v>
      </c>
      <c r="E1426" s="1" t="str">
        <f>"913435"</f>
        <v>913435</v>
      </c>
      <c r="F1426" s="1" t="str">
        <f>"acct# 8692"</f>
        <v>acct# 8692</v>
      </c>
      <c r="G1426" s="3">
        <v>221.11</v>
      </c>
      <c r="H1426" s="1" t="str">
        <f>"inv# 913435"</f>
        <v>inv# 913435</v>
      </c>
    </row>
    <row r="1427" spans="1:8" x14ac:dyDescent="0.25">
      <c r="A1427" s="1" t="s">
        <v>479</v>
      </c>
      <c r="B1427" s="1">
        <v>83266</v>
      </c>
      <c r="C1427" s="3">
        <v>8244.51</v>
      </c>
      <c r="D1427" s="2">
        <v>43668</v>
      </c>
      <c r="E1427" s="1" t="str">
        <f>"PART4973530"</f>
        <v>PART4973530</v>
      </c>
      <c r="F1427" s="1" t="str">
        <f>"Skid Steer Teeth"</f>
        <v>Skid Steer Teeth</v>
      </c>
      <c r="G1427" s="3">
        <v>7356.92</v>
      </c>
      <c r="H1427" s="1" t="str">
        <f>"Skid Steer Teeth"</f>
        <v>Skid Steer Teeth</v>
      </c>
    </row>
    <row r="1428" spans="1:8" x14ac:dyDescent="0.25">
      <c r="E1428" s="1" t="str">
        <f>"WORK0962479"</f>
        <v>WORK0962479</v>
      </c>
      <c r="F1428" s="1" t="str">
        <f>"Inv# WORK0962479"</f>
        <v>Inv# WORK0962479</v>
      </c>
      <c r="G1428" s="3">
        <v>887.59</v>
      </c>
      <c r="H1428" s="1" t="str">
        <f>"PART# 460-5343"</f>
        <v>PART# 460-5343</v>
      </c>
    </row>
    <row r="1429" spans="1:8" x14ac:dyDescent="0.25">
      <c r="E1429" s="1" t="str">
        <f>""</f>
        <v/>
      </c>
      <c r="F1429" s="1" t="str">
        <f>""</f>
        <v/>
      </c>
      <c r="H1429" s="1" t="str">
        <f>"FREIGHT"</f>
        <v>FREIGHT</v>
      </c>
    </row>
    <row r="1430" spans="1:8" x14ac:dyDescent="0.25">
      <c r="E1430" s="1" t="str">
        <f>""</f>
        <v/>
      </c>
      <c r="F1430" s="1" t="str">
        <f>""</f>
        <v/>
      </c>
      <c r="H1430" s="1" t="str">
        <f>"ENVIRONMENT"</f>
        <v>ENVIRONMENT</v>
      </c>
    </row>
    <row r="1431" spans="1:8" x14ac:dyDescent="0.25">
      <c r="E1431" s="1" t="str">
        <f>""</f>
        <v/>
      </c>
      <c r="F1431" s="1" t="str">
        <f>""</f>
        <v/>
      </c>
      <c r="H1431" s="1" t="str">
        <f>"SUPPLIES"</f>
        <v>SUPPLIES</v>
      </c>
    </row>
    <row r="1432" spans="1:8" x14ac:dyDescent="0.25">
      <c r="A1432" s="1" t="s">
        <v>480</v>
      </c>
      <c r="B1432" s="1">
        <v>83267</v>
      </c>
      <c r="C1432" s="3">
        <v>11727.66</v>
      </c>
      <c r="D1432" s="2">
        <v>43668</v>
      </c>
      <c r="E1432" s="1" t="str">
        <f>"201907160488"</f>
        <v>201907160488</v>
      </c>
      <c r="F1432" s="1" t="str">
        <f>"Pay App3"</f>
        <v>Pay App3</v>
      </c>
      <c r="G1432" s="3">
        <v>11727.66</v>
      </c>
      <c r="H1432" s="1" t="str">
        <f>"Pay App3"</f>
        <v>Pay App3</v>
      </c>
    </row>
    <row r="1433" spans="1:8" x14ac:dyDescent="0.25">
      <c r="A1433" s="1" t="s">
        <v>481</v>
      </c>
      <c r="B1433" s="1">
        <v>83002</v>
      </c>
      <c r="C1433" s="3">
        <v>50.86</v>
      </c>
      <c r="D1433" s="2">
        <v>43654</v>
      </c>
      <c r="E1433" s="1" t="str">
        <f>"201906270128"</f>
        <v>201906270128</v>
      </c>
      <c r="F1433" s="1" t="str">
        <f>"REIMBURSE TRASH BAGS"</f>
        <v>REIMBURSE TRASH BAGS</v>
      </c>
      <c r="G1433" s="3">
        <v>4.54</v>
      </c>
      <c r="H1433" s="1" t="str">
        <f>"REIMBURSE TRASH BAGS"</f>
        <v>REIMBURSE TRASH BAGS</v>
      </c>
    </row>
    <row r="1434" spans="1:8" x14ac:dyDescent="0.25">
      <c r="E1434" s="1" t="str">
        <f>"201906280198"</f>
        <v>201906280198</v>
      </c>
      <c r="F1434" s="1" t="str">
        <f>"REIMBURSE BOOT CAMP SUPPLIES"</f>
        <v>REIMBURSE BOOT CAMP SUPPLIES</v>
      </c>
      <c r="G1434" s="3">
        <v>46.32</v>
      </c>
      <c r="H1434" s="1" t="str">
        <f>"REIMBURSE BOOT CAMP SUPPLIES"</f>
        <v>REIMBURSE BOOT CAMP SUPPLIES</v>
      </c>
    </row>
    <row r="1435" spans="1:8" x14ac:dyDescent="0.25">
      <c r="A1435" s="1" t="s">
        <v>482</v>
      </c>
      <c r="B1435" s="1">
        <v>83003</v>
      </c>
      <c r="C1435" s="3">
        <v>218278</v>
      </c>
      <c r="D1435" s="2">
        <v>43654</v>
      </c>
      <c r="E1435" s="1" t="str">
        <f>"181204-R"</f>
        <v>181204-R</v>
      </c>
      <c r="F1435" s="1" t="str">
        <f>"PROJ#181204/COMMUNICATIONS BLD"</f>
        <v>PROJ#181204/COMMUNICATIONS BLD</v>
      </c>
      <c r="G1435" s="3">
        <v>193133.4</v>
      </c>
      <c r="H1435" s="1" t="str">
        <f>"PROJ#181204/COMMUNICATIONS BLD"</f>
        <v>PROJ#181204/COMMUNICATIONS BLD</v>
      </c>
    </row>
    <row r="1436" spans="1:8" x14ac:dyDescent="0.25">
      <c r="E1436" s="1" t="str">
        <f>"18120410"</f>
        <v>18120410</v>
      </c>
      <c r="F1436" s="1" t="str">
        <f>"PROJ#181204/COMMUNICATIONS BLD"</f>
        <v>PROJ#181204/COMMUNICATIONS BLD</v>
      </c>
      <c r="G1436" s="3">
        <v>25144.6</v>
      </c>
      <c r="H1436" s="1" t="str">
        <f>"PROJ#181204/COMMUNICATIONS BLD"</f>
        <v>PROJ#181204/COMMUNICATIONS BLD</v>
      </c>
    </row>
    <row r="1437" spans="1:8" x14ac:dyDescent="0.25">
      <c r="A1437" s="1" t="s">
        <v>427</v>
      </c>
      <c r="B1437" s="1">
        <v>83004</v>
      </c>
      <c r="C1437" s="3">
        <v>30.15</v>
      </c>
      <c r="D1437" s="2">
        <v>43654</v>
      </c>
      <c r="E1437" s="1" t="str">
        <f>"D-2019-3-0110-APTF"</f>
        <v>D-2019-3-0110-APTF</v>
      </c>
      <c r="F1437" s="1" t="str">
        <f>"UNEMPLOYMENT/QTR END 06/30/19"</f>
        <v>UNEMPLOYMENT/QTR END 06/30/19</v>
      </c>
      <c r="G1437" s="3">
        <v>30.15</v>
      </c>
      <c r="H1437" s="1" t="str">
        <f>"UNEMPLOYMENT/QTR END 06/30/19"</f>
        <v>UNEMPLOYMENT/QTR END 06/30/19</v>
      </c>
    </row>
    <row r="1438" spans="1:8" x14ac:dyDescent="0.25">
      <c r="A1438" s="1" t="s">
        <v>427</v>
      </c>
      <c r="B1438" s="1">
        <v>83018</v>
      </c>
      <c r="C1438" s="3">
        <v>8.7799999999999994</v>
      </c>
      <c r="D1438" s="2">
        <v>43655</v>
      </c>
      <c r="E1438" s="1" t="str">
        <f>"DP-2019-1-0110-1"</f>
        <v>DP-2019-1-0110-1</v>
      </c>
      <c r="F1438" s="1" t="str">
        <f>"UNEMPLOYMENT DEFICIT 1ST-2019"</f>
        <v>UNEMPLOYMENT DEFICIT 1ST-2019</v>
      </c>
      <c r="G1438" s="3">
        <v>8.7799999999999994</v>
      </c>
      <c r="H1438" s="1" t="str">
        <f>"UNEMPLOYMENT DEFICIT 1ST-2019"</f>
        <v>UNEMPLOYMENT DEFICIT 1ST-2019</v>
      </c>
    </row>
    <row r="1439" spans="1:8" x14ac:dyDescent="0.25">
      <c r="A1439" s="1" t="s">
        <v>483</v>
      </c>
      <c r="B1439" s="1">
        <v>83268</v>
      </c>
      <c r="C1439" s="3">
        <v>10000</v>
      </c>
      <c r="D1439" s="2">
        <v>43668</v>
      </c>
      <c r="E1439" s="1" t="str">
        <f>"BC05312019"</f>
        <v>BC05312019</v>
      </c>
      <c r="F1439" s="1" t="str">
        <f>"FINAL PAYMENT-2018-2019 CONTRA"</f>
        <v>FINAL PAYMENT-2018-2019 CONTRA</v>
      </c>
      <c r="G1439" s="3">
        <v>10000</v>
      </c>
      <c r="H1439" s="1" t="str">
        <f>"FINAL PAYMENT-2018-2019 CONTRA"</f>
        <v>FINAL PAYMENT-2018-2019 CONTRA</v>
      </c>
    </row>
    <row r="1440" spans="1:8" x14ac:dyDescent="0.25">
      <c r="A1440" s="1" t="s">
        <v>459</v>
      </c>
      <c r="B1440" s="1">
        <v>83005</v>
      </c>
      <c r="C1440" s="3">
        <v>1542.44</v>
      </c>
      <c r="D1440" s="2">
        <v>43654</v>
      </c>
      <c r="E1440" s="1" t="str">
        <f>"869395921926"</f>
        <v>869395921926</v>
      </c>
      <c r="F1440" s="1" t="str">
        <f>"inv# 869395921926"</f>
        <v>inv# 869395921926</v>
      </c>
      <c r="G1440" s="3">
        <v>1542.44</v>
      </c>
      <c r="H1440" s="1" t="str">
        <f>"Fuel"</f>
        <v>Fuel</v>
      </c>
    </row>
    <row r="1441" spans="1:8" x14ac:dyDescent="0.25">
      <c r="E1441" s="1" t="str">
        <f>""</f>
        <v/>
      </c>
      <c r="F1441" s="1" t="str">
        <f>""</f>
        <v/>
      </c>
      <c r="H1441" s="1" t="str">
        <f>"Tax"</f>
        <v>Tax</v>
      </c>
    </row>
    <row r="1442" spans="1:8" x14ac:dyDescent="0.25">
      <c r="A1442" s="1" t="s">
        <v>484</v>
      </c>
      <c r="B1442" s="1">
        <v>188</v>
      </c>
      <c r="C1442" s="3">
        <v>5479.44</v>
      </c>
      <c r="D1442" s="2">
        <v>43671</v>
      </c>
      <c r="E1442" s="1" t="str">
        <f>"201907250686"</f>
        <v>201907250686</v>
      </c>
      <c r="F1442" s="1" t="str">
        <f>"ALLSTATE-AMERICAN HERITAGE LIF"</f>
        <v>ALLSTATE-AMERICAN HERITAGE LIF</v>
      </c>
      <c r="G1442" s="3">
        <v>0.02</v>
      </c>
      <c r="H1442" s="1" t="str">
        <f>"ALLSTATE-AMERICAN HERITAGE LIF"</f>
        <v>ALLSTATE-AMERICAN HERITAGE LIF</v>
      </c>
    </row>
    <row r="1443" spans="1:8" x14ac:dyDescent="0.25">
      <c r="E1443" s="1" t="str">
        <f>"AS 201907090324"</f>
        <v>AS 201907090324</v>
      </c>
      <c r="F1443" s="1" t="str">
        <f t="shared" ref="F1443:F1456" si="20">"ALLSTATE"</f>
        <v>ALLSTATE</v>
      </c>
      <c r="G1443" s="3">
        <v>533.49</v>
      </c>
      <c r="H1443" s="1" t="str">
        <f t="shared" ref="H1443:H1456" si="21">"ALLSTATE"</f>
        <v>ALLSTATE</v>
      </c>
    </row>
    <row r="1444" spans="1:8" x14ac:dyDescent="0.25">
      <c r="E1444" s="1" t="str">
        <f>"AS 201907090325"</f>
        <v>AS 201907090325</v>
      </c>
      <c r="F1444" s="1" t="str">
        <f t="shared" si="20"/>
        <v>ALLSTATE</v>
      </c>
      <c r="G1444" s="3">
        <v>27.14</v>
      </c>
      <c r="H1444" s="1" t="str">
        <f t="shared" si="21"/>
        <v>ALLSTATE</v>
      </c>
    </row>
    <row r="1445" spans="1:8" x14ac:dyDescent="0.25">
      <c r="E1445" s="1" t="str">
        <f>"AS 201907230648"</f>
        <v>AS 201907230648</v>
      </c>
      <c r="F1445" s="1" t="str">
        <f t="shared" si="20"/>
        <v>ALLSTATE</v>
      </c>
      <c r="G1445" s="3">
        <v>533.49</v>
      </c>
      <c r="H1445" s="1" t="str">
        <f t="shared" si="21"/>
        <v>ALLSTATE</v>
      </c>
    </row>
    <row r="1446" spans="1:8" x14ac:dyDescent="0.25">
      <c r="E1446" s="1" t="str">
        <f>"AS 201907230650"</f>
        <v>AS 201907230650</v>
      </c>
      <c r="F1446" s="1" t="str">
        <f t="shared" si="20"/>
        <v>ALLSTATE</v>
      </c>
      <c r="G1446" s="3">
        <v>27.14</v>
      </c>
      <c r="H1446" s="1" t="str">
        <f t="shared" si="21"/>
        <v>ALLSTATE</v>
      </c>
    </row>
    <row r="1447" spans="1:8" x14ac:dyDescent="0.25">
      <c r="E1447" s="1" t="str">
        <f>"ASD201907090324"</f>
        <v>ASD201907090324</v>
      </c>
      <c r="F1447" s="1" t="str">
        <f t="shared" si="20"/>
        <v>ALLSTATE</v>
      </c>
      <c r="G1447" s="3">
        <v>193.93</v>
      </c>
      <c r="H1447" s="1" t="str">
        <f t="shared" si="21"/>
        <v>ALLSTATE</v>
      </c>
    </row>
    <row r="1448" spans="1:8" x14ac:dyDescent="0.25">
      <c r="E1448" s="1" t="str">
        <f>"ASD201907230648"</f>
        <v>ASD201907230648</v>
      </c>
      <c r="F1448" s="1" t="str">
        <f t="shared" si="20"/>
        <v>ALLSTATE</v>
      </c>
      <c r="G1448" s="3">
        <v>193.93</v>
      </c>
      <c r="H1448" s="1" t="str">
        <f t="shared" si="21"/>
        <v>ALLSTATE</v>
      </c>
    </row>
    <row r="1449" spans="1:8" x14ac:dyDescent="0.25">
      <c r="E1449" s="1" t="str">
        <f>"ASI201907090324"</f>
        <v>ASI201907090324</v>
      </c>
      <c r="F1449" s="1" t="str">
        <f t="shared" si="20"/>
        <v>ALLSTATE</v>
      </c>
      <c r="G1449" s="3">
        <v>621.97</v>
      </c>
      <c r="H1449" s="1" t="str">
        <f t="shared" si="21"/>
        <v>ALLSTATE</v>
      </c>
    </row>
    <row r="1450" spans="1:8" x14ac:dyDescent="0.25">
      <c r="E1450" s="1" t="str">
        <f>"ASI201907090325"</f>
        <v>ASI201907090325</v>
      </c>
      <c r="F1450" s="1" t="str">
        <f t="shared" si="20"/>
        <v>ALLSTATE</v>
      </c>
      <c r="G1450" s="3">
        <v>67.150000000000006</v>
      </c>
      <c r="H1450" s="1" t="str">
        <f t="shared" si="21"/>
        <v>ALLSTATE</v>
      </c>
    </row>
    <row r="1451" spans="1:8" x14ac:dyDescent="0.25">
      <c r="E1451" s="1" t="str">
        <f>"ASI201907230648"</f>
        <v>ASI201907230648</v>
      </c>
      <c r="F1451" s="1" t="str">
        <f t="shared" si="20"/>
        <v>ALLSTATE</v>
      </c>
      <c r="G1451" s="3">
        <v>621.97</v>
      </c>
      <c r="H1451" s="1" t="str">
        <f t="shared" si="21"/>
        <v>ALLSTATE</v>
      </c>
    </row>
    <row r="1452" spans="1:8" x14ac:dyDescent="0.25">
      <c r="E1452" s="1" t="str">
        <f>"ASI201907230650"</f>
        <v>ASI201907230650</v>
      </c>
      <c r="F1452" s="1" t="str">
        <f t="shared" si="20"/>
        <v>ALLSTATE</v>
      </c>
      <c r="G1452" s="3">
        <v>67.150000000000006</v>
      </c>
      <c r="H1452" s="1" t="str">
        <f t="shared" si="21"/>
        <v>ALLSTATE</v>
      </c>
    </row>
    <row r="1453" spans="1:8" x14ac:dyDescent="0.25">
      <c r="E1453" s="1" t="str">
        <f>"AST201907090324"</f>
        <v>AST201907090324</v>
      </c>
      <c r="F1453" s="1" t="str">
        <f t="shared" si="20"/>
        <v>ALLSTATE</v>
      </c>
      <c r="G1453" s="3">
        <v>1253.42</v>
      </c>
      <c r="H1453" s="1" t="str">
        <f t="shared" si="21"/>
        <v>ALLSTATE</v>
      </c>
    </row>
    <row r="1454" spans="1:8" x14ac:dyDescent="0.25">
      <c r="E1454" s="1" t="str">
        <f>"AST201907090325"</f>
        <v>AST201907090325</v>
      </c>
      <c r="F1454" s="1" t="str">
        <f t="shared" si="20"/>
        <v>ALLSTATE</v>
      </c>
      <c r="G1454" s="3">
        <v>42.61</v>
      </c>
      <c r="H1454" s="1" t="str">
        <f t="shared" si="21"/>
        <v>ALLSTATE</v>
      </c>
    </row>
    <row r="1455" spans="1:8" x14ac:dyDescent="0.25">
      <c r="E1455" s="1" t="str">
        <f>"AST201907230648"</f>
        <v>AST201907230648</v>
      </c>
      <c r="F1455" s="1" t="str">
        <f t="shared" si="20"/>
        <v>ALLSTATE</v>
      </c>
      <c r="G1455" s="3">
        <v>1253.42</v>
      </c>
      <c r="H1455" s="1" t="str">
        <f t="shared" si="21"/>
        <v>ALLSTATE</v>
      </c>
    </row>
    <row r="1456" spans="1:8" x14ac:dyDescent="0.25">
      <c r="E1456" s="1" t="str">
        <f>"AST201907230650"</f>
        <v>AST201907230650</v>
      </c>
      <c r="F1456" s="1" t="str">
        <f t="shared" si="20"/>
        <v>ALLSTATE</v>
      </c>
      <c r="G1456" s="3">
        <v>42.61</v>
      </c>
      <c r="H1456" s="1" t="str">
        <f t="shared" si="21"/>
        <v>ALLSTATE</v>
      </c>
    </row>
    <row r="1457" spans="1:8" x14ac:dyDescent="0.25">
      <c r="A1457" s="1" t="s">
        <v>485</v>
      </c>
      <c r="B1457" s="1">
        <v>184</v>
      </c>
      <c r="C1457" s="3">
        <v>26704.31</v>
      </c>
      <c r="D1457" s="2">
        <v>43671</v>
      </c>
      <c r="E1457" s="1" t="str">
        <f>"201907250685"</f>
        <v>201907250685</v>
      </c>
      <c r="F1457" s="1" t="str">
        <f>"AmWINS Group Benefits  Inc."</f>
        <v>AmWINS Group Benefits  Inc.</v>
      </c>
      <c r="G1457" s="3">
        <v>26704.31</v>
      </c>
      <c r="H1457" s="1" t="str">
        <f>"AmWINS Group Benefits  Inc."</f>
        <v>AmWINS Group Benefits  Inc.</v>
      </c>
    </row>
    <row r="1458" spans="1:8" x14ac:dyDescent="0.25">
      <c r="A1458" s="1" t="s">
        <v>486</v>
      </c>
      <c r="B1458" s="1">
        <v>170</v>
      </c>
      <c r="C1458" s="3">
        <v>3046.28</v>
      </c>
      <c r="D1458" s="2">
        <v>43658</v>
      </c>
      <c r="E1458" s="1" t="str">
        <f>"DDP201907090326"</f>
        <v>DDP201907090326</v>
      </c>
      <c r="F1458" s="1" t="str">
        <f>"AP - TEXAS DISCOUNT DENTAL"</f>
        <v>AP - TEXAS DISCOUNT DENTAL</v>
      </c>
      <c r="G1458" s="3">
        <v>2.7</v>
      </c>
      <c r="H1458" s="1" t="str">
        <f>"AP - TEXAS DISCOUNT DENTAL"</f>
        <v>AP - TEXAS DISCOUNT DENTAL</v>
      </c>
    </row>
    <row r="1459" spans="1:8" x14ac:dyDescent="0.25">
      <c r="E1459" s="1" t="str">
        <f>"DHM201907090326"</f>
        <v>DHM201907090326</v>
      </c>
      <c r="F1459" s="1" t="str">
        <f>"AP - DENTAL HMO"</f>
        <v>AP - DENTAL HMO</v>
      </c>
      <c r="G1459" s="3">
        <v>63.31</v>
      </c>
      <c r="H1459" s="1" t="str">
        <f>"AP - DENTAL HMO"</f>
        <v>AP - DENTAL HMO</v>
      </c>
    </row>
    <row r="1460" spans="1:8" x14ac:dyDescent="0.25">
      <c r="E1460" s="1" t="str">
        <f>"DTX201907090326"</f>
        <v>DTX201907090326</v>
      </c>
      <c r="F1460" s="1" t="str">
        <f>"AP - TEXAS DENTAL"</f>
        <v>AP - TEXAS DENTAL</v>
      </c>
      <c r="G1460" s="3">
        <v>388.16</v>
      </c>
      <c r="H1460" s="1" t="str">
        <f>"AP - TEXAS DENTAL"</f>
        <v>AP - TEXAS DENTAL</v>
      </c>
    </row>
    <row r="1461" spans="1:8" x14ac:dyDescent="0.25">
      <c r="E1461" s="1" t="str">
        <f>"FD 201907090326"</f>
        <v>FD 201907090326</v>
      </c>
      <c r="F1461" s="1" t="str">
        <f>"AP - FT DEARBORN PRE-TAX"</f>
        <v>AP - FT DEARBORN PRE-TAX</v>
      </c>
      <c r="G1461" s="3">
        <v>138.33000000000001</v>
      </c>
      <c r="H1461" s="1" t="str">
        <f>"AP - FT DEARBORN PRE-TAX"</f>
        <v>AP - FT DEARBORN PRE-TAX</v>
      </c>
    </row>
    <row r="1462" spans="1:8" x14ac:dyDescent="0.25">
      <c r="E1462" s="1" t="str">
        <f>"FDT201907090326"</f>
        <v>FDT201907090326</v>
      </c>
      <c r="F1462" s="1" t="str">
        <f>"AP - FT DEARBORN AFTER TAX"</f>
        <v>AP - FT DEARBORN AFTER TAX</v>
      </c>
      <c r="G1462" s="3">
        <v>64.39</v>
      </c>
      <c r="H1462" s="1" t="str">
        <f>"AP - FT DEARBORN AFTER TAX"</f>
        <v>AP - FT DEARBORN AFTER TAX</v>
      </c>
    </row>
    <row r="1463" spans="1:8" x14ac:dyDescent="0.25">
      <c r="E1463" s="1" t="str">
        <f>"FLX201907090326"</f>
        <v>FLX201907090326</v>
      </c>
      <c r="F1463" s="1" t="str">
        <f>"AP - TEX FLEX"</f>
        <v>AP - TEX FLEX</v>
      </c>
      <c r="G1463" s="3">
        <v>220</v>
      </c>
      <c r="H1463" s="1" t="str">
        <f>"AP - TEX FLEX"</f>
        <v>AP - TEX FLEX</v>
      </c>
    </row>
    <row r="1464" spans="1:8" x14ac:dyDescent="0.25">
      <c r="E1464" s="1" t="str">
        <f>"MHS201907090326"</f>
        <v>MHS201907090326</v>
      </c>
      <c r="F1464" s="1" t="str">
        <f>"AP - HEALTH SELECT MEDICAL"</f>
        <v>AP - HEALTH SELECT MEDICAL</v>
      </c>
      <c r="G1464" s="3">
        <v>1556.5</v>
      </c>
      <c r="H1464" s="1" t="str">
        <f>"AP - HEALTH SELECT MEDICAL"</f>
        <v>AP - HEALTH SELECT MEDICAL</v>
      </c>
    </row>
    <row r="1465" spans="1:8" x14ac:dyDescent="0.25">
      <c r="E1465" s="1" t="str">
        <f>"MSW201907090326"</f>
        <v>MSW201907090326</v>
      </c>
      <c r="F1465" s="1" t="str">
        <f>"AP - SCOTT &amp; WHITE MEDICAL"</f>
        <v>AP - SCOTT &amp; WHITE MEDICAL</v>
      </c>
      <c r="G1465" s="3">
        <v>569.4</v>
      </c>
      <c r="H1465" s="1" t="str">
        <f>"AP - SCOTT &amp; WHITE MEDICAL"</f>
        <v>AP - SCOTT &amp; WHITE MEDICAL</v>
      </c>
    </row>
    <row r="1466" spans="1:8" x14ac:dyDescent="0.25">
      <c r="E1466" s="1" t="str">
        <f>"SPE201907090326"</f>
        <v>SPE201907090326</v>
      </c>
      <c r="F1466" s="1" t="str">
        <f>"AP - STATE VISION"</f>
        <v>AP - STATE VISION</v>
      </c>
      <c r="G1466" s="3">
        <v>43.49</v>
      </c>
      <c r="H1466" s="1" t="str">
        <f>"AP - STATE VISION"</f>
        <v>AP - STATE VISION</v>
      </c>
    </row>
    <row r="1467" spans="1:8" x14ac:dyDescent="0.25">
      <c r="A1467" s="1" t="s">
        <v>486</v>
      </c>
      <c r="B1467" s="1">
        <v>179</v>
      </c>
      <c r="C1467" s="3">
        <v>3046.28</v>
      </c>
      <c r="D1467" s="2">
        <v>43672</v>
      </c>
      <c r="E1467" s="1" t="str">
        <f>"DDP201907230653"</f>
        <v>DDP201907230653</v>
      </c>
      <c r="F1467" s="1" t="str">
        <f>"AP - TEXAS DISCOUNT DENTAL"</f>
        <v>AP - TEXAS DISCOUNT DENTAL</v>
      </c>
      <c r="G1467" s="3">
        <v>2.7</v>
      </c>
      <c r="H1467" s="1" t="str">
        <f>"AP - TEXAS DISCOUNT DENTAL"</f>
        <v>AP - TEXAS DISCOUNT DENTAL</v>
      </c>
    </row>
    <row r="1468" spans="1:8" x14ac:dyDescent="0.25">
      <c r="E1468" s="1" t="str">
        <f>"DHM201907230653"</f>
        <v>DHM201907230653</v>
      </c>
      <c r="F1468" s="1" t="str">
        <f>"AP - DENTAL HMO"</f>
        <v>AP - DENTAL HMO</v>
      </c>
      <c r="G1468" s="3">
        <v>63.31</v>
      </c>
      <c r="H1468" s="1" t="str">
        <f>"AP - DENTAL HMO"</f>
        <v>AP - DENTAL HMO</v>
      </c>
    </row>
    <row r="1469" spans="1:8" x14ac:dyDescent="0.25">
      <c r="E1469" s="1" t="str">
        <f>"DTX201907230653"</f>
        <v>DTX201907230653</v>
      </c>
      <c r="F1469" s="1" t="str">
        <f>"AP - TEXAS DENTAL"</f>
        <v>AP - TEXAS DENTAL</v>
      </c>
      <c r="G1469" s="3">
        <v>388.16</v>
      </c>
      <c r="H1469" s="1" t="str">
        <f>"AP - TEXAS DENTAL"</f>
        <v>AP - TEXAS DENTAL</v>
      </c>
    </row>
    <row r="1470" spans="1:8" x14ac:dyDescent="0.25">
      <c r="E1470" s="1" t="str">
        <f>"FD 201907230653"</f>
        <v>FD 201907230653</v>
      </c>
      <c r="F1470" s="1" t="str">
        <f>"AP - FT DEARBORN PRE-TAX"</f>
        <v>AP - FT DEARBORN PRE-TAX</v>
      </c>
      <c r="G1470" s="3">
        <v>138.33000000000001</v>
      </c>
      <c r="H1470" s="1" t="str">
        <f>"AP - FT DEARBORN PRE-TAX"</f>
        <v>AP - FT DEARBORN PRE-TAX</v>
      </c>
    </row>
    <row r="1471" spans="1:8" x14ac:dyDescent="0.25">
      <c r="E1471" s="1" t="str">
        <f>"FDT201907230653"</f>
        <v>FDT201907230653</v>
      </c>
      <c r="F1471" s="1" t="str">
        <f>"AP - FT DEARBORN AFTER TAX"</f>
        <v>AP - FT DEARBORN AFTER TAX</v>
      </c>
      <c r="G1471" s="3">
        <v>64.39</v>
      </c>
      <c r="H1471" s="1" t="str">
        <f>"AP - FT DEARBORN AFTER TAX"</f>
        <v>AP - FT DEARBORN AFTER TAX</v>
      </c>
    </row>
    <row r="1472" spans="1:8" x14ac:dyDescent="0.25">
      <c r="E1472" s="1" t="str">
        <f>"FLX201907230653"</f>
        <v>FLX201907230653</v>
      </c>
      <c r="F1472" s="1" t="str">
        <f>"AP - TEX FLEX"</f>
        <v>AP - TEX FLEX</v>
      </c>
      <c r="G1472" s="3">
        <v>220</v>
      </c>
      <c r="H1472" s="1" t="str">
        <f>"AP - TEX FLEX"</f>
        <v>AP - TEX FLEX</v>
      </c>
    </row>
    <row r="1473" spans="1:8" x14ac:dyDescent="0.25">
      <c r="E1473" s="1" t="str">
        <f>"MHS201907230653"</f>
        <v>MHS201907230653</v>
      </c>
      <c r="F1473" s="1" t="str">
        <f>"AP - HEALTH SELECT MEDICAL"</f>
        <v>AP - HEALTH SELECT MEDICAL</v>
      </c>
      <c r="G1473" s="3">
        <v>1556.5</v>
      </c>
      <c r="H1473" s="1" t="str">
        <f>"AP - HEALTH SELECT MEDICAL"</f>
        <v>AP - HEALTH SELECT MEDICAL</v>
      </c>
    </row>
    <row r="1474" spans="1:8" x14ac:dyDescent="0.25">
      <c r="E1474" s="1" t="str">
        <f>"MSW201907230653"</f>
        <v>MSW201907230653</v>
      </c>
      <c r="F1474" s="1" t="str">
        <f>"AP - SCOTT &amp; WHITE MEDICAL"</f>
        <v>AP - SCOTT &amp; WHITE MEDICAL</v>
      </c>
      <c r="G1474" s="3">
        <v>569.4</v>
      </c>
      <c r="H1474" s="1" t="str">
        <f>"AP - SCOTT &amp; WHITE MEDICAL"</f>
        <v>AP - SCOTT &amp; WHITE MEDICAL</v>
      </c>
    </row>
    <row r="1475" spans="1:8" x14ac:dyDescent="0.25">
      <c r="E1475" s="1" t="str">
        <f>"SPE201907230653"</f>
        <v>SPE201907230653</v>
      </c>
      <c r="F1475" s="1" t="str">
        <f>"AP - STATE VISION"</f>
        <v>AP - STATE VISION</v>
      </c>
      <c r="G1475" s="3">
        <v>43.49</v>
      </c>
      <c r="H1475" s="1" t="str">
        <f>"AP - STATE VISION"</f>
        <v>AP - STATE VISION</v>
      </c>
    </row>
    <row r="1476" spans="1:8" x14ac:dyDescent="0.25">
      <c r="A1476" s="1" t="s">
        <v>487</v>
      </c>
      <c r="B1476" s="1">
        <v>189</v>
      </c>
      <c r="C1476" s="3">
        <v>4188</v>
      </c>
      <c r="D1476" s="2">
        <v>43671</v>
      </c>
      <c r="E1476" s="1" t="str">
        <f>"201907250687"</f>
        <v>201907250687</v>
      </c>
      <c r="F1476" s="1" t="str">
        <f>"COLONIAL LIFE &amp; ACCIDENT INS."</f>
        <v>COLONIAL LIFE &amp; ACCIDENT INS.</v>
      </c>
      <c r="G1476" s="3">
        <v>0.5</v>
      </c>
      <c r="H1476" s="1" t="str">
        <f>"COLONIAL LIFE &amp; ACCIDENT INS."</f>
        <v>COLONIAL LIFE &amp; ACCIDENT INS.</v>
      </c>
    </row>
    <row r="1477" spans="1:8" x14ac:dyDescent="0.25">
      <c r="E1477" s="1" t="str">
        <f>"CL 201907090324"</f>
        <v>CL 201907090324</v>
      </c>
      <c r="F1477" s="1" t="str">
        <f t="shared" ref="F1477:F1496" si="22">"COLONIAL"</f>
        <v>COLONIAL</v>
      </c>
      <c r="G1477" s="3">
        <v>620.30999999999995</v>
      </c>
      <c r="H1477" s="1" t="str">
        <f t="shared" ref="H1477:H1496" si="23">"COLONIAL"</f>
        <v>COLONIAL</v>
      </c>
    </row>
    <row r="1478" spans="1:8" x14ac:dyDescent="0.25">
      <c r="E1478" s="1" t="str">
        <f>"CL 201907090325"</f>
        <v>CL 201907090325</v>
      </c>
      <c r="F1478" s="1" t="str">
        <f t="shared" si="22"/>
        <v>COLONIAL</v>
      </c>
      <c r="G1478" s="3">
        <v>14.49</v>
      </c>
      <c r="H1478" s="1" t="str">
        <f t="shared" si="23"/>
        <v>COLONIAL</v>
      </c>
    </row>
    <row r="1479" spans="1:8" x14ac:dyDescent="0.25">
      <c r="E1479" s="1" t="str">
        <f>"CL 201907230648"</f>
        <v>CL 201907230648</v>
      </c>
      <c r="F1479" s="1" t="str">
        <f t="shared" si="22"/>
        <v>COLONIAL</v>
      </c>
      <c r="G1479" s="3">
        <v>620.30999999999995</v>
      </c>
      <c r="H1479" s="1" t="str">
        <f t="shared" si="23"/>
        <v>COLONIAL</v>
      </c>
    </row>
    <row r="1480" spans="1:8" x14ac:dyDescent="0.25">
      <c r="E1480" s="1" t="str">
        <f>"CL 201907230650"</f>
        <v>CL 201907230650</v>
      </c>
      <c r="F1480" s="1" t="str">
        <f t="shared" si="22"/>
        <v>COLONIAL</v>
      </c>
      <c r="G1480" s="3">
        <v>14.49</v>
      </c>
      <c r="H1480" s="1" t="str">
        <f t="shared" si="23"/>
        <v>COLONIAL</v>
      </c>
    </row>
    <row r="1481" spans="1:8" x14ac:dyDescent="0.25">
      <c r="E1481" s="1" t="str">
        <f>"CLC201907090324"</f>
        <v>CLC201907090324</v>
      </c>
      <c r="F1481" s="1" t="str">
        <f t="shared" si="22"/>
        <v>COLONIAL</v>
      </c>
      <c r="G1481" s="3">
        <v>33.99</v>
      </c>
      <c r="H1481" s="1" t="str">
        <f t="shared" si="23"/>
        <v>COLONIAL</v>
      </c>
    </row>
    <row r="1482" spans="1:8" x14ac:dyDescent="0.25">
      <c r="E1482" s="1" t="str">
        <f>"CLC201907230648"</f>
        <v>CLC201907230648</v>
      </c>
      <c r="F1482" s="1" t="str">
        <f t="shared" si="22"/>
        <v>COLONIAL</v>
      </c>
      <c r="G1482" s="3">
        <v>33.99</v>
      </c>
      <c r="H1482" s="1" t="str">
        <f t="shared" si="23"/>
        <v>COLONIAL</v>
      </c>
    </row>
    <row r="1483" spans="1:8" x14ac:dyDescent="0.25">
      <c r="E1483" s="1" t="str">
        <f>"CLI201907090324"</f>
        <v>CLI201907090324</v>
      </c>
      <c r="F1483" s="1" t="str">
        <f t="shared" si="22"/>
        <v>COLONIAL</v>
      </c>
      <c r="G1483" s="3">
        <v>534.92999999999995</v>
      </c>
      <c r="H1483" s="1" t="str">
        <f t="shared" si="23"/>
        <v>COLONIAL</v>
      </c>
    </row>
    <row r="1484" spans="1:8" x14ac:dyDescent="0.25">
      <c r="E1484" s="1" t="str">
        <f>"CLI201907230648"</f>
        <v>CLI201907230648</v>
      </c>
      <c r="F1484" s="1" t="str">
        <f t="shared" si="22"/>
        <v>COLONIAL</v>
      </c>
      <c r="G1484" s="3">
        <v>534.92999999999995</v>
      </c>
      <c r="H1484" s="1" t="str">
        <f t="shared" si="23"/>
        <v>COLONIAL</v>
      </c>
    </row>
    <row r="1485" spans="1:8" x14ac:dyDescent="0.25">
      <c r="E1485" s="1" t="str">
        <f>"CLK201907090324"</f>
        <v>CLK201907090324</v>
      </c>
      <c r="F1485" s="1" t="str">
        <f t="shared" si="22"/>
        <v>COLONIAL</v>
      </c>
      <c r="G1485" s="3">
        <v>27.09</v>
      </c>
      <c r="H1485" s="1" t="str">
        <f t="shared" si="23"/>
        <v>COLONIAL</v>
      </c>
    </row>
    <row r="1486" spans="1:8" x14ac:dyDescent="0.25">
      <c r="E1486" s="1" t="str">
        <f>"CLK201907230648"</f>
        <v>CLK201907230648</v>
      </c>
      <c r="F1486" s="1" t="str">
        <f t="shared" si="22"/>
        <v>COLONIAL</v>
      </c>
      <c r="G1486" s="3">
        <v>27.09</v>
      </c>
      <c r="H1486" s="1" t="str">
        <f t="shared" si="23"/>
        <v>COLONIAL</v>
      </c>
    </row>
    <row r="1487" spans="1:8" x14ac:dyDescent="0.25">
      <c r="E1487" s="1" t="str">
        <f>"CLS201907090324"</f>
        <v>CLS201907090324</v>
      </c>
      <c r="F1487" s="1" t="str">
        <f t="shared" si="22"/>
        <v>COLONIAL</v>
      </c>
      <c r="G1487" s="3">
        <v>327.99</v>
      </c>
      <c r="H1487" s="1" t="str">
        <f t="shared" si="23"/>
        <v>COLONIAL</v>
      </c>
    </row>
    <row r="1488" spans="1:8" x14ac:dyDescent="0.25">
      <c r="E1488" s="1" t="str">
        <f>"CLS201907090325"</f>
        <v>CLS201907090325</v>
      </c>
      <c r="F1488" s="1" t="str">
        <f t="shared" si="22"/>
        <v>COLONIAL</v>
      </c>
      <c r="G1488" s="3">
        <v>28.57</v>
      </c>
      <c r="H1488" s="1" t="str">
        <f t="shared" si="23"/>
        <v>COLONIAL</v>
      </c>
    </row>
    <row r="1489" spans="1:8" x14ac:dyDescent="0.25">
      <c r="E1489" s="1" t="str">
        <f>"CLS201907230648"</f>
        <v>CLS201907230648</v>
      </c>
      <c r="F1489" s="1" t="str">
        <f t="shared" si="22"/>
        <v>COLONIAL</v>
      </c>
      <c r="G1489" s="3">
        <v>327.99</v>
      </c>
      <c r="H1489" s="1" t="str">
        <f t="shared" si="23"/>
        <v>COLONIAL</v>
      </c>
    </row>
    <row r="1490" spans="1:8" x14ac:dyDescent="0.25">
      <c r="E1490" s="1" t="str">
        <f>"CLS201907230650"</f>
        <v>CLS201907230650</v>
      </c>
      <c r="F1490" s="1" t="str">
        <f t="shared" si="22"/>
        <v>COLONIAL</v>
      </c>
      <c r="G1490" s="3">
        <v>28.57</v>
      </c>
      <c r="H1490" s="1" t="str">
        <f t="shared" si="23"/>
        <v>COLONIAL</v>
      </c>
    </row>
    <row r="1491" spans="1:8" x14ac:dyDescent="0.25">
      <c r="E1491" s="1" t="str">
        <f>"CLT201907090324"</f>
        <v>CLT201907090324</v>
      </c>
      <c r="F1491" s="1" t="str">
        <f t="shared" si="22"/>
        <v>COLONIAL</v>
      </c>
      <c r="G1491" s="3">
        <v>300.85000000000002</v>
      </c>
      <c r="H1491" s="1" t="str">
        <f t="shared" si="23"/>
        <v>COLONIAL</v>
      </c>
    </row>
    <row r="1492" spans="1:8" x14ac:dyDescent="0.25">
      <c r="E1492" s="1" t="str">
        <f>"CLT201907230648"</f>
        <v>CLT201907230648</v>
      </c>
      <c r="F1492" s="1" t="str">
        <f t="shared" si="22"/>
        <v>COLONIAL</v>
      </c>
      <c r="G1492" s="3">
        <v>300.85000000000002</v>
      </c>
      <c r="H1492" s="1" t="str">
        <f t="shared" si="23"/>
        <v>COLONIAL</v>
      </c>
    </row>
    <row r="1493" spans="1:8" x14ac:dyDescent="0.25">
      <c r="E1493" s="1" t="str">
        <f>"CLU201907090324"</f>
        <v>CLU201907090324</v>
      </c>
      <c r="F1493" s="1" t="str">
        <f t="shared" si="22"/>
        <v>COLONIAL</v>
      </c>
      <c r="G1493" s="3">
        <v>111.55</v>
      </c>
      <c r="H1493" s="1" t="str">
        <f t="shared" si="23"/>
        <v>COLONIAL</v>
      </c>
    </row>
    <row r="1494" spans="1:8" x14ac:dyDescent="0.25">
      <c r="E1494" s="1" t="str">
        <f>"CLU201907230648"</f>
        <v>CLU201907230648</v>
      </c>
      <c r="F1494" s="1" t="str">
        <f t="shared" si="22"/>
        <v>COLONIAL</v>
      </c>
      <c r="G1494" s="3">
        <v>111.55</v>
      </c>
      <c r="H1494" s="1" t="str">
        <f t="shared" si="23"/>
        <v>COLONIAL</v>
      </c>
    </row>
    <row r="1495" spans="1:8" x14ac:dyDescent="0.25">
      <c r="E1495" s="1" t="str">
        <f>"CLW201907090324"</f>
        <v>CLW201907090324</v>
      </c>
      <c r="F1495" s="1" t="str">
        <f t="shared" si="22"/>
        <v>COLONIAL</v>
      </c>
      <c r="G1495" s="3">
        <v>93.98</v>
      </c>
      <c r="H1495" s="1" t="str">
        <f t="shared" si="23"/>
        <v>COLONIAL</v>
      </c>
    </row>
    <row r="1496" spans="1:8" x14ac:dyDescent="0.25">
      <c r="E1496" s="1" t="str">
        <f>"CLW201907230648"</f>
        <v>CLW201907230648</v>
      </c>
      <c r="F1496" s="1" t="str">
        <f t="shared" si="22"/>
        <v>COLONIAL</v>
      </c>
      <c r="G1496" s="3">
        <v>93.98</v>
      </c>
      <c r="H1496" s="1" t="str">
        <f t="shared" si="23"/>
        <v>COLONIAL</v>
      </c>
    </row>
    <row r="1497" spans="1:8" x14ac:dyDescent="0.25">
      <c r="A1497" s="1" t="s">
        <v>488</v>
      </c>
      <c r="B1497" s="1">
        <v>171</v>
      </c>
      <c r="C1497" s="3">
        <v>8213.24</v>
      </c>
      <c r="D1497" s="2">
        <v>43658</v>
      </c>
      <c r="E1497" s="1" t="str">
        <f>"CPI201907090324"</f>
        <v>CPI201907090324</v>
      </c>
      <c r="F1497" s="1" t="str">
        <f>"DEFERRED COMP 457B PAYABLE"</f>
        <v>DEFERRED COMP 457B PAYABLE</v>
      </c>
      <c r="G1497" s="3">
        <v>8105.74</v>
      </c>
      <c r="H1497" s="1" t="str">
        <f>"DEFERRED COMP 457B PAYABLE"</f>
        <v>DEFERRED COMP 457B PAYABLE</v>
      </c>
    </row>
    <row r="1498" spans="1:8" x14ac:dyDescent="0.25">
      <c r="E1498" s="1" t="str">
        <f>"CPI201907090325"</f>
        <v>CPI201907090325</v>
      </c>
      <c r="F1498" s="1" t="str">
        <f>"DEFERRED COMP 457B PAYABLE"</f>
        <v>DEFERRED COMP 457B PAYABLE</v>
      </c>
      <c r="G1498" s="3">
        <v>107.5</v>
      </c>
      <c r="H1498" s="1" t="str">
        <f>"DEFERRED COMP 457B PAYABLE"</f>
        <v>DEFERRED COMP 457B PAYABLE</v>
      </c>
    </row>
    <row r="1499" spans="1:8" x14ac:dyDescent="0.25">
      <c r="A1499" s="1" t="s">
        <v>488</v>
      </c>
      <c r="B1499" s="1">
        <v>180</v>
      </c>
      <c r="C1499" s="3">
        <v>8213.24</v>
      </c>
      <c r="D1499" s="2">
        <v>43672</v>
      </c>
      <c r="E1499" s="1" t="str">
        <f>"CPI201907230648"</f>
        <v>CPI201907230648</v>
      </c>
      <c r="F1499" s="1" t="str">
        <f>"DEFERRED COMP 457B PAYABLE"</f>
        <v>DEFERRED COMP 457B PAYABLE</v>
      </c>
      <c r="G1499" s="3">
        <v>8105.74</v>
      </c>
      <c r="H1499" s="1" t="str">
        <f>"DEFERRED COMP 457B PAYABLE"</f>
        <v>DEFERRED COMP 457B PAYABLE</v>
      </c>
    </row>
    <row r="1500" spans="1:8" x14ac:dyDescent="0.25">
      <c r="E1500" s="1" t="str">
        <f>"CPI201907230650"</f>
        <v>CPI201907230650</v>
      </c>
      <c r="F1500" s="1" t="str">
        <f>"DEFERRED COMP 457B PAYABLE"</f>
        <v>DEFERRED COMP 457B PAYABLE</v>
      </c>
      <c r="G1500" s="3">
        <v>107.5</v>
      </c>
      <c r="H1500" s="1" t="str">
        <f>"DEFERRED COMP 457B PAYABLE"</f>
        <v>DEFERRED COMP 457B PAYABLE</v>
      </c>
    </row>
    <row r="1501" spans="1:8" x14ac:dyDescent="0.25">
      <c r="A1501" s="1" t="s">
        <v>489</v>
      </c>
      <c r="B1501" s="1">
        <v>47544</v>
      </c>
      <c r="C1501" s="3">
        <v>853.85</v>
      </c>
      <c r="D1501" s="2">
        <v>43658</v>
      </c>
      <c r="E1501" s="1" t="str">
        <f>"B13201907090324"</f>
        <v>B13201907090324</v>
      </c>
      <c r="F1501" s="1" t="str">
        <f>"Rosa Warren 15-10357-TMD"</f>
        <v>Rosa Warren 15-10357-TMD</v>
      </c>
      <c r="G1501" s="3">
        <v>853.85</v>
      </c>
      <c r="H1501" s="1" t="str">
        <f>"Rosa Warren 15-10357-TMD"</f>
        <v>Rosa Warren 15-10357-TMD</v>
      </c>
    </row>
    <row r="1502" spans="1:8" x14ac:dyDescent="0.25">
      <c r="A1502" s="1" t="s">
        <v>489</v>
      </c>
      <c r="B1502" s="1">
        <v>47559</v>
      </c>
      <c r="C1502" s="3">
        <v>853.85</v>
      </c>
      <c r="D1502" s="2">
        <v>43672</v>
      </c>
      <c r="E1502" s="1" t="str">
        <f>"B13201907230648"</f>
        <v>B13201907230648</v>
      </c>
      <c r="F1502" s="1" t="str">
        <f>"Rosa Warren 15-10357-TMD"</f>
        <v>Rosa Warren 15-10357-TMD</v>
      </c>
      <c r="G1502" s="3">
        <v>853.85</v>
      </c>
      <c r="H1502" s="1" t="str">
        <f>"Rosa Warren 15-10357-TMD"</f>
        <v>Rosa Warren 15-10357-TMD</v>
      </c>
    </row>
    <row r="1503" spans="1:8" x14ac:dyDescent="0.25">
      <c r="A1503" s="1" t="s">
        <v>490</v>
      </c>
      <c r="B1503" s="1">
        <v>185</v>
      </c>
      <c r="C1503" s="3">
        <v>40051.31</v>
      </c>
      <c r="D1503" s="2">
        <v>43671</v>
      </c>
      <c r="E1503" s="1" t="str">
        <f>"201907250683"</f>
        <v>201907250683</v>
      </c>
      <c r="F1503" s="1" t="str">
        <f>"JULY ROUNDING"</f>
        <v>JULY ROUNDING</v>
      </c>
      <c r="G1503" s="3">
        <v>-8.3699999999999992</v>
      </c>
      <c r="H1503" s="1" t="str">
        <f>"JULY ROUNDING"</f>
        <v>JULY ROUNDING</v>
      </c>
    </row>
    <row r="1504" spans="1:8" x14ac:dyDescent="0.25">
      <c r="E1504" s="1" t="str">
        <f>"201907250682"</f>
        <v>201907250682</v>
      </c>
      <c r="F1504" s="1" t="str">
        <f>"RETIREE JULY 2019"</f>
        <v>RETIREE JULY 2019</v>
      </c>
      <c r="G1504" s="3">
        <v>3465.64</v>
      </c>
      <c r="H1504" s="1" t="str">
        <f>"RETIREE JULY 2019"</f>
        <v>RETIREE JULY 2019</v>
      </c>
    </row>
    <row r="1505" spans="5:8" x14ac:dyDescent="0.25">
      <c r="E1505" s="1" t="str">
        <f>"ADC201907090324"</f>
        <v>ADC201907090324</v>
      </c>
      <c r="F1505" s="1" t="str">
        <f t="shared" ref="F1505:F1517" si="24">"GUARDIAN"</f>
        <v>GUARDIAN</v>
      </c>
      <c r="G1505" s="3">
        <v>4.59</v>
      </c>
      <c r="H1505" s="1" t="str">
        <f t="shared" ref="H1505:H1568" si="25">"GUARDIAN"</f>
        <v>GUARDIAN</v>
      </c>
    </row>
    <row r="1506" spans="5:8" x14ac:dyDescent="0.25">
      <c r="E1506" s="1" t="str">
        <f>"ADC201907090325"</f>
        <v>ADC201907090325</v>
      </c>
      <c r="F1506" s="1" t="str">
        <f t="shared" si="24"/>
        <v>GUARDIAN</v>
      </c>
      <c r="G1506" s="3">
        <v>0.16</v>
      </c>
      <c r="H1506" s="1" t="str">
        <f t="shared" si="25"/>
        <v>GUARDIAN</v>
      </c>
    </row>
    <row r="1507" spans="5:8" x14ac:dyDescent="0.25">
      <c r="E1507" s="1" t="str">
        <f>"ADC201907230648"</f>
        <v>ADC201907230648</v>
      </c>
      <c r="F1507" s="1" t="str">
        <f t="shared" si="24"/>
        <v>GUARDIAN</v>
      </c>
      <c r="G1507" s="3">
        <v>4.59</v>
      </c>
      <c r="H1507" s="1" t="str">
        <f t="shared" si="25"/>
        <v>GUARDIAN</v>
      </c>
    </row>
    <row r="1508" spans="5:8" x14ac:dyDescent="0.25">
      <c r="E1508" s="1" t="str">
        <f>"ADC201907230650"</f>
        <v>ADC201907230650</v>
      </c>
      <c r="F1508" s="1" t="str">
        <f t="shared" si="24"/>
        <v>GUARDIAN</v>
      </c>
      <c r="G1508" s="3">
        <v>0.16</v>
      </c>
      <c r="H1508" s="1" t="str">
        <f t="shared" si="25"/>
        <v>GUARDIAN</v>
      </c>
    </row>
    <row r="1509" spans="5:8" x14ac:dyDescent="0.25">
      <c r="E1509" s="1" t="str">
        <f>"ADE201907090324"</f>
        <v>ADE201907090324</v>
      </c>
      <c r="F1509" s="1" t="str">
        <f t="shared" si="24"/>
        <v>GUARDIAN</v>
      </c>
      <c r="G1509" s="3">
        <v>217.07</v>
      </c>
      <c r="H1509" s="1" t="str">
        <f t="shared" si="25"/>
        <v>GUARDIAN</v>
      </c>
    </row>
    <row r="1510" spans="5:8" x14ac:dyDescent="0.25">
      <c r="E1510" s="1" t="str">
        <f>"ADE201907090325"</f>
        <v>ADE201907090325</v>
      </c>
      <c r="F1510" s="1" t="str">
        <f t="shared" si="24"/>
        <v>GUARDIAN</v>
      </c>
      <c r="G1510" s="3">
        <v>6.3</v>
      </c>
      <c r="H1510" s="1" t="str">
        <f t="shared" si="25"/>
        <v>GUARDIAN</v>
      </c>
    </row>
    <row r="1511" spans="5:8" x14ac:dyDescent="0.25">
      <c r="E1511" s="1" t="str">
        <f>"ADE201907230648"</f>
        <v>ADE201907230648</v>
      </c>
      <c r="F1511" s="1" t="str">
        <f t="shared" si="24"/>
        <v>GUARDIAN</v>
      </c>
      <c r="G1511" s="3">
        <v>217.07</v>
      </c>
      <c r="H1511" s="1" t="str">
        <f t="shared" si="25"/>
        <v>GUARDIAN</v>
      </c>
    </row>
    <row r="1512" spans="5:8" x14ac:dyDescent="0.25">
      <c r="E1512" s="1" t="str">
        <f>"ADE201907230650"</f>
        <v>ADE201907230650</v>
      </c>
      <c r="F1512" s="1" t="str">
        <f t="shared" si="24"/>
        <v>GUARDIAN</v>
      </c>
      <c r="G1512" s="3">
        <v>6.3</v>
      </c>
      <c r="H1512" s="1" t="str">
        <f t="shared" si="25"/>
        <v>GUARDIAN</v>
      </c>
    </row>
    <row r="1513" spans="5:8" x14ac:dyDescent="0.25">
      <c r="E1513" s="1" t="str">
        <f>"ADS201907090324"</f>
        <v>ADS201907090324</v>
      </c>
      <c r="F1513" s="1" t="str">
        <f t="shared" si="24"/>
        <v>GUARDIAN</v>
      </c>
      <c r="G1513" s="3">
        <v>37.92</v>
      </c>
      <c r="H1513" s="1" t="str">
        <f t="shared" si="25"/>
        <v>GUARDIAN</v>
      </c>
    </row>
    <row r="1514" spans="5:8" x14ac:dyDescent="0.25">
      <c r="E1514" s="1" t="str">
        <f>"ADS201907090325"</f>
        <v>ADS201907090325</v>
      </c>
      <c r="F1514" s="1" t="str">
        <f t="shared" si="24"/>
        <v>GUARDIAN</v>
      </c>
      <c r="G1514" s="3">
        <v>0.53</v>
      </c>
      <c r="H1514" s="1" t="str">
        <f t="shared" si="25"/>
        <v>GUARDIAN</v>
      </c>
    </row>
    <row r="1515" spans="5:8" x14ac:dyDescent="0.25">
      <c r="E1515" s="1" t="str">
        <f>"ADS201907230648"</f>
        <v>ADS201907230648</v>
      </c>
      <c r="F1515" s="1" t="str">
        <f t="shared" si="24"/>
        <v>GUARDIAN</v>
      </c>
      <c r="G1515" s="3">
        <v>37.92</v>
      </c>
      <c r="H1515" s="1" t="str">
        <f t="shared" si="25"/>
        <v>GUARDIAN</v>
      </c>
    </row>
    <row r="1516" spans="5:8" x14ac:dyDescent="0.25">
      <c r="E1516" s="1" t="str">
        <f>"ADS201907230650"</f>
        <v>ADS201907230650</v>
      </c>
      <c r="F1516" s="1" t="str">
        <f t="shared" si="24"/>
        <v>GUARDIAN</v>
      </c>
      <c r="G1516" s="3">
        <v>0.53</v>
      </c>
      <c r="H1516" s="1" t="str">
        <f t="shared" si="25"/>
        <v>GUARDIAN</v>
      </c>
    </row>
    <row r="1517" spans="5:8" x14ac:dyDescent="0.25">
      <c r="E1517" s="1" t="str">
        <f>"GDC201907090324"</f>
        <v>GDC201907090324</v>
      </c>
      <c r="F1517" s="1" t="str">
        <f t="shared" si="24"/>
        <v>GUARDIAN</v>
      </c>
      <c r="G1517" s="3">
        <v>2614.92</v>
      </c>
      <c r="H1517" s="1" t="str">
        <f t="shared" si="25"/>
        <v>GUARDIAN</v>
      </c>
    </row>
    <row r="1518" spans="5:8" x14ac:dyDescent="0.25">
      <c r="E1518" s="1" t="str">
        <f>""</f>
        <v/>
      </c>
      <c r="F1518" s="1" t="str">
        <f>""</f>
        <v/>
      </c>
      <c r="H1518" s="1" t="str">
        <f t="shared" si="25"/>
        <v>GUARDIAN</v>
      </c>
    </row>
    <row r="1519" spans="5:8" x14ac:dyDescent="0.25">
      <c r="E1519" s="1" t="str">
        <f>""</f>
        <v/>
      </c>
      <c r="F1519" s="1" t="str">
        <f>""</f>
        <v/>
      </c>
      <c r="H1519" s="1" t="str">
        <f t="shared" si="25"/>
        <v>GUARDIAN</v>
      </c>
    </row>
    <row r="1520" spans="5:8" x14ac:dyDescent="0.25">
      <c r="E1520" s="1" t="str">
        <f>""</f>
        <v/>
      </c>
      <c r="F1520" s="1" t="str">
        <f>""</f>
        <v/>
      </c>
      <c r="H1520" s="1" t="str">
        <f t="shared" si="25"/>
        <v>GUARDIAN</v>
      </c>
    </row>
    <row r="1521" spans="5:8" x14ac:dyDescent="0.25">
      <c r="E1521" s="1" t="str">
        <f>""</f>
        <v/>
      </c>
      <c r="F1521" s="1" t="str">
        <f>""</f>
        <v/>
      </c>
      <c r="H1521" s="1" t="str">
        <f t="shared" si="25"/>
        <v>GUARDIAN</v>
      </c>
    </row>
    <row r="1522" spans="5:8" x14ac:dyDescent="0.25">
      <c r="E1522" s="1" t="str">
        <f>""</f>
        <v/>
      </c>
      <c r="F1522" s="1" t="str">
        <f>""</f>
        <v/>
      </c>
      <c r="H1522" s="1" t="str">
        <f t="shared" si="25"/>
        <v>GUARDIAN</v>
      </c>
    </row>
    <row r="1523" spans="5:8" x14ac:dyDescent="0.25">
      <c r="E1523" s="1" t="str">
        <f>""</f>
        <v/>
      </c>
      <c r="F1523" s="1" t="str">
        <f>""</f>
        <v/>
      </c>
      <c r="H1523" s="1" t="str">
        <f t="shared" si="25"/>
        <v>GUARDIAN</v>
      </c>
    </row>
    <row r="1524" spans="5:8" x14ac:dyDescent="0.25">
      <c r="E1524" s="1" t="str">
        <f>""</f>
        <v/>
      </c>
      <c r="F1524" s="1" t="str">
        <f>""</f>
        <v/>
      </c>
      <c r="H1524" s="1" t="str">
        <f t="shared" si="25"/>
        <v>GUARDIAN</v>
      </c>
    </row>
    <row r="1525" spans="5:8" x14ac:dyDescent="0.25">
      <c r="E1525" s="1" t="str">
        <f>""</f>
        <v/>
      </c>
      <c r="F1525" s="1" t="str">
        <f>""</f>
        <v/>
      </c>
      <c r="H1525" s="1" t="str">
        <f t="shared" si="25"/>
        <v>GUARDIAN</v>
      </c>
    </row>
    <row r="1526" spans="5:8" x14ac:dyDescent="0.25">
      <c r="E1526" s="1" t="str">
        <f>""</f>
        <v/>
      </c>
      <c r="F1526" s="1" t="str">
        <f>""</f>
        <v/>
      </c>
      <c r="H1526" s="1" t="str">
        <f t="shared" si="25"/>
        <v>GUARDIAN</v>
      </c>
    </row>
    <row r="1527" spans="5:8" x14ac:dyDescent="0.25">
      <c r="E1527" s="1" t="str">
        <f>""</f>
        <v/>
      </c>
      <c r="F1527" s="1" t="str">
        <f>""</f>
        <v/>
      </c>
      <c r="H1527" s="1" t="str">
        <f t="shared" si="25"/>
        <v>GUARDIAN</v>
      </c>
    </row>
    <row r="1528" spans="5:8" x14ac:dyDescent="0.25">
      <c r="E1528" s="1" t="str">
        <f>""</f>
        <v/>
      </c>
      <c r="F1528" s="1" t="str">
        <f>""</f>
        <v/>
      </c>
      <c r="H1528" s="1" t="str">
        <f t="shared" si="25"/>
        <v>GUARDIAN</v>
      </c>
    </row>
    <row r="1529" spans="5:8" x14ac:dyDescent="0.25">
      <c r="E1529" s="1" t="str">
        <f>""</f>
        <v/>
      </c>
      <c r="F1529" s="1" t="str">
        <f>""</f>
        <v/>
      </c>
      <c r="H1529" s="1" t="str">
        <f t="shared" si="25"/>
        <v>GUARDIAN</v>
      </c>
    </row>
    <row r="1530" spans="5:8" x14ac:dyDescent="0.25">
      <c r="E1530" s="1" t="str">
        <f>""</f>
        <v/>
      </c>
      <c r="F1530" s="1" t="str">
        <f>""</f>
        <v/>
      </c>
      <c r="H1530" s="1" t="str">
        <f t="shared" si="25"/>
        <v>GUARDIAN</v>
      </c>
    </row>
    <row r="1531" spans="5:8" x14ac:dyDescent="0.25">
      <c r="E1531" s="1" t="str">
        <f>""</f>
        <v/>
      </c>
      <c r="F1531" s="1" t="str">
        <f>""</f>
        <v/>
      </c>
      <c r="H1531" s="1" t="str">
        <f t="shared" si="25"/>
        <v>GUARDIAN</v>
      </c>
    </row>
    <row r="1532" spans="5:8" x14ac:dyDescent="0.25">
      <c r="E1532" s="1" t="str">
        <f>""</f>
        <v/>
      </c>
      <c r="F1532" s="1" t="str">
        <f>""</f>
        <v/>
      </c>
      <c r="H1532" s="1" t="str">
        <f t="shared" si="25"/>
        <v>GUARDIAN</v>
      </c>
    </row>
    <row r="1533" spans="5:8" x14ac:dyDescent="0.25">
      <c r="E1533" s="1" t="str">
        <f>""</f>
        <v/>
      </c>
      <c r="F1533" s="1" t="str">
        <f>""</f>
        <v/>
      </c>
      <c r="H1533" s="1" t="str">
        <f t="shared" si="25"/>
        <v>GUARDIAN</v>
      </c>
    </row>
    <row r="1534" spans="5:8" x14ac:dyDescent="0.25">
      <c r="E1534" s="1" t="str">
        <f>""</f>
        <v/>
      </c>
      <c r="F1534" s="1" t="str">
        <f>""</f>
        <v/>
      </c>
      <c r="H1534" s="1" t="str">
        <f t="shared" si="25"/>
        <v>GUARDIAN</v>
      </c>
    </row>
    <row r="1535" spans="5:8" x14ac:dyDescent="0.25">
      <c r="E1535" s="1" t="str">
        <f>""</f>
        <v/>
      </c>
      <c r="F1535" s="1" t="str">
        <f>""</f>
        <v/>
      </c>
      <c r="H1535" s="1" t="str">
        <f t="shared" si="25"/>
        <v>GUARDIAN</v>
      </c>
    </row>
    <row r="1536" spans="5:8" x14ac:dyDescent="0.25">
      <c r="E1536" s="1" t="str">
        <f>""</f>
        <v/>
      </c>
      <c r="F1536" s="1" t="str">
        <f>""</f>
        <v/>
      </c>
      <c r="H1536" s="1" t="str">
        <f t="shared" si="25"/>
        <v>GUARDIAN</v>
      </c>
    </row>
    <row r="1537" spans="5:8" x14ac:dyDescent="0.25">
      <c r="E1537" s="1" t="str">
        <f>""</f>
        <v/>
      </c>
      <c r="F1537" s="1" t="str">
        <f>""</f>
        <v/>
      </c>
      <c r="H1537" s="1" t="str">
        <f t="shared" si="25"/>
        <v>GUARDIAN</v>
      </c>
    </row>
    <row r="1538" spans="5:8" x14ac:dyDescent="0.25">
      <c r="E1538" s="1" t="str">
        <f>""</f>
        <v/>
      </c>
      <c r="F1538" s="1" t="str">
        <f>""</f>
        <v/>
      </c>
      <c r="H1538" s="1" t="str">
        <f t="shared" si="25"/>
        <v>GUARDIAN</v>
      </c>
    </row>
    <row r="1539" spans="5:8" x14ac:dyDescent="0.25">
      <c r="E1539" s="1" t="str">
        <f>""</f>
        <v/>
      </c>
      <c r="F1539" s="1" t="str">
        <f>""</f>
        <v/>
      </c>
      <c r="H1539" s="1" t="str">
        <f t="shared" si="25"/>
        <v>GUARDIAN</v>
      </c>
    </row>
    <row r="1540" spans="5:8" x14ac:dyDescent="0.25">
      <c r="E1540" s="1" t="str">
        <f>""</f>
        <v/>
      </c>
      <c r="F1540" s="1" t="str">
        <f>""</f>
        <v/>
      </c>
      <c r="H1540" s="1" t="str">
        <f t="shared" si="25"/>
        <v>GUARDIAN</v>
      </c>
    </row>
    <row r="1541" spans="5:8" x14ac:dyDescent="0.25">
      <c r="E1541" s="1" t="str">
        <f>""</f>
        <v/>
      </c>
      <c r="F1541" s="1" t="str">
        <f>""</f>
        <v/>
      </c>
      <c r="H1541" s="1" t="str">
        <f t="shared" si="25"/>
        <v>GUARDIAN</v>
      </c>
    </row>
    <row r="1542" spans="5:8" x14ac:dyDescent="0.25">
      <c r="E1542" s="1" t="str">
        <f>""</f>
        <v/>
      </c>
      <c r="F1542" s="1" t="str">
        <f>""</f>
        <v/>
      </c>
      <c r="H1542" s="1" t="str">
        <f t="shared" si="25"/>
        <v>GUARDIAN</v>
      </c>
    </row>
    <row r="1543" spans="5:8" x14ac:dyDescent="0.25">
      <c r="E1543" s="1" t="str">
        <f>""</f>
        <v/>
      </c>
      <c r="F1543" s="1" t="str">
        <f>""</f>
        <v/>
      </c>
      <c r="H1543" s="1" t="str">
        <f t="shared" si="25"/>
        <v>GUARDIAN</v>
      </c>
    </row>
    <row r="1544" spans="5:8" x14ac:dyDescent="0.25">
      <c r="E1544" s="1" t="str">
        <f>""</f>
        <v/>
      </c>
      <c r="F1544" s="1" t="str">
        <f>""</f>
        <v/>
      </c>
      <c r="H1544" s="1" t="str">
        <f t="shared" si="25"/>
        <v>GUARDIAN</v>
      </c>
    </row>
    <row r="1545" spans="5:8" x14ac:dyDescent="0.25">
      <c r="E1545" s="1" t="str">
        <f>""</f>
        <v/>
      </c>
      <c r="F1545" s="1" t="str">
        <f>""</f>
        <v/>
      </c>
      <c r="H1545" s="1" t="str">
        <f t="shared" si="25"/>
        <v>GUARDIAN</v>
      </c>
    </row>
    <row r="1546" spans="5:8" x14ac:dyDescent="0.25">
      <c r="E1546" s="1" t="str">
        <f>""</f>
        <v/>
      </c>
      <c r="F1546" s="1" t="str">
        <f>""</f>
        <v/>
      </c>
      <c r="H1546" s="1" t="str">
        <f t="shared" si="25"/>
        <v>GUARDIAN</v>
      </c>
    </row>
    <row r="1547" spans="5:8" x14ac:dyDescent="0.25">
      <c r="E1547" s="1" t="str">
        <f>"GDC201907090325"</f>
        <v>GDC201907090325</v>
      </c>
      <c r="F1547" s="1" t="str">
        <f>"GUARDIAN"</f>
        <v>GUARDIAN</v>
      </c>
      <c r="G1547" s="3">
        <v>135.84</v>
      </c>
      <c r="H1547" s="1" t="str">
        <f t="shared" si="25"/>
        <v>GUARDIAN</v>
      </c>
    </row>
    <row r="1548" spans="5:8" x14ac:dyDescent="0.25">
      <c r="E1548" s="1" t="str">
        <f>""</f>
        <v/>
      </c>
      <c r="F1548" s="1" t="str">
        <f>""</f>
        <v/>
      </c>
      <c r="H1548" s="1" t="str">
        <f t="shared" si="25"/>
        <v>GUARDIAN</v>
      </c>
    </row>
    <row r="1549" spans="5:8" x14ac:dyDescent="0.25">
      <c r="E1549" s="1" t="str">
        <f>"GDC201907230648"</f>
        <v>GDC201907230648</v>
      </c>
      <c r="F1549" s="1" t="str">
        <f>"GUARDIAN"</f>
        <v>GUARDIAN</v>
      </c>
      <c r="G1549" s="3">
        <v>2614.92</v>
      </c>
      <c r="H1549" s="1" t="str">
        <f t="shared" si="25"/>
        <v>GUARDIAN</v>
      </c>
    </row>
    <row r="1550" spans="5:8" x14ac:dyDescent="0.25">
      <c r="E1550" s="1" t="str">
        <f>""</f>
        <v/>
      </c>
      <c r="F1550" s="1" t="str">
        <f>""</f>
        <v/>
      </c>
      <c r="H1550" s="1" t="str">
        <f t="shared" si="25"/>
        <v>GUARDIAN</v>
      </c>
    </row>
    <row r="1551" spans="5:8" x14ac:dyDescent="0.25">
      <c r="E1551" s="1" t="str">
        <f>""</f>
        <v/>
      </c>
      <c r="F1551" s="1" t="str">
        <f>""</f>
        <v/>
      </c>
      <c r="H1551" s="1" t="str">
        <f t="shared" si="25"/>
        <v>GUARDIAN</v>
      </c>
    </row>
    <row r="1552" spans="5:8" x14ac:dyDescent="0.25">
      <c r="E1552" s="1" t="str">
        <f>""</f>
        <v/>
      </c>
      <c r="F1552" s="1" t="str">
        <f>""</f>
        <v/>
      </c>
      <c r="H1552" s="1" t="str">
        <f t="shared" si="25"/>
        <v>GUARDIAN</v>
      </c>
    </row>
    <row r="1553" spans="5:8" x14ac:dyDescent="0.25">
      <c r="E1553" s="1" t="str">
        <f>""</f>
        <v/>
      </c>
      <c r="F1553" s="1" t="str">
        <f>""</f>
        <v/>
      </c>
      <c r="H1553" s="1" t="str">
        <f t="shared" si="25"/>
        <v>GUARDIAN</v>
      </c>
    </row>
    <row r="1554" spans="5:8" x14ac:dyDescent="0.25">
      <c r="E1554" s="1" t="str">
        <f>""</f>
        <v/>
      </c>
      <c r="F1554" s="1" t="str">
        <f>""</f>
        <v/>
      </c>
      <c r="H1554" s="1" t="str">
        <f t="shared" si="25"/>
        <v>GUARDIAN</v>
      </c>
    </row>
    <row r="1555" spans="5:8" x14ac:dyDescent="0.25">
      <c r="E1555" s="1" t="str">
        <f>""</f>
        <v/>
      </c>
      <c r="F1555" s="1" t="str">
        <f>""</f>
        <v/>
      </c>
      <c r="H1555" s="1" t="str">
        <f t="shared" si="25"/>
        <v>GUARDIAN</v>
      </c>
    </row>
    <row r="1556" spans="5:8" x14ac:dyDescent="0.25">
      <c r="E1556" s="1" t="str">
        <f>""</f>
        <v/>
      </c>
      <c r="F1556" s="1" t="str">
        <f>""</f>
        <v/>
      </c>
      <c r="H1556" s="1" t="str">
        <f t="shared" si="25"/>
        <v>GUARDIAN</v>
      </c>
    </row>
    <row r="1557" spans="5:8" x14ac:dyDescent="0.25">
      <c r="E1557" s="1" t="str">
        <f>""</f>
        <v/>
      </c>
      <c r="F1557" s="1" t="str">
        <f>""</f>
        <v/>
      </c>
      <c r="H1557" s="1" t="str">
        <f t="shared" si="25"/>
        <v>GUARDIAN</v>
      </c>
    </row>
    <row r="1558" spans="5:8" x14ac:dyDescent="0.25">
      <c r="E1558" s="1" t="str">
        <f>""</f>
        <v/>
      </c>
      <c r="F1558" s="1" t="str">
        <f>""</f>
        <v/>
      </c>
      <c r="H1558" s="1" t="str">
        <f t="shared" si="25"/>
        <v>GUARDIAN</v>
      </c>
    </row>
    <row r="1559" spans="5:8" x14ac:dyDescent="0.25">
      <c r="E1559" s="1" t="str">
        <f>""</f>
        <v/>
      </c>
      <c r="F1559" s="1" t="str">
        <f>""</f>
        <v/>
      </c>
      <c r="H1559" s="1" t="str">
        <f t="shared" si="25"/>
        <v>GUARDIAN</v>
      </c>
    </row>
    <row r="1560" spans="5:8" x14ac:dyDescent="0.25">
      <c r="E1560" s="1" t="str">
        <f>""</f>
        <v/>
      </c>
      <c r="F1560" s="1" t="str">
        <f>""</f>
        <v/>
      </c>
      <c r="H1560" s="1" t="str">
        <f t="shared" si="25"/>
        <v>GUARDIAN</v>
      </c>
    </row>
    <row r="1561" spans="5:8" x14ac:dyDescent="0.25">
      <c r="E1561" s="1" t="str">
        <f>""</f>
        <v/>
      </c>
      <c r="F1561" s="1" t="str">
        <f>""</f>
        <v/>
      </c>
      <c r="H1561" s="1" t="str">
        <f t="shared" si="25"/>
        <v>GUARDIAN</v>
      </c>
    </row>
    <row r="1562" spans="5:8" x14ac:dyDescent="0.25">
      <c r="E1562" s="1" t="str">
        <f>""</f>
        <v/>
      </c>
      <c r="F1562" s="1" t="str">
        <f>""</f>
        <v/>
      </c>
      <c r="H1562" s="1" t="str">
        <f t="shared" si="25"/>
        <v>GUARDIAN</v>
      </c>
    </row>
    <row r="1563" spans="5:8" x14ac:dyDescent="0.25">
      <c r="E1563" s="1" t="str">
        <f>""</f>
        <v/>
      </c>
      <c r="F1563" s="1" t="str">
        <f>""</f>
        <v/>
      </c>
      <c r="H1563" s="1" t="str">
        <f t="shared" si="25"/>
        <v>GUARDIAN</v>
      </c>
    </row>
    <row r="1564" spans="5:8" x14ac:dyDescent="0.25">
      <c r="E1564" s="1" t="str">
        <f>""</f>
        <v/>
      </c>
      <c r="F1564" s="1" t="str">
        <f>""</f>
        <v/>
      </c>
      <c r="H1564" s="1" t="str">
        <f t="shared" si="25"/>
        <v>GUARDIAN</v>
      </c>
    </row>
    <row r="1565" spans="5:8" x14ac:dyDescent="0.25">
      <c r="E1565" s="1" t="str">
        <f>""</f>
        <v/>
      </c>
      <c r="F1565" s="1" t="str">
        <f>""</f>
        <v/>
      </c>
      <c r="H1565" s="1" t="str">
        <f t="shared" si="25"/>
        <v>GUARDIAN</v>
      </c>
    </row>
    <row r="1566" spans="5:8" x14ac:dyDescent="0.25">
      <c r="E1566" s="1" t="str">
        <f>""</f>
        <v/>
      </c>
      <c r="F1566" s="1" t="str">
        <f>""</f>
        <v/>
      </c>
      <c r="H1566" s="1" t="str">
        <f t="shared" si="25"/>
        <v>GUARDIAN</v>
      </c>
    </row>
    <row r="1567" spans="5:8" x14ac:dyDescent="0.25">
      <c r="E1567" s="1" t="str">
        <f>""</f>
        <v/>
      </c>
      <c r="F1567" s="1" t="str">
        <f>""</f>
        <v/>
      </c>
      <c r="H1567" s="1" t="str">
        <f t="shared" si="25"/>
        <v>GUARDIAN</v>
      </c>
    </row>
    <row r="1568" spans="5:8" x14ac:dyDescent="0.25">
      <c r="E1568" s="1" t="str">
        <f>""</f>
        <v/>
      </c>
      <c r="F1568" s="1" t="str">
        <f>""</f>
        <v/>
      </c>
      <c r="H1568" s="1" t="str">
        <f t="shared" si="25"/>
        <v>GUARDIAN</v>
      </c>
    </row>
    <row r="1569" spans="5:8" x14ac:dyDescent="0.25">
      <c r="E1569" s="1" t="str">
        <f>""</f>
        <v/>
      </c>
      <c r="F1569" s="1" t="str">
        <f>""</f>
        <v/>
      </c>
      <c r="H1569" s="1" t="str">
        <f t="shared" ref="H1569:H1632" si="26">"GUARDIAN"</f>
        <v>GUARDIAN</v>
      </c>
    </row>
    <row r="1570" spans="5:8" x14ac:dyDescent="0.25">
      <c r="E1570" s="1" t="str">
        <f>""</f>
        <v/>
      </c>
      <c r="F1570" s="1" t="str">
        <f>""</f>
        <v/>
      </c>
      <c r="H1570" s="1" t="str">
        <f t="shared" si="26"/>
        <v>GUARDIAN</v>
      </c>
    </row>
    <row r="1571" spans="5:8" x14ac:dyDescent="0.25">
      <c r="E1571" s="1" t="str">
        <f>""</f>
        <v/>
      </c>
      <c r="F1571" s="1" t="str">
        <f>""</f>
        <v/>
      </c>
      <c r="H1571" s="1" t="str">
        <f t="shared" si="26"/>
        <v>GUARDIAN</v>
      </c>
    </row>
    <row r="1572" spans="5:8" x14ac:dyDescent="0.25">
      <c r="E1572" s="1" t="str">
        <f>""</f>
        <v/>
      </c>
      <c r="F1572" s="1" t="str">
        <f>""</f>
        <v/>
      </c>
      <c r="H1572" s="1" t="str">
        <f t="shared" si="26"/>
        <v>GUARDIAN</v>
      </c>
    </row>
    <row r="1573" spans="5:8" x14ac:dyDescent="0.25">
      <c r="E1573" s="1" t="str">
        <f>""</f>
        <v/>
      </c>
      <c r="F1573" s="1" t="str">
        <f>""</f>
        <v/>
      </c>
      <c r="H1573" s="1" t="str">
        <f t="shared" si="26"/>
        <v>GUARDIAN</v>
      </c>
    </row>
    <row r="1574" spans="5:8" x14ac:dyDescent="0.25">
      <c r="E1574" s="1" t="str">
        <f>""</f>
        <v/>
      </c>
      <c r="F1574" s="1" t="str">
        <f>""</f>
        <v/>
      </c>
      <c r="H1574" s="1" t="str">
        <f t="shared" si="26"/>
        <v>GUARDIAN</v>
      </c>
    </row>
    <row r="1575" spans="5:8" x14ac:dyDescent="0.25">
      <c r="E1575" s="1" t="str">
        <f>""</f>
        <v/>
      </c>
      <c r="F1575" s="1" t="str">
        <f>""</f>
        <v/>
      </c>
      <c r="H1575" s="1" t="str">
        <f t="shared" si="26"/>
        <v>GUARDIAN</v>
      </c>
    </row>
    <row r="1576" spans="5:8" x14ac:dyDescent="0.25">
      <c r="E1576" s="1" t="str">
        <f>""</f>
        <v/>
      </c>
      <c r="F1576" s="1" t="str">
        <f>""</f>
        <v/>
      </c>
      <c r="H1576" s="1" t="str">
        <f t="shared" si="26"/>
        <v>GUARDIAN</v>
      </c>
    </row>
    <row r="1577" spans="5:8" x14ac:dyDescent="0.25">
      <c r="E1577" s="1" t="str">
        <f>""</f>
        <v/>
      </c>
      <c r="F1577" s="1" t="str">
        <f>""</f>
        <v/>
      </c>
      <c r="H1577" s="1" t="str">
        <f t="shared" si="26"/>
        <v>GUARDIAN</v>
      </c>
    </row>
    <row r="1578" spans="5:8" x14ac:dyDescent="0.25">
      <c r="E1578" s="1" t="str">
        <f>""</f>
        <v/>
      </c>
      <c r="F1578" s="1" t="str">
        <f>""</f>
        <v/>
      </c>
      <c r="H1578" s="1" t="str">
        <f t="shared" si="26"/>
        <v>GUARDIAN</v>
      </c>
    </row>
    <row r="1579" spans="5:8" x14ac:dyDescent="0.25">
      <c r="E1579" s="1" t="str">
        <f>"GDC201907230650"</f>
        <v>GDC201907230650</v>
      </c>
      <c r="F1579" s="1" t="str">
        <f>"GUARDIAN"</f>
        <v>GUARDIAN</v>
      </c>
      <c r="G1579" s="3">
        <v>135.84</v>
      </c>
      <c r="H1579" s="1" t="str">
        <f t="shared" si="26"/>
        <v>GUARDIAN</v>
      </c>
    </row>
    <row r="1580" spans="5:8" x14ac:dyDescent="0.25">
      <c r="E1580" s="1" t="str">
        <f>""</f>
        <v/>
      </c>
      <c r="F1580" s="1" t="str">
        <f>""</f>
        <v/>
      </c>
      <c r="H1580" s="1" t="str">
        <f t="shared" si="26"/>
        <v>GUARDIAN</v>
      </c>
    </row>
    <row r="1581" spans="5:8" x14ac:dyDescent="0.25">
      <c r="E1581" s="1" t="str">
        <f>"GDE201907090324"</f>
        <v>GDE201907090324</v>
      </c>
      <c r="F1581" s="1" t="str">
        <f>"GUARDIAN"</f>
        <v>GUARDIAN</v>
      </c>
      <c r="G1581" s="3">
        <v>4186.08</v>
      </c>
      <c r="H1581" s="1" t="str">
        <f t="shared" si="26"/>
        <v>GUARDIAN</v>
      </c>
    </row>
    <row r="1582" spans="5:8" x14ac:dyDescent="0.25">
      <c r="E1582" s="1" t="str">
        <f>""</f>
        <v/>
      </c>
      <c r="F1582" s="1" t="str">
        <f>""</f>
        <v/>
      </c>
      <c r="H1582" s="1" t="str">
        <f t="shared" si="26"/>
        <v>GUARDIAN</v>
      </c>
    </row>
    <row r="1583" spans="5:8" x14ac:dyDescent="0.25">
      <c r="E1583" s="1" t="str">
        <f>""</f>
        <v/>
      </c>
      <c r="F1583" s="1" t="str">
        <f>""</f>
        <v/>
      </c>
      <c r="H1583" s="1" t="str">
        <f t="shared" si="26"/>
        <v>GUARDIAN</v>
      </c>
    </row>
    <row r="1584" spans="5:8" x14ac:dyDescent="0.25">
      <c r="E1584" s="1" t="str">
        <f>""</f>
        <v/>
      </c>
      <c r="F1584" s="1" t="str">
        <f>""</f>
        <v/>
      </c>
      <c r="H1584" s="1" t="str">
        <f t="shared" si="26"/>
        <v>GUARDIAN</v>
      </c>
    </row>
    <row r="1585" spans="5:8" x14ac:dyDescent="0.25">
      <c r="E1585" s="1" t="str">
        <f>""</f>
        <v/>
      </c>
      <c r="F1585" s="1" t="str">
        <f>""</f>
        <v/>
      </c>
      <c r="H1585" s="1" t="str">
        <f t="shared" si="26"/>
        <v>GUARDIAN</v>
      </c>
    </row>
    <row r="1586" spans="5:8" x14ac:dyDescent="0.25">
      <c r="E1586" s="1" t="str">
        <f>""</f>
        <v/>
      </c>
      <c r="F1586" s="1" t="str">
        <f>""</f>
        <v/>
      </c>
      <c r="H1586" s="1" t="str">
        <f t="shared" si="26"/>
        <v>GUARDIAN</v>
      </c>
    </row>
    <row r="1587" spans="5:8" x14ac:dyDescent="0.25">
      <c r="E1587" s="1" t="str">
        <f>""</f>
        <v/>
      </c>
      <c r="F1587" s="1" t="str">
        <f>""</f>
        <v/>
      </c>
      <c r="H1587" s="1" t="str">
        <f t="shared" si="26"/>
        <v>GUARDIAN</v>
      </c>
    </row>
    <row r="1588" spans="5:8" x14ac:dyDescent="0.25">
      <c r="E1588" s="1" t="str">
        <f>""</f>
        <v/>
      </c>
      <c r="F1588" s="1" t="str">
        <f>""</f>
        <v/>
      </c>
      <c r="H1588" s="1" t="str">
        <f t="shared" si="26"/>
        <v>GUARDIAN</v>
      </c>
    </row>
    <row r="1589" spans="5:8" x14ac:dyDescent="0.25">
      <c r="E1589" s="1" t="str">
        <f>""</f>
        <v/>
      </c>
      <c r="F1589" s="1" t="str">
        <f>""</f>
        <v/>
      </c>
      <c r="H1589" s="1" t="str">
        <f t="shared" si="26"/>
        <v>GUARDIAN</v>
      </c>
    </row>
    <row r="1590" spans="5:8" x14ac:dyDescent="0.25">
      <c r="E1590" s="1" t="str">
        <f>""</f>
        <v/>
      </c>
      <c r="F1590" s="1" t="str">
        <f>""</f>
        <v/>
      </c>
      <c r="H1590" s="1" t="str">
        <f t="shared" si="26"/>
        <v>GUARDIAN</v>
      </c>
    </row>
    <row r="1591" spans="5:8" x14ac:dyDescent="0.25">
      <c r="E1591" s="1" t="str">
        <f>""</f>
        <v/>
      </c>
      <c r="F1591" s="1" t="str">
        <f>""</f>
        <v/>
      </c>
      <c r="H1591" s="1" t="str">
        <f t="shared" si="26"/>
        <v>GUARDIAN</v>
      </c>
    </row>
    <row r="1592" spans="5:8" x14ac:dyDescent="0.25">
      <c r="E1592" s="1" t="str">
        <f>""</f>
        <v/>
      </c>
      <c r="F1592" s="1" t="str">
        <f>""</f>
        <v/>
      </c>
      <c r="H1592" s="1" t="str">
        <f t="shared" si="26"/>
        <v>GUARDIAN</v>
      </c>
    </row>
    <row r="1593" spans="5:8" x14ac:dyDescent="0.25">
      <c r="E1593" s="1" t="str">
        <f>""</f>
        <v/>
      </c>
      <c r="F1593" s="1" t="str">
        <f>""</f>
        <v/>
      </c>
      <c r="H1593" s="1" t="str">
        <f t="shared" si="26"/>
        <v>GUARDIAN</v>
      </c>
    </row>
    <row r="1594" spans="5:8" x14ac:dyDescent="0.25">
      <c r="E1594" s="1" t="str">
        <f>""</f>
        <v/>
      </c>
      <c r="F1594" s="1" t="str">
        <f>""</f>
        <v/>
      </c>
      <c r="H1594" s="1" t="str">
        <f t="shared" si="26"/>
        <v>GUARDIAN</v>
      </c>
    </row>
    <row r="1595" spans="5:8" x14ac:dyDescent="0.25">
      <c r="E1595" s="1" t="str">
        <f>""</f>
        <v/>
      </c>
      <c r="F1595" s="1" t="str">
        <f>""</f>
        <v/>
      </c>
      <c r="H1595" s="1" t="str">
        <f t="shared" si="26"/>
        <v>GUARDIAN</v>
      </c>
    </row>
    <row r="1596" spans="5:8" x14ac:dyDescent="0.25">
      <c r="E1596" s="1" t="str">
        <f>""</f>
        <v/>
      </c>
      <c r="F1596" s="1" t="str">
        <f>""</f>
        <v/>
      </c>
      <c r="H1596" s="1" t="str">
        <f t="shared" si="26"/>
        <v>GUARDIAN</v>
      </c>
    </row>
    <row r="1597" spans="5:8" x14ac:dyDescent="0.25">
      <c r="E1597" s="1" t="str">
        <f>""</f>
        <v/>
      </c>
      <c r="F1597" s="1" t="str">
        <f>""</f>
        <v/>
      </c>
      <c r="H1597" s="1" t="str">
        <f t="shared" si="26"/>
        <v>GUARDIAN</v>
      </c>
    </row>
    <row r="1598" spans="5:8" x14ac:dyDescent="0.25">
      <c r="E1598" s="1" t="str">
        <f>""</f>
        <v/>
      </c>
      <c r="F1598" s="1" t="str">
        <f>""</f>
        <v/>
      </c>
      <c r="H1598" s="1" t="str">
        <f t="shared" si="26"/>
        <v>GUARDIAN</v>
      </c>
    </row>
    <row r="1599" spans="5:8" x14ac:dyDescent="0.25">
      <c r="E1599" s="1" t="str">
        <f>""</f>
        <v/>
      </c>
      <c r="F1599" s="1" t="str">
        <f>""</f>
        <v/>
      </c>
      <c r="H1599" s="1" t="str">
        <f t="shared" si="26"/>
        <v>GUARDIAN</v>
      </c>
    </row>
    <row r="1600" spans="5:8" x14ac:dyDescent="0.25">
      <c r="E1600" s="1" t="str">
        <f>""</f>
        <v/>
      </c>
      <c r="F1600" s="1" t="str">
        <f>""</f>
        <v/>
      </c>
      <c r="H1600" s="1" t="str">
        <f t="shared" si="26"/>
        <v>GUARDIAN</v>
      </c>
    </row>
    <row r="1601" spans="5:8" x14ac:dyDescent="0.25">
      <c r="E1601" s="1" t="str">
        <f>""</f>
        <v/>
      </c>
      <c r="F1601" s="1" t="str">
        <f>""</f>
        <v/>
      </c>
      <c r="H1601" s="1" t="str">
        <f t="shared" si="26"/>
        <v>GUARDIAN</v>
      </c>
    </row>
    <row r="1602" spans="5:8" x14ac:dyDescent="0.25">
      <c r="E1602" s="1" t="str">
        <f>""</f>
        <v/>
      </c>
      <c r="F1602" s="1" t="str">
        <f>""</f>
        <v/>
      </c>
      <c r="H1602" s="1" t="str">
        <f t="shared" si="26"/>
        <v>GUARDIAN</v>
      </c>
    </row>
    <row r="1603" spans="5:8" x14ac:dyDescent="0.25">
      <c r="E1603" s="1" t="str">
        <f>""</f>
        <v/>
      </c>
      <c r="F1603" s="1" t="str">
        <f>""</f>
        <v/>
      </c>
      <c r="H1603" s="1" t="str">
        <f t="shared" si="26"/>
        <v>GUARDIAN</v>
      </c>
    </row>
    <row r="1604" spans="5:8" x14ac:dyDescent="0.25">
      <c r="E1604" s="1" t="str">
        <f>""</f>
        <v/>
      </c>
      <c r="F1604" s="1" t="str">
        <f>""</f>
        <v/>
      </c>
      <c r="H1604" s="1" t="str">
        <f t="shared" si="26"/>
        <v>GUARDIAN</v>
      </c>
    </row>
    <row r="1605" spans="5:8" x14ac:dyDescent="0.25">
      <c r="E1605" s="1" t="str">
        <f>""</f>
        <v/>
      </c>
      <c r="F1605" s="1" t="str">
        <f>""</f>
        <v/>
      </c>
      <c r="H1605" s="1" t="str">
        <f t="shared" si="26"/>
        <v>GUARDIAN</v>
      </c>
    </row>
    <row r="1606" spans="5:8" x14ac:dyDescent="0.25">
      <c r="E1606" s="1" t="str">
        <f>""</f>
        <v/>
      </c>
      <c r="F1606" s="1" t="str">
        <f>""</f>
        <v/>
      </c>
      <c r="H1606" s="1" t="str">
        <f t="shared" si="26"/>
        <v>GUARDIAN</v>
      </c>
    </row>
    <row r="1607" spans="5:8" x14ac:dyDescent="0.25">
      <c r="E1607" s="1" t="str">
        <f>""</f>
        <v/>
      </c>
      <c r="F1607" s="1" t="str">
        <f>""</f>
        <v/>
      </c>
      <c r="H1607" s="1" t="str">
        <f t="shared" si="26"/>
        <v>GUARDIAN</v>
      </c>
    </row>
    <row r="1608" spans="5:8" x14ac:dyDescent="0.25">
      <c r="E1608" s="1" t="str">
        <f>""</f>
        <v/>
      </c>
      <c r="F1608" s="1" t="str">
        <f>""</f>
        <v/>
      </c>
      <c r="H1608" s="1" t="str">
        <f t="shared" si="26"/>
        <v>GUARDIAN</v>
      </c>
    </row>
    <row r="1609" spans="5:8" x14ac:dyDescent="0.25">
      <c r="E1609" s="1" t="str">
        <f>""</f>
        <v/>
      </c>
      <c r="F1609" s="1" t="str">
        <f>""</f>
        <v/>
      </c>
      <c r="H1609" s="1" t="str">
        <f t="shared" si="26"/>
        <v>GUARDIAN</v>
      </c>
    </row>
    <row r="1610" spans="5:8" x14ac:dyDescent="0.25">
      <c r="E1610" s="1" t="str">
        <f>""</f>
        <v/>
      </c>
      <c r="F1610" s="1" t="str">
        <f>""</f>
        <v/>
      </c>
      <c r="H1610" s="1" t="str">
        <f t="shared" si="26"/>
        <v>GUARDIAN</v>
      </c>
    </row>
    <row r="1611" spans="5:8" x14ac:dyDescent="0.25">
      <c r="E1611" s="1" t="str">
        <f>""</f>
        <v/>
      </c>
      <c r="F1611" s="1" t="str">
        <f>""</f>
        <v/>
      </c>
      <c r="H1611" s="1" t="str">
        <f t="shared" si="26"/>
        <v>GUARDIAN</v>
      </c>
    </row>
    <row r="1612" spans="5:8" x14ac:dyDescent="0.25">
      <c r="E1612" s="1" t="str">
        <f>""</f>
        <v/>
      </c>
      <c r="F1612" s="1" t="str">
        <f>""</f>
        <v/>
      </c>
      <c r="H1612" s="1" t="str">
        <f t="shared" si="26"/>
        <v>GUARDIAN</v>
      </c>
    </row>
    <row r="1613" spans="5:8" x14ac:dyDescent="0.25">
      <c r="E1613" s="1" t="str">
        <f>""</f>
        <v/>
      </c>
      <c r="F1613" s="1" t="str">
        <f>""</f>
        <v/>
      </c>
      <c r="H1613" s="1" t="str">
        <f t="shared" si="26"/>
        <v>GUARDIAN</v>
      </c>
    </row>
    <row r="1614" spans="5:8" x14ac:dyDescent="0.25">
      <c r="E1614" s="1" t="str">
        <f>""</f>
        <v/>
      </c>
      <c r="F1614" s="1" t="str">
        <f>""</f>
        <v/>
      </c>
      <c r="H1614" s="1" t="str">
        <f t="shared" si="26"/>
        <v>GUARDIAN</v>
      </c>
    </row>
    <row r="1615" spans="5:8" x14ac:dyDescent="0.25">
      <c r="E1615" s="1" t="str">
        <f>""</f>
        <v/>
      </c>
      <c r="F1615" s="1" t="str">
        <f>""</f>
        <v/>
      </c>
      <c r="H1615" s="1" t="str">
        <f t="shared" si="26"/>
        <v>GUARDIAN</v>
      </c>
    </row>
    <row r="1616" spans="5:8" x14ac:dyDescent="0.25">
      <c r="E1616" s="1" t="str">
        <f>""</f>
        <v/>
      </c>
      <c r="F1616" s="1" t="str">
        <f>""</f>
        <v/>
      </c>
      <c r="H1616" s="1" t="str">
        <f t="shared" si="26"/>
        <v>GUARDIAN</v>
      </c>
    </row>
    <row r="1617" spans="5:8" x14ac:dyDescent="0.25">
      <c r="E1617" s="1" t="str">
        <f>""</f>
        <v/>
      </c>
      <c r="F1617" s="1" t="str">
        <f>""</f>
        <v/>
      </c>
      <c r="H1617" s="1" t="str">
        <f t="shared" si="26"/>
        <v>GUARDIAN</v>
      </c>
    </row>
    <row r="1618" spans="5:8" x14ac:dyDescent="0.25">
      <c r="E1618" s="1" t="str">
        <f>""</f>
        <v/>
      </c>
      <c r="F1618" s="1" t="str">
        <f>""</f>
        <v/>
      </c>
      <c r="H1618" s="1" t="str">
        <f t="shared" si="26"/>
        <v>GUARDIAN</v>
      </c>
    </row>
    <row r="1619" spans="5:8" x14ac:dyDescent="0.25">
      <c r="E1619" s="1" t="str">
        <f>""</f>
        <v/>
      </c>
      <c r="F1619" s="1" t="str">
        <f>""</f>
        <v/>
      </c>
      <c r="H1619" s="1" t="str">
        <f t="shared" si="26"/>
        <v>GUARDIAN</v>
      </c>
    </row>
    <row r="1620" spans="5:8" x14ac:dyDescent="0.25">
      <c r="E1620" s="1" t="str">
        <f>""</f>
        <v/>
      </c>
      <c r="F1620" s="1" t="str">
        <f>""</f>
        <v/>
      </c>
      <c r="H1620" s="1" t="str">
        <f t="shared" si="26"/>
        <v>GUARDIAN</v>
      </c>
    </row>
    <row r="1621" spans="5:8" x14ac:dyDescent="0.25">
      <c r="E1621" s="1" t="str">
        <f>""</f>
        <v/>
      </c>
      <c r="F1621" s="1" t="str">
        <f>""</f>
        <v/>
      </c>
      <c r="H1621" s="1" t="str">
        <f t="shared" si="26"/>
        <v>GUARDIAN</v>
      </c>
    </row>
    <row r="1622" spans="5:8" x14ac:dyDescent="0.25">
      <c r="E1622" s="1" t="str">
        <f>""</f>
        <v/>
      </c>
      <c r="F1622" s="1" t="str">
        <f>""</f>
        <v/>
      </c>
      <c r="H1622" s="1" t="str">
        <f t="shared" si="26"/>
        <v>GUARDIAN</v>
      </c>
    </row>
    <row r="1623" spans="5:8" x14ac:dyDescent="0.25">
      <c r="E1623" s="1" t="str">
        <f>""</f>
        <v/>
      </c>
      <c r="F1623" s="1" t="str">
        <f>""</f>
        <v/>
      </c>
      <c r="H1623" s="1" t="str">
        <f t="shared" si="26"/>
        <v>GUARDIAN</v>
      </c>
    </row>
    <row r="1624" spans="5:8" x14ac:dyDescent="0.25">
      <c r="E1624" s="1" t="str">
        <f>""</f>
        <v/>
      </c>
      <c r="F1624" s="1" t="str">
        <f>""</f>
        <v/>
      </c>
      <c r="H1624" s="1" t="str">
        <f t="shared" si="26"/>
        <v>GUARDIAN</v>
      </c>
    </row>
    <row r="1625" spans="5:8" x14ac:dyDescent="0.25">
      <c r="E1625" s="1" t="str">
        <f>"GDE201907090325"</f>
        <v>GDE201907090325</v>
      </c>
      <c r="F1625" s="1" t="str">
        <f>"GUARDIAN"</f>
        <v>GUARDIAN</v>
      </c>
      <c r="G1625" s="3">
        <v>169.29</v>
      </c>
      <c r="H1625" s="1" t="str">
        <f t="shared" si="26"/>
        <v>GUARDIAN</v>
      </c>
    </row>
    <row r="1626" spans="5:8" x14ac:dyDescent="0.25">
      <c r="E1626" s="1" t="str">
        <f>"GDE201907230648"</f>
        <v>GDE201907230648</v>
      </c>
      <c r="F1626" s="1" t="str">
        <f>"GUARDIAN"</f>
        <v>GUARDIAN</v>
      </c>
      <c r="G1626" s="3">
        <v>4186.08</v>
      </c>
      <c r="H1626" s="1" t="str">
        <f t="shared" si="26"/>
        <v>GUARDIAN</v>
      </c>
    </row>
    <row r="1627" spans="5:8" x14ac:dyDescent="0.25">
      <c r="E1627" s="1" t="str">
        <f>""</f>
        <v/>
      </c>
      <c r="F1627" s="1" t="str">
        <f>""</f>
        <v/>
      </c>
      <c r="H1627" s="1" t="str">
        <f t="shared" si="26"/>
        <v>GUARDIAN</v>
      </c>
    </row>
    <row r="1628" spans="5:8" x14ac:dyDescent="0.25">
      <c r="E1628" s="1" t="str">
        <f>""</f>
        <v/>
      </c>
      <c r="F1628" s="1" t="str">
        <f>""</f>
        <v/>
      </c>
      <c r="H1628" s="1" t="str">
        <f t="shared" si="26"/>
        <v>GUARDIAN</v>
      </c>
    </row>
    <row r="1629" spans="5:8" x14ac:dyDescent="0.25">
      <c r="E1629" s="1" t="str">
        <f>""</f>
        <v/>
      </c>
      <c r="F1629" s="1" t="str">
        <f>""</f>
        <v/>
      </c>
      <c r="H1629" s="1" t="str">
        <f t="shared" si="26"/>
        <v>GUARDIAN</v>
      </c>
    </row>
    <row r="1630" spans="5:8" x14ac:dyDescent="0.25">
      <c r="E1630" s="1" t="str">
        <f>""</f>
        <v/>
      </c>
      <c r="F1630" s="1" t="str">
        <f>""</f>
        <v/>
      </c>
      <c r="H1630" s="1" t="str">
        <f t="shared" si="26"/>
        <v>GUARDIAN</v>
      </c>
    </row>
    <row r="1631" spans="5:8" x14ac:dyDescent="0.25">
      <c r="E1631" s="1" t="str">
        <f>""</f>
        <v/>
      </c>
      <c r="F1631" s="1" t="str">
        <f>""</f>
        <v/>
      </c>
      <c r="H1631" s="1" t="str">
        <f t="shared" si="26"/>
        <v>GUARDIAN</v>
      </c>
    </row>
    <row r="1632" spans="5:8" x14ac:dyDescent="0.25">
      <c r="E1632" s="1" t="str">
        <f>""</f>
        <v/>
      </c>
      <c r="F1632" s="1" t="str">
        <f>""</f>
        <v/>
      </c>
      <c r="H1632" s="1" t="str">
        <f t="shared" si="26"/>
        <v>GUARDIAN</v>
      </c>
    </row>
    <row r="1633" spans="5:8" x14ac:dyDescent="0.25">
      <c r="E1633" s="1" t="str">
        <f>""</f>
        <v/>
      </c>
      <c r="F1633" s="1" t="str">
        <f>""</f>
        <v/>
      </c>
      <c r="H1633" s="1" t="str">
        <f t="shared" ref="H1633:H1696" si="27">"GUARDIAN"</f>
        <v>GUARDIAN</v>
      </c>
    </row>
    <row r="1634" spans="5:8" x14ac:dyDescent="0.25">
      <c r="E1634" s="1" t="str">
        <f>""</f>
        <v/>
      </c>
      <c r="F1634" s="1" t="str">
        <f>""</f>
        <v/>
      </c>
      <c r="H1634" s="1" t="str">
        <f t="shared" si="27"/>
        <v>GUARDIAN</v>
      </c>
    </row>
    <row r="1635" spans="5:8" x14ac:dyDescent="0.25">
      <c r="E1635" s="1" t="str">
        <f>""</f>
        <v/>
      </c>
      <c r="F1635" s="1" t="str">
        <f>""</f>
        <v/>
      </c>
      <c r="H1635" s="1" t="str">
        <f t="shared" si="27"/>
        <v>GUARDIAN</v>
      </c>
    </row>
    <row r="1636" spans="5:8" x14ac:dyDescent="0.25">
      <c r="E1636" s="1" t="str">
        <f>""</f>
        <v/>
      </c>
      <c r="F1636" s="1" t="str">
        <f>""</f>
        <v/>
      </c>
      <c r="H1636" s="1" t="str">
        <f t="shared" si="27"/>
        <v>GUARDIAN</v>
      </c>
    </row>
    <row r="1637" spans="5:8" x14ac:dyDescent="0.25">
      <c r="E1637" s="1" t="str">
        <f>""</f>
        <v/>
      </c>
      <c r="F1637" s="1" t="str">
        <f>""</f>
        <v/>
      </c>
      <c r="H1637" s="1" t="str">
        <f t="shared" si="27"/>
        <v>GUARDIAN</v>
      </c>
    </row>
    <row r="1638" spans="5:8" x14ac:dyDescent="0.25">
      <c r="E1638" s="1" t="str">
        <f>""</f>
        <v/>
      </c>
      <c r="F1638" s="1" t="str">
        <f>""</f>
        <v/>
      </c>
      <c r="H1638" s="1" t="str">
        <f t="shared" si="27"/>
        <v>GUARDIAN</v>
      </c>
    </row>
    <row r="1639" spans="5:8" x14ac:dyDescent="0.25">
      <c r="E1639" s="1" t="str">
        <f>""</f>
        <v/>
      </c>
      <c r="F1639" s="1" t="str">
        <f>""</f>
        <v/>
      </c>
      <c r="H1639" s="1" t="str">
        <f t="shared" si="27"/>
        <v>GUARDIAN</v>
      </c>
    </row>
    <row r="1640" spans="5:8" x14ac:dyDescent="0.25">
      <c r="E1640" s="1" t="str">
        <f>""</f>
        <v/>
      </c>
      <c r="F1640" s="1" t="str">
        <f>""</f>
        <v/>
      </c>
      <c r="H1640" s="1" t="str">
        <f t="shared" si="27"/>
        <v>GUARDIAN</v>
      </c>
    </row>
    <row r="1641" spans="5:8" x14ac:dyDescent="0.25">
      <c r="E1641" s="1" t="str">
        <f>""</f>
        <v/>
      </c>
      <c r="F1641" s="1" t="str">
        <f>""</f>
        <v/>
      </c>
      <c r="H1641" s="1" t="str">
        <f t="shared" si="27"/>
        <v>GUARDIAN</v>
      </c>
    </row>
    <row r="1642" spans="5:8" x14ac:dyDescent="0.25">
      <c r="E1642" s="1" t="str">
        <f>""</f>
        <v/>
      </c>
      <c r="F1642" s="1" t="str">
        <f>""</f>
        <v/>
      </c>
      <c r="H1642" s="1" t="str">
        <f t="shared" si="27"/>
        <v>GUARDIAN</v>
      </c>
    </row>
    <row r="1643" spans="5:8" x14ac:dyDescent="0.25">
      <c r="E1643" s="1" t="str">
        <f>""</f>
        <v/>
      </c>
      <c r="F1643" s="1" t="str">
        <f>""</f>
        <v/>
      </c>
      <c r="H1643" s="1" t="str">
        <f t="shared" si="27"/>
        <v>GUARDIAN</v>
      </c>
    </row>
    <row r="1644" spans="5:8" x14ac:dyDescent="0.25">
      <c r="E1644" s="1" t="str">
        <f>""</f>
        <v/>
      </c>
      <c r="F1644" s="1" t="str">
        <f>""</f>
        <v/>
      </c>
      <c r="H1644" s="1" t="str">
        <f t="shared" si="27"/>
        <v>GUARDIAN</v>
      </c>
    </row>
    <row r="1645" spans="5:8" x14ac:dyDescent="0.25">
      <c r="E1645" s="1" t="str">
        <f>""</f>
        <v/>
      </c>
      <c r="F1645" s="1" t="str">
        <f>""</f>
        <v/>
      </c>
      <c r="H1645" s="1" t="str">
        <f t="shared" si="27"/>
        <v>GUARDIAN</v>
      </c>
    </row>
    <row r="1646" spans="5:8" x14ac:dyDescent="0.25">
      <c r="E1646" s="1" t="str">
        <f>""</f>
        <v/>
      </c>
      <c r="F1646" s="1" t="str">
        <f>""</f>
        <v/>
      </c>
      <c r="H1646" s="1" t="str">
        <f t="shared" si="27"/>
        <v>GUARDIAN</v>
      </c>
    </row>
    <row r="1647" spans="5:8" x14ac:dyDescent="0.25">
      <c r="E1647" s="1" t="str">
        <f>""</f>
        <v/>
      </c>
      <c r="F1647" s="1" t="str">
        <f>""</f>
        <v/>
      </c>
      <c r="H1647" s="1" t="str">
        <f t="shared" si="27"/>
        <v>GUARDIAN</v>
      </c>
    </row>
    <row r="1648" spans="5:8" x14ac:dyDescent="0.25">
      <c r="E1648" s="1" t="str">
        <f>""</f>
        <v/>
      </c>
      <c r="F1648" s="1" t="str">
        <f>""</f>
        <v/>
      </c>
      <c r="H1648" s="1" t="str">
        <f t="shared" si="27"/>
        <v>GUARDIAN</v>
      </c>
    </row>
    <row r="1649" spans="5:8" x14ac:dyDescent="0.25">
      <c r="E1649" s="1" t="str">
        <f>""</f>
        <v/>
      </c>
      <c r="F1649" s="1" t="str">
        <f>""</f>
        <v/>
      </c>
      <c r="H1649" s="1" t="str">
        <f t="shared" si="27"/>
        <v>GUARDIAN</v>
      </c>
    </row>
    <row r="1650" spans="5:8" x14ac:dyDescent="0.25">
      <c r="E1650" s="1" t="str">
        <f>""</f>
        <v/>
      </c>
      <c r="F1650" s="1" t="str">
        <f>""</f>
        <v/>
      </c>
      <c r="H1650" s="1" t="str">
        <f t="shared" si="27"/>
        <v>GUARDIAN</v>
      </c>
    </row>
    <row r="1651" spans="5:8" x14ac:dyDescent="0.25">
      <c r="E1651" s="1" t="str">
        <f>""</f>
        <v/>
      </c>
      <c r="F1651" s="1" t="str">
        <f>""</f>
        <v/>
      </c>
      <c r="H1651" s="1" t="str">
        <f t="shared" si="27"/>
        <v>GUARDIAN</v>
      </c>
    </row>
    <row r="1652" spans="5:8" x14ac:dyDescent="0.25">
      <c r="E1652" s="1" t="str">
        <f>""</f>
        <v/>
      </c>
      <c r="F1652" s="1" t="str">
        <f>""</f>
        <v/>
      </c>
      <c r="H1652" s="1" t="str">
        <f t="shared" si="27"/>
        <v>GUARDIAN</v>
      </c>
    </row>
    <row r="1653" spans="5:8" x14ac:dyDescent="0.25">
      <c r="E1653" s="1" t="str">
        <f>""</f>
        <v/>
      </c>
      <c r="F1653" s="1" t="str">
        <f>""</f>
        <v/>
      </c>
      <c r="H1653" s="1" t="str">
        <f t="shared" si="27"/>
        <v>GUARDIAN</v>
      </c>
    </row>
    <row r="1654" spans="5:8" x14ac:dyDescent="0.25">
      <c r="E1654" s="1" t="str">
        <f>""</f>
        <v/>
      </c>
      <c r="F1654" s="1" t="str">
        <f>""</f>
        <v/>
      </c>
      <c r="H1654" s="1" t="str">
        <f t="shared" si="27"/>
        <v>GUARDIAN</v>
      </c>
    </row>
    <row r="1655" spans="5:8" x14ac:dyDescent="0.25">
      <c r="E1655" s="1" t="str">
        <f>""</f>
        <v/>
      </c>
      <c r="F1655" s="1" t="str">
        <f>""</f>
        <v/>
      </c>
      <c r="H1655" s="1" t="str">
        <f t="shared" si="27"/>
        <v>GUARDIAN</v>
      </c>
    </row>
    <row r="1656" spans="5:8" x14ac:dyDescent="0.25">
      <c r="E1656" s="1" t="str">
        <f>""</f>
        <v/>
      </c>
      <c r="F1656" s="1" t="str">
        <f>""</f>
        <v/>
      </c>
      <c r="H1656" s="1" t="str">
        <f t="shared" si="27"/>
        <v>GUARDIAN</v>
      </c>
    </row>
    <row r="1657" spans="5:8" x14ac:dyDescent="0.25">
      <c r="E1657" s="1" t="str">
        <f>""</f>
        <v/>
      </c>
      <c r="F1657" s="1" t="str">
        <f>""</f>
        <v/>
      </c>
      <c r="H1657" s="1" t="str">
        <f t="shared" si="27"/>
        <v>GUARDIAN</v>
      </c>
    </row>
    <row r="1658" spans="5:8" x14ac:dyDescent="0.25">
      <c r="E1658" s="1" t="str">
        <f>""</f>
        <v/>
      </c>
      <c r="F1658" s="1" t="str">
        <f>""</f>
        <v/>
      </c>
      <c r="H1658" s="1" t="str">
        <f t="shared" si="27"/>
        <v>GUARDIAN</v>
      </c>
    </row>
    <row r="1659" spans="5:8" x14ac:dyDescent="0.25">
      <c r="E1659" s="1" t="str">
        <f>""</f>
        <v/>
      </c>
      <c r="F1659" s="1" t="str">
        <f>""</f>
        <v/>
      </c>
      <c r="H1659" s="1" t="str">
        <f t="shared" si="27"/>
        <v>GUARDIAN</v>
      </c>
    </row>
    <row r="1660" spans="5:8" x14ac:dyDescent="0.25">
      <c r="E1660" s="1" t="str">
        <f>""</f>
        <v/>
      </c>
      <c r="F1660" s="1" t="str">
        <f>""</f>
        <v/>
      </c>
      <c r="H1660" s="1" t="str">
        <f t="shared" si="27"/>
        <v>GUARDIAN</v>
      </c>
    </row>
    <row r="1661" spans="5:8" x14ac:dyDescent="0.25">
      <c r="E1661" s="1" t="str">
        <f>""</f>
        <v/>
      </c>
      <c r="F1661" s="1" t="str">
        <f>""</f>
        <v/>
      </c>
      <c r="H1661" s="1" t="str">
        <f t="shared" si="27"/>
        <v>GUARDIAN</v>
      </c>
    </row>
    <row r="1662" spans="5:8" x14ac:dyDescent="0.25">
      <c r="E1662" s="1" t="str">
        <f>""</f>
        <v/>
      </c>
      <c r="F1662" s="1" t="str">
        <f>""</f>
        <v/>
      </c>
      <c r="H1662" s="1" t="str">
        <f t="shared" si="27"/>
        <v>GUARDIAN</v>
      </c>
    </row>
    <row r="1663" spans="5:8" x14ac:dyDescent="0.25">
      <c r="E1663" s="1" t="str">
        <f>""</f>
        <v/>
      </c>
      <c r="F1663" s="1" t="str">
        <f>""</f>
        <v/>
      </c>
      <c r="H1663" s="1" t="str">
        <f t="shared" si="27"/>
        <v>GUARDIAN</v>
      </c>
    </row>
    <row r="1664" spans="5:8" x14ac:dyDescent="0.25">
      <c r="E1664" s="1" t="str">
        <f>""</f>
        <v/>
      </c>
      <c r="F1664" s="1" t="str">
        <f>""</f>
        <v/>
      </c>
      <c r="H1664" s="1" t="str">
        <f t="shared" si="27"/>
        <v>GUARDIAN</v>
      </c>
    </row>
    <row r="1665" spans="5:8" x14ac:dyDescent="0.25">
      <c r="E1665" s="1" t="str">
        <f>""</f>
        <v/>
      </c>
      <c r="F1665" s="1" t="str">
        <f>""</f>
        <v/>
      </c>
      <c r="H1665" s="1" t="str">
        <f t="shared" si="27"/>
        <v>GUARDIAN</v>
      </c>
    </row>
    <row r="1666" spans="5:8" x14ac:dyDescent="0.25">
      <c r="E1666" s="1" t="str">
        <f>""</f>
        <v/>
      </c>
      <c r="F1666" s="1" t="str">
        <f>""</f>
        <v/>
      </c>
      <c r="H1666" s="1" t="str">
        <f t="shared" si="27"/>
        <v>GUARDIAN</v>
      </c>
    </row>
    <row r="1667" spans="5:8" x14ac:dyDescent="0.25">
      <c r="E1667" s="1" t="str">
        <f>""</f>
        <v/>
      </c>
      <c r="F1667" s="1" t="str">
        <f>""</f>
        <v/>
      </c>
      <c r="H1667" s="1" t="str">
        <f t="shared" si="27"/>
        <v>GUARDIAN</v>
      </c>
    </row>
    <row r="1668" spans="5:8" x14ac:dyDescent="0.25">
      <c r="E1668" s="1" t="str">
        <f>""</f>
        <v/>
      </c>
      <c r="F1668" s="1" t="str">
        <f>""</f>
        <v/>
      </c>
      <c r="H1668" s="1" t="str">
        <f t="shared" si="27"/>
        <v>GUARDIAN</v>
      </c>
    </row>
    <row r="1669" spans="5:8" x14ac:dyDescent="0.25">
      <c r="E1669" s="1" t="str">
        <f>""</f>
        <v/>
      </c>
      <c r="F1669" s="1" t="str">
        <f>""</f>
        <v/>
      </c>
      <c r="H1669" s="1" t="str">
        <f t="shared" si="27"/>
        <v>GUARDIAN</v>
      </c>
    </row>
    <row r="1670" spans="5:8" x14ac:dyDescent="0.25">
      <c r="E1670" s="1" t="str">
        <f>"GDE201907230650"</f>
        <v>GDE201907230650</v>
      </c>
      <c r="F1670" s="1" t="str">
        <f>"GUARDIAN"</f>
        <v>GUARDIAN</v>
      </c>
      <c r="G1670" s="3">
        <v>169.29</v>
      </c>
      <c r="H1670" s="1" t="str">
        <f t="shared" si="27"/>
        <v>GUARDIAN</v>
      </c>
    </row>
    <row r="1671" spans="5:8" x14ac:dyDescent="0.25">
      <c r="E1671" s="1" t="str">
        <f>"GDF201907090324"</f>
        <v>GDF201907090324</v>
      </c>
      <c r="F1671" s="1" t="str">
        <f>"GUARDIAN"</f>
        <v>GUARDIAN</v>
      </c>
      <c r="G1671" s="3">
        <v>2359.87</v>
      </c>
      <c r="H1671" s="1" t="str">
        <f t="shared" si="27"/>
        <v>GUARDIAN</v>
      </c>
    </row>
    <row r="1672" spans="5:8" x14ac:dyDescent="0.25">
      <c r="E1672" s="1" t="str">
        <f>""</f>
        <v/>
      </c>
      <c r="F1672" s="1" t="str">
        <f>""</f>
        <v/>
      </c>
      <c r="H1672" s="1" t="str">
        <f t="shared" si="27"/>
        <v>GUARDIAN</v>
      </c>
    </row>
    <row r="1673" spans="5:8" x14ac:dyDescent="0.25">
      <c r="E1673" s="1" t="str">
        <f>""</f>
        <v/>
      </c>
      <c r="F1673" s="1" t="str">
        <f>""</f>
        <v/>
      </c>
      <c r="H1673" s="1" t="str">
        <f t="shared" si="27"/>
        <v>GUARDIAN</v>
      </c>
    </row>
    <row r="1674" spans="5:8" x14ac:dyDescent="0.25">
      <c r="E1674" s="1" t="str">
        <f>""</f>
        <v/>
      </c>
      <c r="F1674" s="1" t="str">
        <f>""</f>
        <v/>
      </c>
      <c r="H1674" s="1" t="str">
        <f t="shared" si="27"/>
        <v>GUARDIAN</v>
      </c>
    </row>
    <row r="1675" spans="5:8" x14ac:dyDescent="0.25">
      <c r="E1675" s="1" t="str">
        <f>""</f>
        <v/>
      </c>
      <c r="F1675" s="1" t="str">
        <f>""</f>
        <v/>
      </c>
      <c r="H1675" s="1" t="str">
        <f t="shared" si="27"/>
        <v>GUARDIAN</v>
      </c>
    </row>
    <row r="1676" spans="5:8" x14ac:dyDescent="0.25">
      <c r="E1676" s="1" t="str">
        <f>""</f>
        <v/>
      </c>
      <c r="F1676" s="1" t="str">
        <f>""</f>
        <v/>
      </c>
      <c r="H1676" s="1" t="str">
        <f t="shared" si="27"/>
        <v>GUARDIAN</v>
      </c>
    </row>
    <row r="1677" spans="5:8" x14ac:dyDescent="0.25">
      <c r="E1677" s="1" t="str">
        <f>""</f>
        <v/>
      </c>
      <c r="F1677" s="1" t="str">
        <f>""</f>
        <v/>
      </c>
      <c r="H1677" s="1" t="str">
        <f t="shared" si="27"/>
        <v>GUARDIAN</v>
      </c>
    </row>
    <row r="1678" spans="5:8" x14ac:dyDescent="0.25">
      <c r="E1678" s="1" t="str">
        <f>""</f>
        <v/>
      </c>
      <c r="F1678" s="1" t="str">
        <f>""</f>
        <v/>
      </c>
      <c r="H1678" s="1" t="str">
        <f t="shared" si="27"/>
        <v>GUARDIAN</v>
      </c>
    </row>
    <row r="1679" spans="5:8" x14ac:dyDescent="0.25">
      <c r="E1679" s="1" t="str">
        <f>""</f>
        <v/>
      </c>
      <c r="F1679" s="1" t="str">
        <f>""</f>
        <v/>
      </c>
      <c r="H1679" s="1" t="str">
        <f t="shared" si="27"/>
        <v>GUARDIAN</v>
      </c>
    </row>
    <row r="1680" spans="5:8" x14ac:dyDescent="0.25">
      <c r="E1680" s="1" t="str">
        <f>""</f>
        <v/>
      </c>
      <c r="F1680" s="1" t="str">
        <f>""</f>
        <v/>
      </c>
      <c r="H1680" s="1" t="str">
        <f t="shared" si="27"/>
        <v>GUARDIAN</v>
      </c>
    </row>
    <row r="1681" spans="5:8" x14ac:dyDescent="0.25">
      <c r="E1681" s="1" t="str">
        <f>""</f>
        <v/>
      </c>
      <c r="F1681" s="1" t="str">
        <f>""</f>
        <v/>
      </c>
      <c r="H1681" s="1" t="str">
        <f t="shared" si="27"/>
        <v>GUARDIAN</v>
      </c>
    </row>
    <row r="1682" spans="5:8" x14ac:dyDescent="0.25">
      <c r="E1682" s="1" t="str">
        <f>""</f>
        <v/>
      </c>
      <c r="F1682" s="1" t="str">
        <f>""</f>
        <v/>
      </c>
      <c r="H1682" s="1" t="str">
        <f t="shared" si="27"/>
        <v>GUARDIAN</v>
      </c>
    </row>
    <row r="1683" spans="5:8" x14ac:dyDescent="0.25">
      <c r="E1683" s="1" t="str">
        <f>""</f>
        <v/>
      </c>
      <c r="F1683" s="1" t="str">
        <f>""</f>
        <v/>
      </c>
      <c r="H1683" s="1" t="str">
        <f t="shared" si="27"/>
        <v>GUARDIAN</v>
      </c>
    </row>
    <row r="1684" spans="5:8" x14ac:dyDescent="0.25">
      <c r="E1684" s="1" t="str">
        <f>""</f>
        <v/>
      </c>
      <c r="F1684" s="1" t="str">
        <f>""</f>
        <v/>
      </c>
      <c r="H1684" s="1" t="str">
        <f t="shared" si="27"/>
        <v>GUARDIAN</v>
      </c>
    </row>
    <row r="1685" spans="5:8" x14ac:dyDescent="0.25">
      <c r="E1685" s="1" t="str">
        <f>""</f>
        <v/>
      </c>
      <c r="F1685" s="1" t="str">
        <f>""</f>
        <v/>
      </c>
      <c r="H1685" s="1" t="str">
        <f t="shared" si="27"/>
        <v>GUARDIAN</v>
      </c>
    </row>
    <row r="1686" spans="5:8" x14ac:dyDescent="0.25">
      <c r="E1686" s="1" t="str">
        <f>""</f>
        <v/>
      </c>
      <c r="F1686" s="1" t="str">
        <f>""</f>
        <v/>
      </c>
      <c r="H1686" s="1" t="str">
        <f t="shared" si="27"/>
        <v>GUARDIAN</v>
      </c>
    </row>
    <row r="1687" spans="5:8" x14ac:dyDescent="0.25">
      <c r="E1687" s="1" t="str">
        <f>""</f>
        <v/>
      </c>
      <c r="F1687" s="1" t="str">
        <f>""</f>
        <v/>
      </c>
      <c r="H1687" s="1" t="str">
        <f t="shared" si="27"/>
        <v>GUARDIAN</v>
      </c>
    </row>
    <row r="1688" spans="5:8" x14ac:dyDescent="0.25">
      <c r="E1688" s="1" t="str">
        <f>""</f>
        <v/>
      </c>
      <c r="F1688" s="1" t="str">
        <f>""</f>
        <v/>
      </c>
      <c r="H1688" s="1" t="str">
        <f t="shared" si="27"/>
        <v>GUARDIAN</v>
      </c>
    </row>
    <row r="1689" spans="5:8" x14ac:dyDescent="0.25">
      <c r="E1689" s="1" t="str">
        <f>""</f>
        <v/>
      </c>
      <c r="F1689" s="1" t="str">
        <f>""</f>
        <v/>
      </c>
      <c r="H1689" s="1" t="str">
        <f t="shared" si="27"/>
        <v>GUARDIAN</v>
      </c>
    </row>
    <row r="1690" spans="5:8" x14ac:dyDescent="0.25">
      <c r="E1690" s="1" t="str">
        <f>"GDF201907090325"</f>
        <v>GDF201907090325</v>
      </c>
      <c r="F1690" s="1" t="str">
        <f>"GUARDIAN"</f>
        <v>GUARDIAN</v>
      </c>
      <c r="G1690" s="3">
        <v>100.42</v>
      </c>
      <c r="H1690" s="1" t="str">
        <f t="shared" si="27"/>
        <v>GUARDIAN</v>
      </c>
    </row>
    <row r="1691" spans="5:8" x14ac:dyDescent="0.25">
      <c r="E1691" s="1" t="str">
        <f>""</f>
        <v/>
      </c>
      <c r="F1691" s="1" t="str">
        <f>""</f>
        <v/>
      </c>
      <c r="H1691" s="1" t="str">
        <f t="shared" si="27"/>
        <v>GUARDIAN</v>
      </c>
    </row>
    <row r="1692" spans="5:8" x14ac:dyDescent="0.25">
      <c r="E1692" s="1" t="str">
        <f>"GDF201907230648"</f>
        <v>GDF201907230648</v>
      </c>
      <c r="F1692" s="1" t="str">
        <f>"GUARDIAN"</f>
        <v>GUARDIAN</v>
      </c>
      <c r="G1692" s="3">
        <v>2359.87</v>
      </c>
      <c r="H1692" s="1" t="str">
        <f t="shared" si="27"/>
        <v>GUARDIAN</v>
      </c>
    </row>
    <row r="1693" spans="5:8" x14ac:dyDescent="0.25">
      <c r="E1693" s="1" t="str">
        <f>""</f>
        <v/>
      </c>
      <c r="F1693" s="1" t="str">
        <f>""</f>
        <v/>
      </c>
      <c r="H1693" s="1" t="str">
        <f t="shared" si="27"/>
        <v>GUARDIAN</v>
      </c>
    </row>
    <row r="1694" spans="5:8" x14ac:dyDescent="0.25">
      <c r="E1694" s="1" t="str">
        <f>""</f>
        <v/>
      </c>
      <c r="F1694" s="1" t="str">
        <f>""</f>
        <v/>
      </c>
      <c r="H1694" s="1" t="str">
        <f t="shared" si="27"/>
        <v>GUARDIAN</v>
      </c>
    </row>
    <row r="1695" spans="5:8" x14ac:dyDescent="0.25">
      <c r="E1695" s="1" t="str">
        <f>""</f>
        <v/>
      </c>
      <c r="F1695" s="1" t="str">
        <f>""</f>
        <v/>
      </c>
      <c r="H1695" s="1" t="str">
        <f t="shared" si="27"/>
        <v>GUARDIAN</v>
      </c>
    </row>
    <row r="1696" spans="5:8" x14ac:dyDescent="0.25">
      <c r="E1696" s="1" t="str">
        <f>""</f>
        <v/>
      </c>
      <c r="F1696" s="1" t="str">
        <f>""</f>
        <v/>
      </c>
      <c r="H1696" s="1" t="str">
        <f t="shared" si="27"/>
        <v>GUARDIAN</v>
      </c>
    </row>
    <row r="1697" spans="5:8" x14ac:dyDescent="0.25">
      <c r="E1697" s="1" t="str">
        <f>""</f>
        <v/>
      </c>
      <c r="F1697" s="1" t="str">
        <f>""</f>
        <v/>
      </c>
      <c r="H1697" s="1" t="str">
        <f t="shared" ref="H1697:H1762" si="28">"GUARDIAN"</f>
        <v>GUARDIAN</v>
      </c>
    </row>
    <row r="1698" spans="5:8" x14ac:dyDescent="0.25">
      <c r="E1698" s="1" t="str">
        <f>""</f>
        <v/>
      </c>
      <c r="F1698" s="1" t="str">
        <f>""</f>
        <v/>
      </c>
      <c r="H1698" s="1" t="str">
        <f t="shared" si="28"/>
        <v>GUARDIAN</v>
      </c>
    </row>
    <row r="1699" spans="5:8" x14ac:dyDescent="0.25">
      <c r="E1699" s="1" t="str">
        <f>""</f>
        <v/>
      </c>
      <c r="F1699" s="1" t="str">
        <f>""</f>
        <v/>
      </c>
      <c r="H1699" s="1" t="str">
        <f t="shared" si="28"/>
        <v>GUARDIAN</v>
      </c>
    </row>
    <row r="1700" spans="5:8" x14ac:dyDescent="0.25">
      <c r="E1700" s="1" t="str">
        <f>""</f>
        <v/>
      </c>
      <c r="F1700" s="1" t="str">
        <f>""</f>
        <v/>
      </c>
      <c r="H1700" s="1" t="str">
        <f t="shared" si="28"/>
        <v>GUARDIAN</v>
      </c>
    </row>
    <row r="1701" spans="5:8" x14ac:dyDescent="0.25">
      <c r="E1701" s="1" t="str">
        <f>""</f>
        <v/>
      </c>
      <c r="F1701" s="1" t="str">
        <f>""</f>
        <v/>
      </c>
      <c r="H1701" s="1" t="str">
        <f t="shared" si="28"/>
        <v>GUARDIAN</v>
      </c>
    </row>
    <row r="1702" spans="5:8" x14ac:dyDescent="0.25">
      <c r="E1702" s="1" t="str">
        <f>""</f>
        <v/>
      </c>
      <c r="F1702" s="1" t="str">
        <f>""</f>
        <v/>
      </c>
      <c r="H1702" s="1" t="str">
        <f t="shared" si="28"/>
        <v>GUARDIAN</v>
      </c>
    </row>
    <row r="1703" spans="5:8" x14ac:dyDescent="0.25">
      <c r="E1703" s="1" t="str">
        <f>""</f>
        <v/>
      </c>
      <c r="F1703" s="1" t="str">
        <f>""</f>
        <v/>
      </c>
      <c r="H1703" s="1" t="str">
        <f t="shared" si="28"/>
        <v>GUARDIAN</v>
      </c>
    </row>
    <row r="1704" spans="5:8" x14ac:dyDescent="0.25">
      <c r="E1704" s="1" t="str">
        <f>""</f>
        <v/>
      </c>
      <c r="F1704" s="1" t="str">
        <f>""</f>
        <v/>
      </c>
      <c r="H1704" s="1" t="str">
        <f t="shared" si="28"/>
        <v>GUARDIAN</v>
      </c>
    </row>
    <row r="1705" spans="5:8" x14ac:dyDescent="0.25">
      <c r="E1705" s="1" t="str">
        <f>""</f>
        <v/>
      </c>
      <c r="F1705" s="1" t="str">
        <f>""</f>
        <v/>
      </c>
      <c r="H1705" s="1" t="str">
        <f t="shared" si="28"/>
        <v>GUARDIAN</v>
      </c>
    </row>
    <row r="1706" spans="5:8" x14ac:dyDescent="0.25">
      <c r="E1706" s="1" t="str">
        <f>""</f>
        <v/>
      </c>
      <c r="F1706" s="1" t="str">
        <f>""</f>
        <v/>
      </c>
      <c r="H1706" s="1" t="str">
        <f t="shared" si="28"/>
        <v>GUARDIAN</v>
      </c>
    </row>
    <row r="1707" spans="5:8" x14ac:dyDescent="0.25">
      <c r="E1707" s="1" t="str">
        <f>""</f>
        <v/>
      </c>
      <c r="F1707" s="1" t="str">
        <f>""</f>
        <v/>
      </c>
      <c r="H1707" s="1" t="str">
        <f t="shared" si="28"/>
        <v>GUARDIAN</v>
      </c>
    </row>
    <row r="1708" spans="5:8" x14ac:dyDescent="0.25">
      <c r="E1708" s="1" t="str">
        <f>""</f>
        <v/>
      </c>
      <c r="F1708" s="1" t="str">
        <f>""</f>
        <v/>
      </c>
      <c r="H1708" s="1" t="str">
        <f t="shared" si="28"/>
        <v>GUARDIAN</v>
      </c>
    </row>
    <row r="1709" spans="5:8" x14ac:dyDescent="0.25">
      <c r="E1709" s="1" t="str">
        <f>""</f>
        <v/>
      </c>
      <c r="F1709" s="1" t="str">
        <f>""</f>
        <v/>
      </c>
      <c r="H1709" s="1" t="str">
        <f t="shared" si="28"/>
        <v>GUARDIAN</v>
      </c>
    </row>
    <row r="1710" spans="5:8" x14ac:dyDescent="0.25">
      <c r="E1710" s="1" t="str">
        <f>""</f>
        <v/>
      </c>
      <c r="F1710" s="1" t="str">
        <f>""</f>
        <v/>
      </c>
      <c r="H1710" s="1" t="str">
        <f t="shared" si="28"/>
        <v>GUARDIAN</v>
      </c>
    </row>
    <row r="1711" spans="5:8" x14ac:dyDescent="0.25">
      <c r="E1711" s="1" t="str">
        <f>"GDF201907230650"</f>
        <v>GDF201907230650</v>
      </c>
      <c r="F1711" s="1" t="str">
        <f>"GUARDIAN"</f>
        <v>GUARDIAN</v>
      </c>
      <c r="G1711" s="3">
        <v>100.42</v>
      </c>
      <c r="H1711" s="1" t="str">
        <f t="shared" si="28"/>
        <v>GUARDIAN</v>
      </c>
    </row>
    <row r="1712" spans="5:8" x14ac:dyDescent="0.25">
      <c r="E1712" s="1" t="str">
        <f>""</f>
        <v/>
      </c>
      <c r="F1712" s="1" t="str">
        <f>""</f>
        <v/>
      </c>
      <c r="H1712" s="1" t="str">
        <f t="shared" si="28"/>
        <v>GUARDIAN</v>
      </c>
    </row>
    <row r="1713" spans="5:8" x14ac:dyDescent="0.25">
      <c r="E1713" s="1" t="str">
        <f>"GDS201907090324"</f>
        <v>GDS201907090324</v>
      </c>
      <c r="F1713" s="1" t="str">
        <f>"GUARDIAN"</f>
        <v>GUARDIAN</v>
      </c>
      <c r="G1713" s="3">
        <v>1830.18</v>
      </c>
      <c r="H1713" s="1" t="str">
        <f t="shared" si="28"/>
        <v>GUARDIAN</v>
      </c>
    </row>
    <row r="1714" spans="5:8" x14ac:dyDescent="0.25">
      <c r="E1714" s="1" t="str">
        <f>""</f>
        <v/>
      </c>
      <c r="F1714" s="1" t="str">
        <f>""</f>
        <v/>
      </c>
      <c r="H1714" s="1" t="str">
        <f t="shared" si="28"/>
        <v>GUARDIAN</v>
      </c>
    </row>
    <row r="1715" spans="5:8" x14ac:dyDescent="0.25">
      <c r="E1715" s="1" t="str">
        <f>""</f>
        <v/>
      </c>
      <c r="F1715" s="1" t="str">
        <f>""</f>
        <v/>
      </c>
      <c r="H1715" s="1" t="str">
        <f t="shared" si="28"/>
        <v>GUARDIAN</v>
      </c>
    </row>
    <row r="1716" spans="5:8" x14ac:dyDescent="0.25">
      <c r="E1716" s="1" t="str">
        <f>""</f>
        <v/>
      </c>
      <c r="F1716" s="1" t="str">
        <f>""</f>
        <v/>
      </c>
      <c r="H1716" s="1" t="str">
        <f t="shared" si="28"/>
        <v>GUARDIAN</v>
      </c>
    </row>
    <row r="1717" spans="5:8" x14ac:dyDescent="0.25">
      <c r="E1717" s="1" t="str">
        <f>""</f>
        <v/>
      </c>
      <c r="F1717" s="1" t="str">
        <f>""</f>
        <v/>
      </c>
      <c r="H1717" s="1" t="str">
        <f t="shared" si="28"/>
        <v>GUARDIAN</v>
      </c>
    </row>
    <row r="1718" spans="5:8" x14ac:dyDescent="0.25">
      <c r="E1718" s="1" t="str">
        <f>""</f>
        <v/>
      </c>
      <c r="F1718" s="1" t="str">
        <f>""</f>
        <v/>
      </c>
      <c r="H1718" s="1" t="str">
        <f t="shared" si="28"/>
        <v>GUARDIAN</v>
      </c>
    </row>
    <row r="1719" spans="5:8" x14ac:dyDescent="0.25">
      <c r="E1719" s="1" t="str">
        <f>""</f>
        <v/>
      </c>
      <c r="F1719" s="1" t="str">
        <f>""</f>
        <v/>
      </c>
      <c r="H1719" s="1" t="str">
        <f t="shared" si="28"/>
        <v>GUARDIAN</v>
      </c>
    </row>
    <row r="1720" spans="5:8" x14ac:dyDescent="0.25">
      <c r="E1720" s="1" t="str">
        <f>""</f>
        <v/>
      </c>
      <c r="F1720" s="1" t="str">
        <f>""</f>
        <v/>
      </c>
      <c r="H1720" s="1" t="str">
        <f t="shared" si="28"/>
        <v>GUARDIAN</v>
      </c>
    </row>
    <row r="1721" spans="5:8" x14ac:dyDescent="0.25">
      <c r="E1721" s="1" t="str">
        <f>""</f>
        <v/>
      </c>
      <c r="F1721" s="1" t="str">
        <f>""</f>
        <v/>
      </c>
      <c r="H1721" s="1" t="str">
        <f t="shared" si="28"/>
        <v>GUARDIAN</v>
      </c>
    </row>
    <row r="1722" spans="5:8" x14ac:dyDescent="0.25">
      <c r="E1722" s="1" t="str">
        <f>""</f>
        <v/>
      </c>
      <c r="F1722" s="1" t="str">
        <f>""</f>
        <v/>
      </c>
      <c r="H1722" s="1" t="str">
        <f t="shared" si="28"/>
        <v>GUARDIAN</v>
      </c>
    </row>
    <row r="1723" spans="5:8" x14ac:dyDescent="0.25">
      <c r="E1723" s="1" t="str">
        <f>""</f>
        <v/>
      </c>
      <c r="F1723" s="1" t="str">
        <f>""</f>
        <v/>
      </c>
      <c r="H1723" s="1" t="str">
        <f t="shared" si="28"/>
        <v>GUARDIAN</v>
      </c>
    </row>
    <row r="1724" spans="5:8" x14ac:dyDescent="0.25">
      <c r="E1724" s="1" t="str">
        <f>""</f>
        <v/>
      </c>
      <c r="F1724" s="1" t="str">
        <f>""</f>
        <v/>
      </c>
      <c r="H1724" s="1" t="str">
        <f t="shared" si="28"/>
        <v>GUARDIAN</v>
      </c>
    </row>
    <row r="1725" spans="5:8" x14ac:dyDescent="0.25">
      <c r="E1725" s="1" t="str">
        <f>""</f>
        <v/>
      </c>
      <c r="F1725" s="1" t="str">
        <f>""</f>
        <v/>
      </c>
      <c r="H1725" s="1" t="str">
        <f t="shared" si="28"/>
        <v>GUARDIAN</v>
      </c>
    </row>
    <row r="1726" spans="5:8" x14ac:dyDescent="0.25">
      <c r="E1726" s="1" t="str">
        <f>""</f>
        <v/>
      </c>
      <c r="F1726" s="1" t="str">
        <f>""</f>
        <v/>
      </c>
      <c r="H1726" s="1" t="str">
        <f t="shared" si="28"/>
        <v>GUARDIAN</v>
      </c>
    </row>
    <row r="1727" spans="5:8" x14ac:dyDescent="0.25">
      <c r="E1727" s="1" t="str">
        <f>""</f>
        <v/>
      </c>
      <c r="F1727" s="1" t="str">
        <f>""</f>
        <v/>
      </c>
      <c r="H1727" s="1" t="str">
        <f t="shared" si="28"/>
        <v>GUARDIAN</v>
      </c>
    </row>
    <row r="1728" spans="5:8" x14ac:dyDescent="0.25">
      <c r="E1728" s="1" t="str">
        <f>""</f>
        <v/>
      </c>
      <c r="F1728" s="1" t="str">
        <f>""</f>
        <v/>
      </c>
      <c r="H1728" s="1" t="str">
        <f t="shared" si="28"/>
        <v>GUARDIAN</v>
      </c>
    </row>
    <row r="1729" spans="5:8" x14ac:dyDescent="0.25">
      <c r="E1729" s="1" t="str">
        <f>""</f>
        <v/>
      </c>
      <c r="F1729" s="1" t="str">
        <f>""</f>
        <v/>
      </c>
      <c r="H1729" s="1" t="str">
        <f t="shared" si="28"/>
        <v>GUARDIAN</v>
      </c>
    </row>
    <row r="1730" spans="5:8" x14ac:dyDescent="0.25">
      <c r="E1730" s="1" t="str">
        <f>""</f>
        <v/>
      </c>
      <c r="F1730" s="1" t="str">
        <f>""</f>
        <v/>
      </c>
      <c r="H1730" s="1" t="str">
        <f t="shared" si="28"/>
        <v>GUARDIAN</v>
      </c>
    </row>
    <row r="1731" spans="5:8" x14ac:dyDescent="0.25">
      <c r="E1731" s="1" t="str">
        <f>""</f>
        <v/>
      </c>
      <c r="F1731" s="1" t="str">
        <f>""</f>
        <v/>
      </c>
      <c r="H1731" s="1" t="str">
        <f t="shared" si="28"/>
        <v>GUARDIAN</v>
      </c>
    </row>
    <row r="1732" spans="5:8" x14ac:dyDescent="0.25">
      <c r="E1732" s="1" t="str">
        <f>""</f>
        <v/>
      </c>
      <c r="F1732" s="1" t="str">
        <f>""</f>
        <v/>
      </c>
      <c r="H1732" s="1" t="str">
        <f t="shared" si="28"/>
        <v>GUARDIAN</v>
      </c>
    </row>
    <row r="1733" spans="5:8" x14ac:dyDescent="0.25">
      <c r="E1733" s="1" t="str">
        <f>""</f>
        <v/>
      </c>
      <c r="F1733" s="1" t="str">
        <f>""</f>
        <v/>
      </c>
      <c r="H1733" s="1" t="str">
        <f t="shared" si="28"/>
        <v>GUARDIAN</v>
      </c>
    </row>
    <row r="1734" spans="5:8" x14ac:dyDescent="0.25">
      <c r="E1734" s="1" t="str">
        <f>""</f>
        <v/>
      </c>
      <c r="F1734" s="1" t="str">
        <f>""</f>
        <v/>
      </c>
      <c r="H1734" s="1" t="str">
        <f t="shared" si="28"/>
        <v>GUARDIAN</v>
      </c>
    </row>
    <row r="1735" spans="5:8" x14ac:dyDescent="0.25">
      <c r="E1735" s="1" t="str">
        <f>""</f>
        <v/>
      </c>
      <c r="F1735" s="1" t="str">
        <f>""</f>
        <v/>
      </c>
      <c r="H1735" s="1" t="str">
        <f t="shared" si="28"/>
        <v>GUARDIAN</v>
      </c>
    </row>
    <row r="1736" spans="5:8" x14ac:dyDescent="0.25">
      <c r="E1736" s="1" t="str">
        <f>""</f>
        <v/>
      </c>
      <c r="F1736" s="1" t="str">
        <f>""</f>
        <v/>
      </c>
      <c r="H1736" s="1" t="str">
        <f t="shared" si="28"/>
        <v>GUARDIAN</v>
      </c>
    </row>
    <row r="1737" spans="5:8" x14ac:dyDescent="0.25">
      <c r="E1737" s="1" t="str">
        <f>""</f>
        <v/>
      </c>
      <c r="F1737" s="1" t="str">
        <f>""</f>
        <v/>
      </c>
      <c r="H1737" s="1" t="str">
        <f t="shared" si="28"/>
        <v>GUARDIAN</v>
      </c>
    </row>
    <row r="1738" spans="5:8" x14ac:dyDescent="0.25">
      <c r="E1738" s="1" t="str">
        <f>"GDS201907230648"</f>
        <v>GDS201907230648</v>
      </c>
      <c r="F1738" s="1" t="str">
        <f>"GUARDIAN"</f>
        <v>GUARDIAN</v>
      </c>
      <c r="G1738" s="3">
        <v>1830.18</v>
      </c>
      <c r="H1738" s="1" t="str">
        <f t="shared" si="28"/>
        <v>GUARDIAN</v>
      </c>
    </row>
    <row r="1739" spans="5:8" x14ac:dyDescent="0.25">
      <c r="E1739" s="1" t="str">
        <f>""</f>
        <v/>
      </c>
      <c r="F1739" s="1" t="str">
        <f>""</f>
        <v/>
      </c>
      <c r="H1739" s="1" t="str">
        <f t="shared" si="28"/>
        <v>GUARDIAN</v>
      </c>
    </row>
    <row r="1740" spans="5:8" x14ac:dyDescent="0.25">
      <c r="E1740" s="1" t="str">
        <f>""</f>
        <v/>
      </c>
      <c r="F1740" s="1" t="str">
        <f>""</f>
        <v/>
      </c>
      <c r="H1740" s="1" t="str">
        <f t="shared" si="28"/>
        <v>GUARDIAN</v>
      </c>
    </row>
    <row r="1741" spans="5:8" x14ac:dyDescent="0.25">
      <c r="E1741" s="1" t="str">
        <f>""</f>
        <v/>
      </c>
      <c r="F1741" s="1" t="str">
        <f>""</f>
        <v/>
      </c>
      <c r="H1741" s="1" t="str">
        <f t="shared" si="28"/>
        <v>GUARDIAN</v>
      </c>
    </row>
    <row r="1742" spans="5:8" x14ac:dyDescent="0.25">
      <c r="E1742" s="1" t="str">
        <f>""</f>
        <v/>
      </c>
      <c r="F1742" s="1" t="str">
        <f>""</f>
        <v/>
      </c>
      <c r="H1742" s="1" t="str">
        <f t="shared" si="28"/>
        <v>GUARDIAN</v>
      </c>
    </row>
    <row r="1743" spans="5:8" x14ac:dyDescent="0.25">
      <c r="E1743" s="1" t="str">
        <f>""</f>
        <v/>
      </c>
      <c r="F1743" s="1" t="str">
        <f>""</f>
        <v/>
      </c>
      <c r="H1743" s="1" t="str">
        <f t="shared" si="28"/>
        <v>GUARDIAN</v>
      </c>
    </row>
    <row r="1744" spans="5:8" x14ac:dyDescent="0.25">
      <c r="E1744" s="1" t="str">
        <f>""</f>
        <v/>
      </c>
      <c r="F1744" s="1" t="str">
        <f>""</f>
        <v/>
      </c>
      <c r="H1744" s="1" t="str">
        <f t="shared" si="28"/>
        <v>GUARDIAN</v>
      </c>
    </row>
    <row r="1745" spans="5:8" x14ac:dyDescent="0.25">
      <c r="E1745" s="1" t="str">
        <f>""</f>
        <v/>
      </c>
      <c r="F1745" s="1" t="str">
        <f>""</f>
        <v/>
      </c>
      <c r="H1745" s="1" t="str">
        <f t="shared" si="28"/>
        <v>GUARDIAN</v>
      </c>
    </row>
    <row r="1746" spans="5:8" x14ac:dyDescent="0.25">
      <c r="E1746" s="1" t="str">
        <f>""</f>
        <v/>
      </c>
      <c r="F1746" s="1" t="str">
        <f>""</f>
        <v/>
      </c>
      <c r="H1746" s="1" t="str">
        <f t="shared" si="28"/>
        <v>GUARDIAN</v>
      </c>
    </row>
    <row r="1747" spans="5:8" x14ac:dyDescent="0.25">
      <c r="E1747" s="1" t="str">
        <f>""</f>
        <v/>
      </c>
      <c r="F1747" s="1" t="str">
        <f>""</f>
        <v/>
      </c>
      <c r="H1747" s="1" t="str">
        <f t="shared" si="28"/>
        <v>GUARDIAN</v>
      </c>
    </row>
    <row r="1748" spans="5:8" x14ac:dyDescent="0.25">
      <c r="E1748" s="1" t="str">
        <f>""</f>
        <v/>
      </c>
      <c r="F1748" s="1" t="str">
        <f>""</f>
        <v/>
      </c>
      <c r="H1748" s="1" t="str">
        <f t="shared" si="28"/>
        <v>GUARDIAN</v>
      </c>
    </row>
    <row r="1749" spans="5:8" x14ac:dyDescent="0.25">
      <c r="E1749" s="1" t="str">
        <f>""</f>
        <v/>
      </c>
      <c r="F1749" s="1" t="str">
        <f>""</f>
        <v/>
      </c>
      <c r="H1749" s="1" t="str">
        <f t="shared" si="28"/>
        <v>GUARDIAN</v>
      </c>
    </row>
    <row r="1750" spans="5:8" x14ac:dyDescent="0.25">
      <c r="E1750" s="1" t="str">
        <f>""</f>
        <v/>
      </c>
      <c r="F1750" s="1" t="str">
        <f>""</f>
        <v/>
      </c>
      <c r="H1750" s="1" t="str">
        <f t="shared" si="28"/>
        <v>GUARDIAN</v>
      </c>
    </row>
    <row r="1751" spans="5:8" x14ac:dyDescent="0.25">
      <c r="E1751" s="1" t="str">
        <f>""</f>
        <v/>
      </c>
      <c r="F1751" s="1" t="str">
        <f>""</f>
        <v/>
      </c>
      <c r="H1751" s="1" t="str">
        <f t="shared" si="28"/>
        <v>GUARDIAN</v>
      </c>
    </row>
    <row r="1752" spans="5:8" x14ac:dyDescent="0.25">
      <c r="E1752" s="1" t="str">
        <f>""</f>
        <v/>
      </c>
      <c r="F1752" s="1" t="str">
        <f>""</f>
        <v/>
      </c>
      <c r="H1752" s="1" t="str">
        <f t="shared" si="28"/>
        <v>GUARDIAN</v>
      </c>
    </row>
    <row r="1753" spans="5:8" x14ac:dyDescent="0.25">
      <c r="E1753" s="1" t="str">
        <f>""</f>
        <v/>
      </c>
      <c r="F1753" s="1" t="str">
        <f>""</f>
        <v/>
      </c>
      <c r="H1753" s="1" t="str">
        <f t="shared" si="28"/>
        <v>GUARDIAN</v>
      </c>
    </row>
    <row r="1754" spans="5:8" x14ac:dyDescent="0.25">
      <c r="E1754" s="1" t="str">
        <f>""</f>
        <v/>
      </c>
      <c r="F1754" s="1" t="str">
        <f>""</f>
        <v/>
      </c>
      <c r="H1754" s="1" t="str">
        <f t="shared" si="28"/>
        <v>GUARDIAN</v>
      </c>
    </row>
    <row r="1755" spans="5:8" x14ac:dyDescent="0.25">
      <c r="E1755" s="1" t="str">
        <f>""</f>
        <v/>
      </c>
      <c r="F1755" s="1" t="str">
        <f>""</f>
        <v/>
      </c>
      <c r="H1755" s="1" t="str">
        <f t="shared" si="28"/>
        <v>GUARDIAN</v>
      </c>
    </row>
    <row r="1756" spans="5:8" x14ac:dyDescent="0.25">
      <c r="E1756" s="1" t="str">
        <f>""</f>
        <v/>
      </c>
      <c r="F1756" s="1" t="str">
        <f>""</f>
        <v/>
      </c>
      <c r="H1756" s="1" t="str">
        <f t="shared" si="28"/>
        <v>GUARDIAN</v>
      </c>
    </row>
    <row r="1757" spans="5:8" x14ac:dyDescent="0.25">
      <c r="E1757" s="1" t="str">
        <f>""</f>
        <v/>
      </c>
      <c r="F1757" s="1" t="str">
        <f>""</f>
        <v/>
      </c>
      <c r="H1757" s="1" t="str">
        <f t="shared" si="28"/>
        <v>GUARDIAN</v>
      </c>
    </row>
    <row r="1758" spans="5:8" x14ac:dyDescent="0.25">
      <c r="E1758" s="1" t="str">
        <f>""</f>
        <v/>
      </c>
      <c r="F1758" s="1" t="str">
        <f>""</f>
        <v/>
      </c>
      <c r="H1758" s="1" t="str">
        <f t="shared" si="28"/>
        <v>GUARDIAN</v>
      </c>
    </row>
    <row r="1759" spans="5:8" x14ac:dyDescent="0.25">
      <c r="E1759" s="1" t="str">
        <f>""</f>
        <v/>
      </c>
      <c r="F1759" s="1" t="str">
        <f>""</f>
        <v/>
      </c>
      <c r="H1759" s="1" t="str">
        <f t="shared" si="28"/>
        <v>GUARDIAN</v>
      </c>
    </row>
    <row r="1760" spans="5:8" x14ac:dyDescent="0.25">
      <c r="E1760" s="1" t="str">
        <f>""</f>
        <v/>
      </c>
      <c r="F1760" s="1" t="str">
        <f>""</f>
        <v/>
      </c>
      <c r="H1760" s="1" t="str">
        <f t="shared" si="28"/>
        <v>GUARDIAN</v>
      </c>
    </row>
    <row r="1761" spans="5:8" x14ac:dyDescent="0.25">
      <c r="E1761" s="1" t="str">
        <f>""</f>
        <v/>
      </c>
      <c r="F1761" s="1" t="str">
        <f>""</f>
        <v/>
      </c>
      <c r="H1761" s="1" t="str">
        <f t="shared" si="28"/>
        <v>GUARDIAN</v>
      </c>
    </row>
    <row r="1762" spans="5:8" x14ac:dyDescent="0.25">
      <c r="E1762" s="1" t="str">
        <f>""</f>
        <v/>
      </c>
      <c r="F1762" s="1" t="str">
        <f>""</f>
        <v/>
      </c>
      <c r="H1762" s="1" t="str">
        <f t="shared" si="28"/>
        <v>GUARDIAN</v>
      </c>
    </row>
    <row r="1763" spans="5:8" x14ac:dyDescent="0.25">
      <c r="E1763" s="1" t="str">
        <f>"GV1201907090324"</f>
        <v>GV1201907090324</v>
      </c>
      <c r="F1763" s="1" t="str">
        <f>"GUARDIAN VISION"</f>
        <v>GUARDIAN VISION</v>
      </c>
      <c r="G1763" s="3">
        <v>380.8</v>
      </c>
      <c r="H1763" s="1" t="str">
        <f>"GUARDIAN VISION"</f>
        <v>GUARDIAN VISION</v>
      </c>
    </row>
    <row r="1764" spans="5:8" x14ac:dyDescent="0.25">
      <c r="E1764" s="1" t="str">
        <f>"GV1201907230648"</f>
        <v>GV1201907230648</v>
      </c>
      <c r="F1764" s="1" t="str">
        <f>"GUARDIAN VISION"</f>
        <v>GUARDIAN VISION</v>
      </c>
      <c r="G1764" s="3">
        <v>380.8</v>
      </c>
      <c r="H1764" s="1" t="str">
        <f>"GUARDIAN VISION"</f>
        <v>GUARDIAN VISION</v>
      </c>
    </row>
    <row r="1765" spans="5:8" x14ac:dyDescent="0.25">
      <c r="E1765" s="1" t="str">
        <f>"GVE201907090324"</f>
        <v>GVE201907090324</v>
      </c>
      <c r="F1765" s="1" t="str">
        <f>"GUARDIAN VISION VENDOR"</f>
        <v>GUARDIAN VISION VENDOR</v>
      </c>
      <c r="G1765" s="3">
        <v>579.33000000000004</v>
      </c>
      <c r="H1765" s="1" t="str">
        <f>"GUARDIAN VISION VENDOR"</f>
        <v>GUARDIAN VISION VENDOR</v>
      </c>
    </row>
    <row r="1766" spans="5:8" x14ac:dyDescent="0.25">
      <c r="E1766" s="1" t="str">
        <f>"GVE201907090325"</f>
        <v>GVE201907090325</v>
      </c>
      <c r="F1766" s="1" t="str">
        <f>"GUARDIAN VISION VENDOR"</f>
        <v>GUARDIAN VISION VENDOR</v>
      </c>
      <c r="G1766" s="3">
        <v>25.83</v>
      </c>
      <c r="H1766" s="1" t="str">
        <f>"GUARDIAN VISION VENDOR"</f>
        <v>GUARDIAN VISION VENDOR</v>
      </c>
    </row>
    <row r="1767" spans="5:8" x14ac:dyDescent="0.25">
      <c r="E1767" s="1" t="str">
        <f>"GVE201907230648"</f>
        <v>GVE201907230648</v>
      </c>
      <c r="F1767" s="1" t="str">
        <f>"GUARDIAN VISION VENDOR"</f>
        <v>GUARDIAN VISION VENDOR</v>
      </c>
      <c r="G1767" s="3">
        <v>579.33000000000004</v>
      </c>
      <c r="H1767" s="1" t="str">
        <f>"GUARDIAN VISION VENDOR"</f>
        <v>GUARDIAN VISION VENDOR</v>
      </c>
    </row>
    <row r="1768" spans="5:8" x14ac:dyDescent="0.25">
      <c r="E1768" s="1" t="str">
        <f>"GVE201907230650"</f>
        <v>GVE201907230650</v>
      </c>
      <c r="F1768" s="1" t="str">
        <f>"GUARDIAN VISION VENDOR"</f>
        <v>GUARDIAN VISION VENDOR</v>
      </c>
      <c r="G1768" s="3">
        <v>25.83</v>
      </c>
      <c r="H1768" s="1" t="str">
        <f>"GUARDIAN VISION VENDOR"</f>
        <v>GUARDIAN VISION VENDOR</v>
      </c>
    </row>
    <row r="1769" spans="5:8" x14ac:dyDescent="0.25">
      <c r="E1769" s="1" t="str">
        <f>"GVF201907090324"</f>
        <v>GVF201907090324</v>
      </c>
      <c r="F1769" s="1" t="str">
        <f>"GUARDIAN VISION"</f>
        <v>GUARDIAN VISION</v>
      </c>
      <c r="G1769" s="3">
        <v>571.29999999999995</v>
      </c>
      <c r="H1769" s="1" t="str">
        <f>"GUARDIAN VISION"</f>
        <v>GUARDIAN VISION</v>
      </c>
    </row>
    <row r="1770" spans="5:8" x14ac:dyDescent="0.25">
      <c r="E1770" s="1" t="str">
        <f>"GVF201907090325"</f>
        <v>GVF201907090325</v>
      </c>
      <c r="F1770" s="1" t="str">
        <f>"GUARDIAN VISION VENDOR"</f>
        <v>GUARDIAN VISION VENDOR</v>
      </c>
      <c r="G1770" s="3">
        <v>29.55</v>
      </c>
      <c r="H1770" s="1" t="str">
        <f>"GUARDIAN VISION VENDOR"</f>
        <v>GUARDIAN VISION VENDOR</v>
      </c>
    </row>
    <row r="1771" spans="5:8" x14ac:dyDescent="0.25">
      <c r="E1771" s="1" t="str">
        <f>"GVF201907230648"</f>
        <v>GVF201907230648</v>
      </c>
      <c r="F1771" s="1" t="str">
        <f>"GUARDIAN VISION"</f>
        <v>GUARDIAN VISION</v>
      </c>
      <c r="G1771" s="3">
        <v>571.29999999999995</v>
      </c>
      <c r="H1771" s="1" t="str">
        <f>"GUARDIAN VISION"</f>
        <v>GUARDIAN VISION</v>
      </c>
    </row>
    <row r="1772" spans="5:8" x14ac:dyDescent="0.25">
      <c r="E1772" s="1" t="str">
        <f>"GVF201907230650"</f>
        <v>GVF201907230650</v>
      </c>
      <c r="F1772" s="1" t="str">
        <f>"GUARDIAN VISION VENDOR"</f>
        <v>GUARDIAN VISION VENDOR</v>
      </c>
      <c r="G1772" s="3">
        <v>29.55</v>
      </c>
      <c r="H1772" s="1" t="str">
        <f>"GUARDIAN VISION VENDOR"</f>
        <v>GUARDIAN VISION VENDOR</v>
      </c>
    </row>
    <row r="1773" spans="5:8" x14ac:dyDescent="0.25">
      <c r="E1773" s="1" t="str">
        <f>"LIA201907090324"</f>
        <v>LIA201907090324</v>
      </c>
      <c r="F1773" s="1" t="str">
        <f>"GUARDIAN"</f>
        <v>GUARDIAN</v>
      </c>
      <c r="G1773" s="3">
        <v>202.13</v>
      </c>
      <c r="H1773" s="1" t="str">
        <f t="shared" ref="H1773:H1804" si="29">"GUARDIAN"</f>
        <v>GUARDIAN</v>
      </c>
    </row>
    <row r="1774" spans="5:8" x14ac:dyDescent="0.25">
      <c r="E1774" s="1" t="str">
        <f>""</f>
        <v/>
      </c>
      <c r="F1774" s="1" t="str">
        <f>""</f>
        <v/>
      </c>
      <c r="H1774" s="1" t="str">
        <f t="shared" si="29"/>
        <v>GUARDIAN</v>
      </c>
    </row>
    <row r="1775" spans="5:8" x14ac:dyDescent="0.25">
      <c r="E1775" s="1" t="str">
        <f>""</f>
        <v/>
      </c>
      <c r="F1775" s="1" t="str">
        <f>""</f>
        <v/>
      </c>
      <c r="H1775" s="1" t="str">
        <f t="shared" si="29"/>
        <v>GUARDIAN</v>
      </c>
    </row>
    <row r="1776" spans="5:8" x14ac:dyDescent="0.25">
      <c r="E1776" s="1" t="str">
        <f>""</f>
        <v/>
      </c>
      <c r="F1776" s="1" t="str">
        <f>""</f>
        <v/>
      </c>
      <c r="H1776" s="1" t="str">
        <f t="shared" si="29"/>
        <v>GUARDIAN</v>
      </c>
    </row>
    <row r="1777" spans="5:8" x14ac:dyDescent="0.25">
      <c r="E1777" s="1" t="str">
        <f>""</f>
        <v/>
      </c>
      <c r="F1777" s="1" t="str">
        <f>""</f>
        <v/>
      </c>
      <c r="H1777" s="1" t="str">
        <f t="shared" si="29"/>
        <v>GUARDIAN</v>
      </c>
    </row>
    <row r="1778" spans="5:8" x14ac:dyDescent="0.25">
      <c r="E1778" s="1" t="str">
        <f>""</f>
        <v/>
      </c>
      <c r="F1778" s="1" t="str">
        <f>""</f>
        <v/>
      </c>
      <c r="H1778" s="1" t="str">
        <f t="shared" si="29"/>
        <v>GUARDIAN</v>
      </c>
    </row>
    <row r="1779" spans="5:8" x14ac:dyDescent="0.25">
      <c r="E1779" s="1" t="str">
        <f>""</f>
        <v/>
      </c>
      <c r="F1779" s="1" t="str">
        <f>""</f>
        <v/>
      </c>
      <c r="H1779" s="1" t="str">
        <f t="shared" si="29"/>
        <v>GUARDIAN</v>
      </c>
    </row>
    <row r="1780" spans="5:8" x14ac:dyDescent="0.25">
      <c r="E1780" s="1" t="str">
        <f>""</f>
        <v/>
      </c>
      <c r="F1780" s="1" t="str">
        <f>""</f>
        <v/>
      </c>
      <c r="H1780" s="1" t="str">
        <f t="shared" si="29"/>
        <v>GUARDIAN</v>
      </c>
    </row>
    <row r="1781" spans="5:8" x14ac:dyDescent="0.25">
      <c r="E1781" s="1" t="str">
        <f>""</f>
        <v/>
      </c>
      <c r="F1781" s="1" t="str">
        <f>""</f>
        <v/>
      </c>
      <c r="H1781" s="1" t="str">
        <f t="shared" si="29"/>
        <v>GUARDIAN</v>
      </c>
    </row>
    <row r="1782" spans="5:8" x14ac:dyDescent="0.25">
      <c r="E1782" s="1" t="str">
        <f>""</f>
        <v/>
      </c>
      <c r="F1782" s="1" t="str">
        <f>""</f>
        <v/>
      </c>
      <c r="H1782" s="1" t="str">
        <f t="shared" si="29"/>
        <v>GUARDIAN</v>
      </c>
    </row>
    <row r="1783" spans="5:8" x14ac:dyDescent="0.25">
      <c r="E1783" s="1" t="str">
        <f>""</f>
        <v/>
      </c>
      <c r="F1783" s="1" t="str">
        <f>""</f>
        <v/>
      </c>
      <c r="H1783" s="1" t="str">
        <f t="shared" si="29"/>
        <v>GUARDIAN</v>
      </c>
    </row>
    <row r="1784" spans="5:8" x14ac:dyDescent="0.25">
      <c r="E1784" s="1" t="str">
        <f>""</f>
        <v/>
      </c>
      <c r="F1784" s="1" t="str">
        <f>""</f>
        <v/>
      </c>
      <c r="H1784" s="1" t="str">
        <f t="shared" si="29"/>
        <v>GUARDIAN</v>
      </c>
    </row>
    <row r="1785" spans="5:8" x14ac:dyDescent="0.25">
      <c r="E1785" s="1" t="str">
        <f>""</f>
        <v/>
      </c>
      <c r="F1785" s="1" t="str">
        <f>""</f>
        <v/>
      </c>
      <c r="H1785" s="1" t="str">
        <f t="shared" si="29"/>
        <v>GUARDIAN</v>
      </c>
    </row>
    <row r="1786" spans="5:8" x14ac:dyDescent="0.25">
      <c r="E1786" s="1" t="str">
        <f>""</f>
        <v/>
      </c>
      <c r="F1786" s="1" t="str">
        <f>""</f>
        <v/>
      </c>
      <c r="H1786" s="1" t="str">
        <f t="shared" si="29"/>
        <v>GUARDIAN</v>
      </c>
    </row>
    <row r="1787" spans="5:8" x14ac:dyDescent="0.25">
      <c r="E1787" s="1" t="str">
        <f>""</f>
        <v/>
      </c>
      <c r="F1787" s="1" t="str">
        <f>""</f>
        <v/>
      </c>
      <c r="H1787" s="1" t="str">
        <f t="shared" si="29"/>
        <v>GUARDIAN</v>
      </c>
    </row>
    <row r="1788" spans="5:8" x14ac:dyDescent="0.25">
      <c r="E1788" s="1" t="str">
        <f>""</f>
        <v/>
      </c>
      <c r="F1788" s="1" t="str">
        <f>""</f>
        <v/>
      </c>
      <c r="H1788" s="1" t="str">
        <f t="shared" si="29"/>
        <v>GUARDIAN</v>
      </c>
    </row>
    <row r="1789" spans="5:8" x14ac:dyDescent="0.25">
      <c r="E1789" s="1" t="str">
        <f>""</f>
        <v/>
      </c>
      <c r="F1789" s="1" t="str">
        <f>""</f>
        <v/>
      </c>
      <c r="H1789" s="1" t="str">
        <f t="shared" si="29"/>
        <v>GUARDIAN</v>
      </c>
    </row>
    <row r="1790" spans="5:8" x14ac:dyDescent="0.25">
      <c r="E1790" s="1" t="str">
        <f>""</f>
        <v/>
      </c>
      <c r="F1790" s="1" t="str">
        <f>""</f>
        <v/>
      </c>
      <c r="H1790" s="1" t="str">
        <f t="shared" si="29"/>
        <v>GUARDIAN</v>
      </c>
    </row>
    <row r="1791" spans="5:8" x14ac:dyDescent="0.25">
      <c r="E1791" s="1" t="str">
        <f>""</f>
        <v/>
      </c>
      <c r="F1791" s="1" t="str">
        <f>""</f>
        <v/>
      </c>
      <c r="H1791" s="1" t="str">
        <f t="shared" si="29"/>
        <v>GUARDIAN</v>
      </c>
    </row>
    <row r="1792" spans="5:8" x14ac:dyDescent="0.25">
      <c r="E1792" s="1" t="str">
        <f>""</f>
        <v/>
      </c>
      <c r="F1792" s="1" t="str">
        <f>""</f>
        <v/>
      </c>
      <c r="H1792" s="1" t="str">
        <f t="shared" si="29"/>
        <v>GUARDIAN</v>
      </c>
    </row>
    <row r="1793" spans="5:8" x14ac:dyDescent="0.25">
      <c r="E1793" s="1" t="str">
        <f>""</f>
        <v/>
      </c>
      <c r="F1793" s="1" t="str">
        <f>""</f>
        <v/>
      </c>
      <c r="H1793" s="1" t="str">
        <f t="shared" si="29"/>
        <v>GUARDIAN</v>
      </c>
    </row>
    <row r="1794" spans="5:8" x14ac:dyDescent="0.25">
      <c r="E1794" s="1" t="str">
        <f>""</f>
        <v/>
      </c>
      <c r="F1794" s="1" t="str">
        <f>""</f>
        <v/>
      </c>
      <c r="H1794" s="1" t="str">
        <f t="shared" si="29"/>
        <v>GUARDIAN</v>
      </c>
    </row>
    <row r="1795" spans="5:8" x14ac:dyDescent="0.25">
      <c r="E1795" s="1" t="str">
        <f>""</f>
        <v/>
      </c>
      <c r="F1795" s="1" t="str">
        <f>""</f>
        <v/>
      </c>
      <c r="H1795" s="1" t="str">
        <f t="shared" si="29"/>
        <v>GUARDIAN</v>
      </c>
    </row>
    <row r="1796" spans="5:8" x14ac:dyDescent="0.25">
      <c r="E1796" s="1" t="str">
        <f>"LIA201907090325"</f>
        <v>LIA201907090325</v>
      </c>
      <c r="F1796" s="1" t="str">
        <f>"GUARDIAN"</f>
        <v>GUARDIAN</v>
      </c>
      <c r="G1796" s="3">
        <v>40.799999999999997</v>
      </c>
      <c r="H1796" s="1" t="str">
        <f t="shared" si="29"/>
        <v>GUARDIAN</v>
      </c>
    </row>
    <row r="1797" spans="5:8" x14ac:dyDescent="0.25">
      <c r="E1797" s="1" t="str">
        <f>""</f>
        <v/>
      </c>
      <c r="F1797" s="1" t="str">
        <f>""</f>
        <v/>
      </c>
      <c r="H1797" s="1" t="str">
        <f t="shared" si="29"/>
        <v>GUARDIAN</v>
      </c>
    </row>
    <row r="1798" spans="5:8" x14ac:dyDescent="0.25">
      <c r="E1798" s="1" t="str">
        <f>"LIA201907230648"</f>
        <v>LIA201907230648</v>
      </c>
      <c r="F1798" s="1" t="str">
        <f>"GUARDIAN"</f>
        <v>GUARDIAN</v>
      </c>
      <c r="G1798" s="3">
        <v>202.13</v>
      </c>
      <c r="H1798" s="1" t="str">
        <f t="shared" si="29"/>
        <v>GUARDIAN</v>
      </c>
    </row>
    <row r="1799" spans="5:8" x14ac:dyDescent="0.25">
      <c r="E1799" s="1" t="str">
        <f>""</f>
        <v/>
      </c>
      <c r="F1799" s="1" t="str">
        <f>""</f>
        <v/>
      </c>
      <c r="H1799" s="1" t="str">
        <f t="shared" si="29"/>
        <v>GUARDIAN</v>
      </c>
    </row>
    <row r="1800" spans="5:8" x14ac:dyDescent="0.25">
      <c r="E1800" s="1" t="str">
        <f>""</f>
        <v/>
      </c>
      <c r="F1800" s="1" t="str">
        <f>""</f>
        <v/>
      </c>
      <c r="H1800" s="1" t="str">
        <f t="shared" si="29"/>
        <v>GUARDIAN</v>
      </c>
    </row>
    <row r="1801" spans="5:8" x14ac:dyDescent="0.25">
      <c r="E1801" s="1" t="str">
        <f>""</f>
        <v/>
      </c>
      <c r="F1801" s="1" t="str">
        <f>""</f>
        <v/>
      </c>
      <c r="H1801" s="1" t="str">
        <f t="shared" si="29"/>
        <v>GUARDIAN</v>
      </c>
    </row>
    <row r="1802" spans="5:8" x14ac:dyDescent="0.25">
      <c r="E1802" s="1" t="str">
        <f>""</f>
        <v/>
      </c>
      <c r="F1802" s="1" t="str">
        <f>""</f>
        <v/>
      </c>
      <c r="H1802" s="1" t="str">
        <f t="shared" si="29"/>
        <v>GUARDIAN</v>
      </c>
    </row>
    <row r="1803" spans="5:8" x14ac:dyDescent="0.25">
      <c r="E1803" s="1" t="str">
        <f>""</f>
        <v/>
      </c>
      <c r="F1803" s="1" t="str">
        <f>""</f>
        <v/>
      </c>
      <c r="H1803" s="1" t="str">
        <f t="shared" si="29"/>
        <v>GUARDIAN</v>
      </c>
    </row>
    <row r="1804" spans="5:8" x14ac:dyDescent="0.25">
      <c r="E1804" s="1" t="str">
        <f>""</f>
        <v/>
      </c>
      <c r="F1804" s="1" t="str">
        <f>""</f>
        <v/>
      </c>
      <c r="H1804" s="1" t="str">
        <f t="shared" si="29"/>
        <v>GUARDIAN</v>
      </c>
    </row>
    <row r="1805" spans="5:8" x14ac:dyDescent="0.25">
      <c r="E1805" s="1" t="str">
        <f>""</f>
        <v/>
      </c>
      <c r="F1805" s="1" t="str">
        <f>""</f>
        <v/>
      </c>
      <c r="H1805" s="1" t="str">
        <f t="shared" ref="H1805:H1836" si="30">"GUARDIAN"</f>
        <v>GUARDIAN</v>
      </c>
    </row>
    <row r="1806" spans="5:8" x14ac:dyDescent="0.25">
      <c r="E1806" s="1" t="str">
        <f>""</f>
        <v/>
      </c>
      <c r="F1806" s="1" t="str">
        <f>""</f>
        <v/>
      </c>
      <c r="H1806" s="1" t="str">
        <f t="shared" si="30"/>
        <v>GUARDIAN</v>
      </c>
    </row>
    <row r="1807" spans="5:8" x14ac:dyDescent="0.25">
      <c r="E1807" s="1" t="str">
        <f>""</f>
        <v/>
      </c>
      <c r="F1807" s="1" t="str">
        <f>""</f>
        <v/>
      </c>
      <c r="H1807" s="1" t="str">
        <f t="shared" si="30"/>
        <v>GUARDIAN</v>
      </c>
    </row>
    <row r="1808" spans="5:8" x14ac:dyDescent="0.25">
      <c r="E1808" s="1" t="str">
        <f>""</f>
        <v/>
      </c>
      <c r="F1808" s="1" t="str">
        <f>""</f>
        <v/>
      </c>
      <c r="H1808" s="1" t="str">
        <f t="shared" si="30"/>
        <v>GUARDIAN</v>
      </c>
    </row>
    <row r="1809" spans="5:8" x14ac:dyDescent="0.25">
      <c r="E1809" s="1" t="str">
        <f>""</f>
        <v/>
      </c>
      <c r="F1809" s="1" t="str">
        <f>""</f>
        <v/>
      </c>
      <c r="H1809" s="1" t="str">
        <f t="shared" si="30"/>
        <v>GUARDIAN</v>
      </c>
    </row>
    <row r="1810" spans="5:8" x14ac:dyDescent="0.25">
      <c r="E1810" s="1" t="str">
        <f>""</f>
        <v/>
      </c>
      <c r="F1810" s="1" t="str">
        <f>""</f>
        <v/>
      </c>
      <c r="H1810" s="1" t="str">
        <f t="shared" si="30"/>
        <v>GUARDIAN</v>
      </c>
    </row>
    <row r="1811" spans="5:8" x14ac:dyDescent="0.25">
      <c r="E1811" s="1" t="str">
        <f>""</f>
        <v/>
      </c>
      <c r="F1811" s="1" t="str">
        <f>""</f>
        <v/>
      </c>
      <c r="H1811" s="1" t="str">
        <f t="shared" si="30"/>
        <v>GUARDIAN</v>
      </c>
    </row>
    <row r="1812" spans="5:8" x14ac:dyDescent="0.25">
      <c r="E1812" s="1" t="str">
        <f>""</f>
        <v/>
      </c>
      <c r="F1812" s="1" t="str">
        <f>""</f>
        <v/>
      </c>
      <c r="H1812" s="1" t="str">
        <f t="shared" si="30"/>
        <v>GUARDIAN</v>
      </c>
    </row>
    <row r="1813" spans="5:8" x14ac:dyDescent="0.25">
      <c r="E1813" s="1" t="str">
        <f>""</f>
        <v/>
      </c>
      <c r="F1813" s="1" t="str">
        <f>""</f>
        <v/>
      </c>
      <c r="H1813" s="1" t="str">
        <f t="shared" si="30"/>
        <v>GUARDIAN</v>
      </c>
    </row>
    <row r="1814" spans="5:8" x14ac:dyDescent="0.25">
      <c r="E1814" s="1" t="str">
        <f>""</f>
        <v/>
      </c>
      <c r="F1814" s="1" t="str">
        <f>""</f>
        <v/>
      </c>
      <c r="H1814" s="1" t="str">
        <f t="shared" si="30"/>
        <v>GUARDIAN</v>
      </c>
    </row>
    <row r="1815" spans="5:8" x14ac:dyDescent="0.25">
      <c r="E1815" s="1" t="str">
        <f>""</f>
        <v/>
      </c>
      <c r="F1815" s="1" t="str">
        <f>""</f>
        <v/>
      </c>
      <c r="H1815" s="1" t="str">
        <f t="shared" si="30"/>
        <v>GUARDIAN</v>
      </c>
    </row>
    <row r="1816" spans="5:8" x14ac:dyDescent="0.25">
      <c r="E1816" s="1" t="str">
        <f>""</f>
        <v/>
      </c>
      <c r="F1816" s="1" t="str">
        <f>""</f>
        <v/>
      </c>
      <c r="H1816" s="1" t="str">
        <f t="shared" si="30"/>
        <v>GUARDIAN</v>
      </c>
    </row>
    <row r="1817" spans="5:8" x14ac:dyDescent="0.25">
      <c r="E1817" s="1" t="str">
        <f>""</f>
        <v/>
      </c>
      <c r="F1817" s="1" t="str">
        <f>""</f>
        <v/>
      </c>
      <c r="H1817" s="1" t="str">
        <f t="shared" si="30"/>
        <v>GUARDIAN</v>
      </c>
    </row>
    <row r="1818" spans="5:8" x14ac:dyDescent="0.25">
      <c r="E1818" s="1" t="str">
        <f>""</f>
        <v/>
      </c>
      <c r="F1818" s="1" t="str">
        <f>""</f>
        <v/>
      </c>
      <c r="H1818" s="1" t="str">
        <f t="shared" si="30"/>
        <v>GUARDIAN</v>
      </c>
    </row>
    <row r="1819" spans="5:8" x14ac:dyDescent="0.25">
      <c r="E1819" s="1" t="str">
        <f>""</f>
        <v/>
      </c>
      <c r="F1819" s="1" t="str">
        <f>""</f>
        <v/>
      </c>
      <c r="H1819" s="1" t="str">
        <f t="shared" si="30"/>
        <v>GUARDIAN</v>
      </c>
    </row>
    <row r="1820" spans="5:8" x14ac:dyDescent="0.25">
      <c r="E1820" s="1" t="str">
        <f>""</f>
        <v/>
      </c>
      <c r="F1820" s="1" t="str">
        <f>""</f>
        <v/>
      </c>
      <c r="H1820" s="1" t="str">
        <f t="shared" si="30"/>
        <v>GUARDIAN</v>
      </c>
    </row>
    <row r="1821" spans="5:8" x14ac:dyDescent="0.25">
      <c r="E1821" s="1" t="str">
        <f>"LIA201907230650"</f>
        <v>LIA201907230650</v>
      </c>
      <c r="F1821" s="1" t="str">
        <f>"GUARDIAN"</f>
        <v>GUARDIAN</v>
      </c>
      <c r="G1821" s="3">
        <v>40.799999999999997</v>
      </c>
      <c r="H1821" s="1" t="str">
        <f t="shared" si="30"/>
        <v>GUARDIAN</v>
      </c>
    </row>
    <row r="1822" spans="5:8" x14ac:dyDescent="0.25">
      <c r="E1822" s="1" t="str">
        <f>""</f>
        <v/>
      </c>
      <c r="F1822" s="1" t="str">
        <f>""</f>
        <v/>
      </c>
      <c r="H1822" s="1" t="str">
        <f t="shared" si="30"/>
        <v>GUARDIAN</v>
      </c>
    </row>
    <row r="1823" spans="5:8" x14ac:dyDescent="0.25">
      <c r="E1823" s="1" t="str">
        <f>"LIC201907090324"</f>
        <v>LIC201907090324</v>
      </c>
      <c r="F1823" s="1" t="str">
        <f>"GUARDIAN"</f>
        <v>GUARDIAN</v>
      </c>
      <c r="G1823" s="3">
        <v>30.61</v>
      </c>
      <c r="H1823" s="1" t="str">
        <f t="shared" si="30"/>
        <v>GUARDIAN</v>
      </c>
    </row>
    <row r="1824" spans="5:8" x14ac:dyDescent="0.25">
      <c r="E1824" s="1" t="str">
        <f>"LIC201907090325"</f>
        <v>LIC201907090325</v>
      </c>
      <c r="F1824" s="1" t="str">
        <f>"GUARDIAN"</f>
        <v>GUARDIAN</v>
      </c>
      <c r="G1824" s="3">
        <v>1.05</v>
      </c>
      <c r="H1824" s="1" t="str">
        <f t="shared" si="30"/>
        <v>GUARDIAN</v>
      </c>
    </row>
    <row r="1825" spans="5:8" x14ac:dyDescent="0.25">
      <c r="E1825" s="1" t="str">
        <f>"LIC201907230648"</f>
        <v>LIC201907230648</v>
      </c>
      <c r="F1825" s="1" t="str">
        <f>"GUARDIAN"</f>
        <v>GUARDIAN</v>
      </c>
      <c r="G1825" s="3">
        <v>30.61</v>
      </c>
      <c r="H1825" s="1" t="str">
        <f t="shared" si="30"/>
        <v>GUARDIAN</v>
      </c>
    </row>
    <row r="1826" spans="5:8" x14ac:dyDescent="0.25">
      <c r="E1826" s="1" t="str">
        <f>"LIC201907230650"</f>
        <v>LIC201907230650</v>
      </c>
      <c r="F1826" s="1" t="str">
        <f>"GUARDIAN"</f>
        <v>GUARDIAN</v>
      </c>
      <c r="G1826" s="3">
        <v>1.05</v>
      </c>
      <c r="H1826" s="1" t="str">
        <f t="shared" si="30"/>
        <v>GUARDIAN</v>
      </c>
    </row>
    <row r="1827" spans="5:8" x14ac:dyDescent="0.25">
      <c r="E1827" s="1" t="str">
        <f>"LIE201907090324"</f>
        <v>LIE201907090324</v>
      </c>
      <c r="F1827" s="1" t="str">
        <f>"GUARDIAN"</f>
        <v>GUARDIAN</v>
      </c>
      <c r="G1827" s="3">
        <v>3363.3</v>
      </c>
      <c r="H1827" s="1" t="str">
        <f t="shared" si="30"/>
        <v>GUARDIAN</v>
      </c>
    </row>
    <row r="1828" spans="5:8" x14ac:dyDescent="0.25">
      <c r="E1828" s="1" t="str">
        <f>""</f>
        <v/>
      </c>
      <c r="F1828" s="1" t="str">
        <f>""</f>
        <v/>
      </c>
      <c r="H1828" s="1" t="str">
        <f t="shared" si="30"/>
        <v>GUARDIAN</v>
      </c>
    </row>
    <row r="1829" spans="5:8" x14ac:dyDescent="0.25">
      <c r="E1829" s="1" t="str">
        <f>""</f>
        <v/>
      </c>
      <c r="F1829" s="1" t="str">
        <f>""</f>
        <v/>
      </c>
      <c r="H1829" s="1" t="str">
        <f t="shared" si="30"/>
        <v>GUARDIAN</v>
      </c>
    </row>
    <row r="1830" spans="5:8" x14ac:dyDescent="0.25">
      <c r="E1830" s="1" t="str">
        <f>""</f>
        <v/>
      </c>
      <c r="F1830" s="1" t="str">
        <f>""</f>
        <v/>
      </c>
      <c r="H1830" s="1" t="str">
        <f t="shared" si="30"/>
        <v>GUARDIAN</v>
      </c>
    </row>
    <row r="1831" spans="5:8" x14ac:dyDescent="0.25">
      <c r="E1831" s="1" t="str">
        <f>""</f>
        <v/>
      </c>
      <c r="F1831" s="1" t="str">
        <f>""</f>
        <v/>
      </c>
      <c r="H1831" s="1" t="str">
        <f t="shared" si="30"/>
        <v>GUARDIAN</v>
      </c>
    </row>
    <row r="1832" spans="5:8" x14ac:dyDescent="0.25">
      <c r="E1832" s="1" t="str">
        <f>""</f>
        <v/>
      </c>
      <c r="F1832" s="1" t="str">
        <f>""</f>
        <v/>
      </c>
      <c r="H1832" s="1" t="str">
        <f t="shared" si="30"/>
        <v>GUARDIAN</v>
      </c>
    </row>
    <row r="1833" spans="5:8" x14ac:dyDescent="0.25">
      <c r="E1833" s="1" t="str">
        <f>""</f>
        <v/>
      </c>
      <c r="F1833" s="1" t="str">
        <f>""</f>
        <v/>
      </c>
      <c r="H1833" s="1" t="str">
        <f t="shared" si="30"/>
        <v>GUARDIAN</v>
      </c>
    </row>
    <row r="1834" spans="5:8" x14ac:dyDescent="0.25">
      <c r="E1834" s="1" t="str">
        <f>""</f>
        <v/>
      </c>
      <c r="F1834" s="1" t="str">
        <f>""</f>
        <v/>
      </c>
      <c r="H1834" s="1" t="str">
        <f t="shared" si="30"/>
        <v>GUARDIAN</v>
      </c>
    </row>
    <row r="1835" spans="5:8" x14ac:dyDescent="0.25">
      <c r="E1835" s="1" t="str">
        <f>""</f>
        <v/>
      </c>
      <c r="F1835" s="1" t="str">
        <f>""</f>
        <v/>
      </c>
      <c r="H1835" s="1" t="str">
        <f t="shared" si="30"/>
        <v>GUARDIAN</v>
      </c>
    </row>
    <row r="1836" spans="5:8" x14ac:dyDescent="0.25">
      <c r="E1836" s="1" t="str">
        <f>""</f>
        <v/>
      </c>
      <c r="F1836" s="1" t="str">
        <f>""</f>
        <v/>
      </c>
      <c r="H1836" s="1" t="str">
        <f t="shared" si="30"/>
        <v>GUARDIAN</v>
      </c>
    </row>
    <row r="1837" spans="5:8" x14ac:dyDescent="0.25">
      <c r="E1837" s="1" t="str">
        <f>""</f>
        <v/>
      </c>
      <c r="F1837" s="1" t="str">
        <f>""</f>
        <v/>
      </c>
      <c r="H1837" s="1" t="str">
        <f t="shared" ref="H1837:H1868" si="31">"GUARDIAN"</f>
        <v>GUARDIAN</v>
      </c>
    </row>
    <row r="1838" spans="5:8" x14ac:dyDescent="0.25">
      <c r="E1838" s="1" t="str">
        <f>""</f>
        <v/>
      </c>
      <c r="F1838" s="1" t="str">
        <f>""</f>
        <v/>
      </c>
      <c r="H1838" s="1" t="str">
        <f t="shared" si="31"/>
        <v>GUARDIAN</v>
      </c>
    </row>
    <row r="1839" spans="5:8" x14ac:dyDescent="0.25">
      <c r="E1839" s="1" t="str">
        <f>""</f>
        <v/>
      </c>
      <c r="F1839" s="1" t="str">
        <f>""</f>
        <v/>
      </c>
      <c r="H1839" s="1" t="str">
        <f t="shared" si="31"/>
        <v>GUARDIAN</v>
      </c>
    </row>
    <row r="1840" spans="5:8" x14ac:dyDescent="0.25">
      <c r="E1840" s="1" t="str">
        <f>""</f>
        <v/>
      </c>
      <c r="F1840" s="1" t="str">
        <f>""</f>
        <v/>
      </c>
      <c r="H1840" s="1" t="str">
        <f t="shared" si="31"/>
        <v>GUARDIAN</v>
      </c>
    </row>
    <row r="1841" spans="5:8" x14ac:dyDescent="0.25">
      <c r="E1841" s="1" t="str">
        <f>""</f>
        <v/>
      </c>
      <c r="F1841" s="1" t="str">
        <f>""</f>
        <v/>
      </c>
      <c r="H1841" s="1" t="str">
        <f t="shared" si="31"/>
        <v>GUARDIAN</v>
      </c>
    </row>
    <row r="1842" spans="5:8" x14ac:dyDescent="0.25">
      <c r="E1842" s="1" t="str">
        <f>""</f>
        <v/>
      </c>
      <c r="F1842" s="1" t="str">
        <f>""</f>
        <v/>
      </c>
      <c r="H1842" s="1" t="str">
        <f t="shared" si="31"/>
        <v>GUARDIAN</v>
      </c>
    </row>
    <row r="1843" spans="5:8" x14ac:dyDescent="0.25">
      <c r="E1843" s="1" t="str">
        <f>""</f>
        <v/>
      </c>
      <c r="F1843" s="1" t="str">
        <f>""</f>
        <v/>
      </c>
      <c r="H1843" s="1" t="str">
        <f t="shared" si="31"/>
        <v>GUARDIAN</v>
      </c>
    </row>
    <row r="1844" spans="5:8" x14ac:dyDescent="0.25">
      <c r="E1844" s="1" t="str">
        <f>""</f>
        <v/>
      </c>
      <c r="F1844" s="1" t="str">
        <f>""</f>
        <v/>
      </c>
      <c r="H1844" s="1" t="str">
        <f t="shared" si="31"/>
        <v>GUARDIAN</v>
      </c>
    </row>
    <row r="1845" spans="5:8" x14ac:dyDescent="0.25">
      <c r="E1845" s="1" t="str">
        <f>""</f>
        <v/>
      </c>
      <c r="F1845" s="1" t="str">
        <f>""</f>
        <v/>
      </c>
      <c r="H1845" s="1" t="str">
        <f t="shared" si="31"/>
        <v>GUARDIAN</v>
      </c>
    </row>
    <row r="1846" spans="5:8" x14ac:dyDescent="0.25">
      <c r="E1846" s="1" t="str">
        <f>""</f>
        <v/>
      </c>
      <c r="F1846" s="1" t="str">
        <f>""</f>
        <v/>
      </c>
      <c r="H1846" s="1" t="str">
        <f t="shared" si="31"/>
        <v>GUARDIAN</v>
      </c>
    </row>
    <row r="1847" spans="5:8" x14ac:dyDescent="0.25">
      <c r="E1847" s="1" t="str">
        <f>""</f>
        <v/>
      </c>
      <c r="F1847" s="1" t="str">
        <f>""</f>
        <v/>
      </c>
      <c r="H1847" s="1" t="str">
        <f t="shared" si="31"/>
        <v>GUARDIAN</v>
      </c>
    </row>
    <row r="1848" spans="5:8" x14ac:dyDescent="0.25">
      <c r="E1848" s="1" t="str">
        <f>""</f>
        <v/>
      </c>
      <c r="F1848" s="1" t="str">
        <f>""</f>
        <v/>
      </c>
      <c r="H1848" s="1" t="str">
        <f t="shared" si="31"/>
        <v>GUARDIAN</v>
      </c>
    </row>
    <row r="1849" spans="5:8" x14ac:dyDescent="0.25">
      <c r="E1849" s="1" t="str">
        <f>""</f>
        <v/>
      </c>
      <c r="F1849" s="1" t="str">
        <f>""</f>
        <v/>
      </c>
      <c r="H1849" s="1" t="str">
        <f t="shared" si="31"/>
        <v>GUARDIAN</v>
      </c>
    </row>
    <row r="1850" spans="5:8" x14ac:dyDescent="0.25">
      <c r="E1850" s="1" t="str">
        <f>""</f>
        <v/>
      </c>
      <c r="F1850" s="1" t="str">
        <f>""</f>
        <v/>
      </c>
      <c r="H1850" s="1" t="str">
        <f t="shared" si="31"/>
        <v>GUARDIAN</v>
      </c>
    </row>
    <row r="1851" spans="5:8" x14ac:dyDescent="0.25">
      <c r="E1851" s="1" t="str">
        <f>""</f>
        <v/>
      </c>
      <c r="F1851" s="1" t="str">
        <f>""</f>
        <v/>
      </c>
      <c r="H1851" s="1" t="str">
        <f t="shared" si="31"/>
        <v>GUARDIAN</v>
      </c>
    </row>
    <row r="1852" spans="5:8" x14ac:dyDescent="0.25">
      <c r="E1852" s="1" t="str">
        <f>""</f>
        <v/>
      </c>
      <c r="F1852" s="1" t="str">
        <f>""</f>
        <v/>
      </c>
      <c r="H1852" s="1" t="str">
        <f t="shared" si="31"/>
        <v>GUARDIAN</v>
      </c>
    </row>
    <row r="1853" spans="5:8" x14ac:dyDescent="0.25">
      <c r="E1853" s="1" t="str">
        <f>""</f>
        <v/>
      </c>
      <c r="F1853" s="1" t="str">
        <f>""</f>
        <v/>
      </c>
      <c r="H1853" s="1" t="str">
        <f t="shared" si="31"/>
        <v>GUARDIAN</v>
      </c>
    </row>
    <row r="1854" spans="5:8" x14ac:dyDescent="0.25">
      <c r="E1854" s="1" t="str">
        <f>""</f>
        <v/>
      </c>
      <c r="F1854" s="1" t="str">
        <f>""</f>
        <v/>
      </c>
      <c r="H1854" s="1" t="str">
        <f t="shared" si="31"/>
        <v>GUARDIAN</v>
      </c>
    </row>
    <row r="1855" spans="5:8" x14ac:dyDescent="0.25">
      <c r="E1855" s="1" t="str">
        <f>""</f>
        <v/>
      </c>
      <c r="F1855" s="1" t="str">
        <f>""</f>
        <v/>
      </c>
      <c r="H1855" s="1" t="str">
        <f t="shared" si="31"/>
        <v>GUARDIAN</v>
      </c>
    </row>
    <row r="1856" spans="5:8" x14ac:dyDescent="0.25">
      <c r="E1856" s="1" t="str">
        <f>""</f>
        <v/>
      </c>
      <c r="F1856" s="1" t="str">
        <f>""</f>
        <v/>
      </c>
      <c r="H1856" s="1" t="str">
        <f t="shared" si="31"/>
        <v>GUARDIAN</v>
      </c>
    </row>
    <row r="1857" spans="5:8" x14ac:dyDescent="0.25">
      <c r="E1857" s="1" t="str">
        <f>""</f>
        <v/>
      </c>
      <c r="F1857" s="1" t="str">
        <f>""</f>
        <v/>
      </c>
      <c r="H1857" s="1" t="str">
        <f t="shared" si="31"/>
        <v>GUARDIAN</v>
      </c>
    </row>
    <row r="1858" spans="5:8" x14ac:dyDescent="0.25">
      <c r="E1858" s="1" t="str">
        <f>""</f>
        <v/>
      </c>
      <c r="F1858" s="1" t="str">
        <f>""</f>
        <v/>
      </c>
      <c r="H1858" s="1" t="str">
        <f t="shared" si="31"/>
        <v>GUARDIAN</v>
      </c>
    </row>
    <row r="1859" spans="5:8" x14ac:dyDescent="0.25">
      <c r="E1859" s="1" t="str">
        <f>""</f>
        <v/>
      </c>
      <c r="F1859" s="1" t="str">
        <f>""</f>
        <v/>
      </c>
      <c r="H1859" s="1" t="str">
        <f t="shared" si="31"/>
        <v>GUARDIAN</v>
      </c>
    </row>
    <row r="1860" spans="5:8" x14ac:dyDescent="0.25">
      <c r="E1860" s="1" t="str">
        <f>""</f>
        <v/>
      </c>
      <c r="F1860" s="1" t="str">
        <f>""</f>
        <v/>
      </c>
      <c r="H1860" s="1" t="str">
        <f t="shared" si="31"/>
        <v>GUARDIAN</v>
      </c>
    </row>
    <row r="1861" spans="5:8" x14ac:dyDescent="0.25">
      <c r="E1861" s="1" t="str">
        <f>""</f>
        <v/>
      </c>
      <c r="F1861" s="1" t="str">
        <f>""</f>
        <v/>
      </c>
      <c r="H1861" s="1" t="str">
        <f t="shared" si="31"/>
        <v>GUARDIAN</v>
      </c>
    </row>
    <row r="1862" spans="5:8" x14ac:dyDescent="0.25">
      <c r="E1862" s="1" t="str">
        <f>""</f>
        <v/>
      </c>
      <c r="F1862" s="1" t="str">
        <f>""</f>
        <v/>
      </c>
      <c r="H1862" s="1" t="str">
        <f t="shared" si="31"/>
        <v>GUARDIAN</v>
      </c>
    </row>
    <row r="1863" spans="5:8" x14ac:dyDescent="0.25">
      <c r="E1863" s="1" t="str">
        <f>""</f>
        <v/>
      </c>
      <c r="F1863" s="1" t="str">
        <f>""</f>
        <v/>
      </c>
      <c r="H1863" s="1" t="str">
        <f t="shared" si="31"/>
        <v>GUARDIAN</v>
      </c>
    </row>
    <row r="1864" spans="5:8" x14ac:dyDescent="0.25">
      <c r="E1864" s="1" t="str">
        <f>""</f>
        <v/>
      </c>
      <c r="F1864" s="1" t="str">
        <f>""</f>
        <v/>
      </c>
      <c r="H1864" s="1" t="str">
        <f t="shared" si="31"/>
        <v>GUARDIAN</v>
      </c>
    </row>
    <row r="1865" spans="5:8" x14ac:dyDescent="0.25">
      <c r="E1865" s="1" t="str">
        <f>""</f>
        <v/>
      </c>
      <c r="F1865" s="1" t="str">
        <f>""</f>
        <v/>
      </c>
      <c r="H1865" s="1" t="str">
        <f t="shared" si="31"/>
        <v>GUARDIAN</v>
      </c>
    </row>
    <row r="1866" spans="5:8" x14ac:dyDescent="0.25">
      <c r="E1866" s="1" t="str">
        <f>""</f>
        <v/>
      </c>
      <c r="F1866" s="1" t="str">
        <f>""</f>
        <v/>
      </c>
      <c r="H1866" s="1" t="str">
        <f t="shared" si="31"/>
        <v>GUARDIAN</v>
      </c>
    </row>
    <row r="1867" spans="5:8" x14ac:dyDescent="0.25">
      <c r="E1867" s="1" t="str">
        <f>""</f>
        <v/>
      </c>
      <c r="F1867" s="1" t="str">
        <f>""</f>
        <v/>
      </c>
      <c r="H1867" s="1" t="str">
        <f t="shared" si="31"/>
        <v>GUARDIAN</v>
      </c>
    </row>
    <row r="1868" spans="5:8" x14ac:dyDescent="0.25">
      <c r="E1868" s="1" t="str">
        <f>""</f>
        <v/>
      </c>
      <c r="F1868" s="1" t="str">
        <f>""</f>
        <v/>
      </c>
      <c r="H1868" s="1" t="str">
        <f t="shared" si="31"/>
        <v>GUARDIAN</v>
      </c>
    </row>
    <row r="1869" spans="5:8" x14ac:dyDescent="0.25">
      <c r="E1869" s="1" t="str">
        <f>""</f>
        <v/>
      </c>
      <c r="F1869" s="1" t="str">
        <f>""</f>
        <v/>
      </c>
      <c r="H1869" s="1" t="str">
        <f t="shared" ref="H1869:H1900" si="32">"GUARDIAN"</f>
        <v>GUARDIAN</v>
      </c>
    </row>
    <row r="1870" spans="5:8" x14ac:dyDescent="0.25">
      <c r="E1870" s="1" t="str">
        <f>""</f>
        <v/>
      </c>
      <c r="F1870" s="1" t="str">
        <f>""</f>
        <v/>
      </c>
      <c r="H1870" s="1" t="str">
        <f t="shared" si="32"/>
        <v>GUARDIAN</v>
      </c>
    </row>
    <row r="1871" spans="5:8" x14ac:dyDescent="0.25">
      <c r="E1871" s="1" t="str">
        <f>""</f>
        <v/>
      </c>
      <c r="F1871" s="1" t="str">
        <f>""</f>
        <v/>
      </c>
      <c r="H1871" s="1" t="str">
        <f t="shared" si="32"/>
        <v>GUARDIAN</v>
      </c>
    </row>
    <row r="1872" spans="5:8" x14ac:dyDescent="0.25">
      <c r="E1872" s="1" t="str">
        <f>""</f>
        <v/>
      </c>
      <c r="F1872" s="1" t="str">
        <f>""</f>
        <v/>
      </c>
      <c r="H1872" s="1" t="str">
        <f t="shared" si="32"/>
        <v>GUARDIAN</v>
      </c>
    </row>
    <row r="1873" spans="5:8" x14ac:dyDescent="0.25">
      <c r="E1873" s="1" t="str">
        <f>""</f>
        <v/>
      </c>
      <c r="F1873" s="1" t="str">
        <f>""</f>
        <v/>
      </c>
      <c r="H1873" s="1" t="str">
        <f t="shared" si="32"/>
        <v>GUARDIAN</v>
      </c>
    </row>
    <row r="1874" spans="5:8" x14ac:dyDescent="0.25">
      <c r="E1874" s="1" t="str">
        <f>""</f>
        <v/>
      </c>
      <c r="F1874" s="1" t="str">
        <f>""</f>
        <v/>
      </c>
      <c r="H1874" s="1" t="str">
        <f t="shared" si="32"/>
        <v>GUARDIAN</v>
      </c>
    </row>
    <row r="1875" spans="5:8" x14ac:dyDescent="0.25">
      <c r="E1875" s="1" t="str">
        <f>""</f>
        <v/>
      </c>
      <c r="F1875" s="1" t="str">
        <f>""</f>
        <v/>
      </c>
      <c r="H1875" s="1" t="str">
        <f t="shared" si="32"/>
        <v>GUARDIAN</v>
      </c>
    </row>
    <row r="1876" spans="5:8" x14ac:dyDescent="0.25">
      <c r="E1876" s="1" t="str">
        <f>"LIE201907090325"</f>
        <v>LIE201907090325</v>
      </c>
      <c r="F1876" s="1" t="str">
        <f>"GUARDIAN"</f>
        <v>GUARDIAN</v>
      </c>
      <c r="G1876" s="3">
        <v>83.65</v>
      </c>
      <c r="H1876" s="1" t="str">
        <f t="shared" si="32"/>
        <v>GUARDIAN</v>
      </c>
    </row>
    <row r="1877" spans="5:8" x14ac:dyDescent="0.25">
      <c r="E1877" s="1" t="str">
        <f>""</f>
        <v/>
      </c>
      <c r="F1877" s="1" t="str">
        <f>""</f>
        <v/>
      </c>
      <c r="H1877" s="1" t="str">
        <f t="shared" si="32"/>
        <v>GUARDIAN</v>
      </c>
    </row>
    <row r="1878" spans="5:8" x14ac:dyDescent="0.25">
      <c r="E1878" s="1" t="str">
        <f>"LIE201907230648"</f>
        <v>LIE201907230648</v>
      </c>
      <c r="F1878" s="1" t="str">
        <f>"GUARDIAN"</f>
        <v>GUARDIAN</v>
      </c>
      <c r="G1878" s="3">
        <v>3359.6</v>
      </c>
      <c r="H1878" s="1" t="str">
        <f t="shared" si="32"/>
        <v>GUARDIAN</v>
      </c>
    </row>
    <row r="1879" spans="5:8" x14ac:dyDescent="0.25">
      <c r="E1879" s="1" t="str">
        <f>""</f>
        <v/>
      </c>
      <c r="F1879" s="1" t="str">
        <f>""</f>
        <v/>
      </c>
      <c r="H1879" s="1" t="str">
        <f t="shared" si="32"/>
        <v>GUARDIAN</v>
      </c>
    </row>
    <row r="1880" spans="5:8" x14ac:dyDescent="0.25">
      <c r="E1880" s="1" t="str">
        <f>""</f>
        <v/>
      </c>
      <c r="F1880" s="1" t="str">
        <f>""</f>
        <v/>
      </c>
      <c r="H1880" s="1" t="str">
        <f t="shared" si="32"/>
        <v>GUARDIAN</v>
      </c>
    </row>
    <row r="1881" spans="5:8" x14ac:dyDescent="0.25">
      <c r="E1881" s="1" t="str">
        <f>""</f>
        <v/>
      </c>
      <c r="F1881" s="1" t="str">
        <f>""</f>
        <v/>
      </c>
      <c r="H1881" s="1" t="str">
        <f t="shared" si="32"/>
        <v>GUARDIAN</v>
      </c>
    </row>
    <row r="1882" spans="5:8" x14ac:dyDescent="0.25">
      <c r="E1882" s="1" t="str">
        <f>""</f>
        <v/>
      </c>
      <c r="F1882" s="1" t="str">
        <f>""</f>
        <v/>
      </c>
      <c r="H1882" s="1" t="str">
        <f t="shared" si="32"/>
        <v>GUARDIAN</v>
      </c>
    </row>
    <row r="1883" spans="5:8" x14ac:dyDescent="0.25">
      <c r="E1883" s="1" t="str">
        <f>""</f>
        <v/>
      </c>
      <c r="F1883" s="1" t="str">
        <f>""</f>
        <v/>
      </c>
      <c r="H1883" s="1" t="str">
        <f t="shared" si="32"/>
        <v>GUARDIAN</v>
      </c>
    </row>
    <row r="1884" spans="5:8" x14ac:dyDescent="0.25">
      <c r="E1884" s="1" t="str">
        <f>""</f>
        <v/>
      </c>
      <c r="F1884" s="1" t="str">
        <f>""</f>
        <v/>
      </c>
      <c r="H1884" s="1" t="str">
        <f t="shared" si="32"/>
        <v>GUARDIAN</v>
      </c>
    </row>
    <row r="1885" spans="5:8" x14ac:dyDescent="0.25">
      <c r="E1885" s="1" t="str">
        <f>""</f>
        <v/>
      </c>
      <c r="F1885" s="1" t="str">
        <f>""</f>
        <v/>
      </c>
      <c r="H1885" s="1" t="str">
        <f t="shared" si="32"/>
        <v>GUARDIAN</v>
      </c>
    </row>
    <row r="1886" spans="5:8" x14ac:dyDescent="0.25">
      <c r="E1886" s="1" t="str">
        <f>""</f>
        <v/>
      </c>
      <c r="F1886" s="1" t="str">
        <f>""</f>
        <v/>
      </c>
      <c r="H1886" s="1" t="str">
        <f t="shared" si="32"/>
        <v>GUARDIAN</v>
      </c>
    </row>
    <row r="1887" spans="5:8" x14ac:dyDescent="0.25">
      <c r="E1887" s="1" t="str">
        <f>""</f>
        <v/>
      </c>
      <c r="F1887" s="1" t="str">
        <f>""</f>
        <v/>
      </c>
      <c r="H1887" s="1" t="str">
        <f t="shared" si="32"/>
        <v>GUARDIAN</v>
      </c>
    </row>
    <row r="1888" spans="5:8" x14ac:dyDescent="0.25">
      <c r="E1888" s="1" t="str">
        <f>""</f>
        <v/>
      </c>
      <c r="F1888" s="1" t="str">
        <f>""</f>
        <v/>
      </c>
      <c r="H1888" s="1" t="str">
        <f t="shared" si="32"/>
        <v>GUARDIAN</v>
      </c>
    </row>
    <row r="1889" spans="5:8" x14ac:dyDescent="0.25">
      <c r="E1889" s="1" t="str">
        <f>""</f>
        <v/>
      </c>
      <c r="F1889" s="1" t="str">
        <f>""</f>
        <v/>
      </c>
      <c r="H1889" s="1" t="str">
        <f t="shared" si="32"/>
        <v>GUARDIAN</v>
      </c>
    </row>
    <row r="1890" spans="5:8" x14ac:dyDescent="0.25">
      <c r="E1890" s="1" t="str">
        <f>""</f>
        <v/>
      </c>
      <c r="F1890" s="1" t="str">
        <f>""</f>
        <v/>
      </c>
      <c r="H1890" s="1" t="str">
        <f t="shared" si="32"/>
        <v>GUARDIAN</v>
      </c>
    </row>
    <row r="1891" spans="5:8" x14ac:dyDescent="0.25">
      <c r="E1891" s="1" t="str">
        <f>""</f>
        <v/>
      </c>
      <c r="F1891" s="1" t="str">
        <f>""</f>
        <v/>
      </c>
      <c r="H1891" s="1" t="str">
        <f t="shared" si="32"/>
        <v>GUARDIAN</v>
      </c>
    </row>
    <row r="1892" spans="5:8" x14ac:dyDescent="0.25">
      <c r="E1892" s="1" t="str">
        <f>""</f>
        <v/>
      </c>
      <c r="F1892" s="1" t="str">
        <f>""</f>
        <v/>
      </c>
      <c r="H1892" s="1" t="str">
        <f t="shared" si="32"/>
        <v>GUARDIAN</v>
      </c>
    </row>
    <row r="1893" spans="5:8" x14ac:dyDescent="0.25">
      <c r="E1893" s="1" t="str">
        <f>""</f>
        <v/>
      </c>
      <c r="F1893" s="1" t="str">
        <f>""</f>
        <v/>
      </c>
      <c r="H1893" s="1" t="str">
        <f t="shared" si="32"/>
        <v>GUARDIAN</v>
      </c>
    </row>
    <row r="1894" spans="5:8" x14ac:dyDescent="0.25">
      <c r="E1894" s="1" t="str">
        <f>""</f>
        <v/>
      </c>
      <c r="F1894" s="1" t="str">
        <f>""</f>
        <v/>
      </c>
      <c r="H1894" s="1" t="str">
        <f t="shared" si="32"/>
        <v>GUARDIAN</v>
      </c>
    </row>
    <row r="1895" spans="5:8" x14ac:dyDescent="0.25">
      <c r="E1895" s="1" t="str">
        <f>""</f>
        <v/>
      </c>
      <c r="F1895" s="1" t="str">
        <f>""</f>
        <v/>
      </c>
      <c r="H1895" s="1" t="str">
        <f t="shared" si="32"/>
        <v>GUARDIAN</v>
      </c>
    </row>
    <row r="1896" spans="5:8" x14ac:dyDescent="0.25">
      <c r="E1896" s="1" t="str">
        <f>""</f>
        <v/>
      </c>
      <c r="F1896" s="1" t="str">
        <f>""</f>
        <v/>
      </c>
      <c r="H1896" s="1" t="str">
        <f t="shared" si="32"/>
        <v>GUARDIAN</v>
      </c>
    </row>
    <row r="1897" spans="5:8" x14ac:dyDescent="0.25">
      <c r="E1897" s="1" t="str">
        <f>""</f>
        <v/>
      </c>
      <c r="F1897" s="1" t="str">
        <f>""</f>
        <v/>
      </c>
      <c r="H1897" s="1" t="str">
        <f t="shared" si="32"/>
        <v>GUARDIAN</v>
      </c>
    </row>
    <row r="1898" spans="5:8" x14ac:dyDescent="0.25">
      <c r="E1898" s="1" t="str">
        <f>""</f>
        <v/>
      </c>
      <c r="F1898" s="1" t="str">
        <f>""</f>
        <v/>
      </c>
      <c r="H1898" s="1" t="str">
        <f t="shared" si="32"/>
        <v>GUARDIAN</v>
      </c>
    </row>
    <row r="1899" spans="5:8" x14ac:dyDescent="0.25">
      <c r="E1899" s="1" t="str">
        <f>""</f>
        <v/>
      </c>
      <c r="F1899" s="1" t="str">
        <f>""</f>
        <v/>
      </c>
      <c r="H1899" s="1" t="str">
        <f t="shared" si="32"/>
        <v>GUARDIAN</v>
      </c>
    </row>
    <row r="1900" spans="5:8" x14ac:dyDescent="0.25">
      <c r="E1900" s="1" t="str">
        <f>""</f>
        <v/>
      </c>
      <c r="F1900" s="1" t="str">
        <f>""</f>
        <v/>
      </c>
      <c r="H1900" s="1" t="str">
        <f t="shared" si="32"/>
        <v>GUARDIAN</v>
      </c>
    </row>
    <row r="1901" spans="5:8" x14ac:dyDescent="0.25">
      <c r="E1901" s="1" t="str">
        <f>""</f>
        <v/>
      </c>
      <c r="F1901" s="1" t="str">
        <f>""</f>
        <v/>
      </c>
      <c r="H1901" s="1" t="str">
        <f t="shared" ref="H1901:H1932" si="33">"GUARDIAN"</f>
        <v>GUARDIAN</v>
      </c>
    </row>
    <row r="1902" spans="5:8" x14ac:dyDescent="0.25">
      <c r="E1902" s="1" t="str">
        <f>""</f>
        <v/>
      </c>
      <c r="F1902" s="1" t="str">
        <f>""</f>
        <v/>
      </c>
      <c r="H1902" s="1" t="str">
        <f t="shared" si="33"/>
        <v>GUARDIAN</v>
      </c>
    </row>
    <row r="1903" spans="5:8" x14ac:dyDescent="0.25">
      <c r="E1903" s="1" t="str">
        <f>""</f>
        <v/>
      </c>
      <c r="F1903" s="1" t="str">
        <f>""</f>
        <v/>
      </c>
      <c r="H1903" s="1" t="str">
        <f t="shared" si="33"/>
        <v>GUARDIAN</v>
      </c>
    </row>
    <row r="1904" spans="5:8" x14ac:dyDescent="0.25">
      <c r="E1904" s="1" t="str">
        <f>""</f>
        <v/>
      </c>
      <c r="F1904" s="1" t="str">
        <f>""</f>
        <v/>
      </c>
      <c r="H1904" s="1" t="str">
        <f t="shared" si="33"/>
        <v>GUARDIAN</v>
      </c>
    </row>
    <row r="1905" spans="5:8" x14ac:dyDescent="0.25">
      <c r="E1905" s="1" t="str">
        <f>""</f>
        <v/>
      </c>
      <c r="F1905" s="1" t="str">
        <f>""</f>
        <v/>
      </c>
      <c r="H1905" s="1" t="str">
        <f t="shared" si="33"/>
        <v>GUARDIAN</v>
      </c>
    </row>
    <row r="1906" spans="5:8" x14ac:dyDescent="0.25">
      <c r="E1906" s="1" t="str">
        <f>""</f>
        <v/>
      </c>
      <c r="F1906" s="1" t="str">
        <f>""</f>
        <v/>
      </c>
      <c r="H1906" s="1" t="str">
        <f t="shared" si="33"/>
        <v>GUARDIAN</v>
      </c>
    </row>
    <row r="1907" spans="5:8" x14ac:dyDescent="0.25">
      <c r="E1907" s="1" t="str">
        <f>""</f>
        <v/>
      </c>
      <c r="F1907" s="1" t="str">
        <f>""</f>
        <v/>
      </c>
      <c r="H1907" s="1" t="str">
        <f t="shared" si="33"/>
        <v>GUARDIAN</v>
      </c>
    </row>
    <row r="1908" spans="5:8" x14ac:dyDescent="0.25">
      <c r="E1908" s="1" t="str">
        <f>""</f>
        <v/>
      </c>
      <c r="F1908" s="1" t="str">
        <f>""</f>
        <v/>
      </c>
      <c r="H1908" s="1" t="str">
        <f t="shared" si="33"/>
        <v>GUARDIAN</v>
      </c>
    </row>
    <row r="1909" spans="5:8" x14ac:dyDescent="0.25">
      <c r="E1909" s="1" t="str">
        <f>""</f>
        <v/>
      </c>
      <c r="F1909" s="1" t="str">
        <f>""</f>
        <v/>
      </c>
      <c r="H1909" s="1" t="str">
        <f t="shared" si="33"/>
        <v>GUARDIAN</v>
      </c>
    </row>
    <row r="1910" spans="5:8" x14ac:dyDescent="0.25">
      <c r="E1910" s="1" t="str">
        <f>""</f>
        <v/>
      </c>
      <c r="F1910" s="1" t="str">
        <f>""</f>
        <v/>
      </c>
      <c r="H1910" s="1" t="str">
        <f t="shared" si="33"/>
        <v>GUARDIAN</v>
      </c>
    </row>
    <row r="1911" spans="5:8" x14ac:dyDescent="0.25">
      <c r="E1911" s="1" t="str">
        <f>""</f>
        <v/>
      </c>
      <c r="F1911" s="1" t="str">
        <f>""</f>
        <v/>
      </c>
      <c r="H1911" s="1" t="str">
        <f t="shared" si="33"/>
        <v>GUARDIAN</v>
      </c>
    </row>
    <row r="1912" spans="5:8" x14ac:dyDescent="0.25">
      <c r="E1912" s="1" t="str">
        <f>""</f>
        <v/>
      </c>
      <c r="F1912" s="1" t="str">
        <f>""</f>
        <v/>
      </c>
      <c r="H1912" s="1" t="str">
        <f t="shared" si="33"/>
        <v>GUARDIAN</v>
      </c>
    </row>
    <row r="1913" spans="5:8" x14ac:dyDescent="0.25">
      <c r="E1913" s="1" t="str">
        <f>""</f>
        <v/>
      </c>
      <c r="F1913" s="1" t="str">
        <f>""</f>
        <v/>
      </c>
      <c r="H1913" s="1" t="str">
        <f t="shared" si="33"/>
        <v>GUARDIAN</v>
      </c>
    </row>
    <row r="1914" spans="5:8" x14ac:dyDescent="0.25">
      <c r="E1914" s="1" t="str">
        <f>""</f>
        <v/>
      </c>
      <c r="F1914" s="1" t="str">
        <f>""</f>
        <v/>
      </c>
      <c r="H1914" s="1" t="str">
        <f t="shared" si="33"/>
        <v>GUARDIAN</v>
      </c>
    </row>
    <row r="1915" spans="5:8" x14ac:dyDescent="0.25">
      <c r="E1915" s="1" t="str">
        <f>""</f>
        <v/>
      </c>
      <c r="F1915" s="1" t="str">
        <f>""</f>
        <v/>
      </c>
      <c r="H1915" s="1" t="str">
        <f t="shared" si="33"/>
        <v>GUARDIAN</v>
      </c>
    </row>
    <row r="1916" spans="5:8" x14ac:dyDescent="0.25">
      <c r="E1916" s="1" t="str">
        <f>""</f>
        <v/>
      </c>
      <c r="F1916" s="1" t="str">
        <f>""</f>
        <v/>
      </c>
      <c r="H1916" s="1" t="str">
        <f t="shared" si="33"/>
        <v>GUARDIAN</v>
      </c>
    </row>
    <row r="1917" spans="5:8" x14ac:dyDescent="0.25">
      <c r="E1917" s="1" t="str">
        <f>""</f>
        <v/>
      </c>
      <c r="F1917" s="1" t="str">
        <f>""</f>
        <v/>
      </c>
      <c r="H1917" s="1" t="str">
        <f t="shared" si="33"/>
        <v>GUARDIAN</v>
      </c>
    </row>
    <row r="1918" spans="5:8" x14ac:dyDescent="0.25">
      <c r="E1918" s="1" t="str">
        <f>""</f>
        <v/>
      </c>
      <c r="F1918" s="1" t="str">
        <f>""</f>
        <v/>
      </c>
      <c r="H1918" s="1" t="str">
        <f t="shared" si="33"/>
        <v>GUARDIAN</v>
      </c>
    </row>
    <row r="1919" spans="5:8" x14ac:dyDescent="0.25">
      <c r="E1919" s="1" t="str">
        <f>""</f>
        <v/>
      </c>
      <c r="F1919" s="1" t="str">
        <f>""</f>
        <v/>
      </c>
      <c r="H1919" s="1" t="str">
        <f t="shared" si="33"/>
        <v>GUARDIAN</v>
      </c>
    </row>
    <row r="1920" spans="5:8" x14ac:dyDescent="0.25">
      <c r="E1920" s="1" t="str">
        <f>""</f>
        <v/>
      </c>
      <c r="F1920" s="1" t="str">
        <f>""</f>
        <v/>
      </c>
      <c r="H1920" s="1" t="str">
        <f t="shared" si="33"/>
        <v>GUARDIAN</v>
      </c>
    </row>
    <row r="1921" spans="5:8" x14ac:dyDescent="0.25">
      <c r="E1921" s="1" t="str">
        <f>""</f>
        <v/>
      </c>
      <c r="F1921" s="1" t="str">
        <f>""</f>
        <v/>
      </c>
      <c r="H1921" s="1" t="str">
        <f t="shared" si="33"/>
        <v>GUARDIAN</v>
      </c>
    </row>
    <row r="1922" spans="5:8" x14ac:dyDescent="0.25">
      <c r="E1922" s="1" t="str">
        <f>""</f>
        <v/>
      </c>
      <c r="F1922" s="1" t="str">
        <f>""</f>
        <v/>
      </c>
      <c r="H1922" s="1" t="str">
        <f t="shared" si="33"/>
        <v>GUARDIAN</v>
      </c>
    </row>
    <row r="1923" spans="5:8" x14ac:dyDescent="0.25">
      <c r="E1923" s="1" t="str">
        <f>""</f>
        <v/>
      </c>
      <c r="F1923" s="1" t="str">
        <f>""</f>
        <v/>
      </c>
      <c r="H1923" s="1" t="str">
        <f t="shared" si="33"/>
        <v>GUARDIAN</v>
      </c>
    </row>
    <row r="1924" spans="5:8" x14ac:dyDescent="0.25">
      <c r="E1924" s="1" t="str">
        <f>""</f>
        <v/>
      </c>
      <c r="F1924" s="1" t="str">
        <f>""</f>
        <v/>
      </c>
      <c r="H1924" s="1" t="str">
        <f t="shared" si="33"/>
        <v>GUARDIAN</v>
      </c>
    </row>
    <row r="1925" spans="5:8" x14ac:dyDescent="0.25">
      <c r="E1925" s="1" t="str">
        <f>""</f>
        <v/>
      </c>
      <c r="F1925" s="1" t="str">
        <f>""</f>
        <v/>
      </c>
      <c r="H1925" s="1" t="str">
        <f t="shared" si="33"/>
        <v>GUARDIAN</v>
      </c>
    </row>
    <row r="1926" spans="5:8" x14ac:dyDescent="0.25">
      <c r="E1926" s="1" t="str">
        <f>""</f>
        <v/>
      </c>
      <c r="F1926" s="1" t="str">
        <f>""</f>
        <v/>
      </c>
      <c r="H1926" s="1" t="str">
        <f t="shared" si="33"/>
        <v>GUARDIAN</v>
      </c>
    </row>
    <row r="1927" spans="5:8" x14ac:dyDescent="0.25">
      <c r="E1927" s="1" t="str">
        <f>"LIE201907230650"</f>
        <v>LIE201907230650</v>
      </c>
      <c r="F1927" s="1" t="str">
        <f>"GUARDIAN"</f>
        <v>GUARDIAN</v>
      </c>
      <c r="G1927" s="3">
        <v>83.65</v>
      </c>
      <c r="H1927" s="1" t="str">
        <f t="shared" si="33"/>
        <v>GUARDIAN</v>
      </c>
    </row>
    <row r="1928" spans="5:8" x14ac:dyDescent="0.25">
      <c r="E1928" s="1" t="str">
        <f>""</f>
        <v/>
      </c>
      <c r="F1928" s="1" t="str">
        <f>""</f>
        <v/>
      </c>
      <c r="H1928" s="1" t="str">
        <f t="shared" si="33"/>
        <v>GUARDIAN</v>
      </c>
    </row>
    <row r="1929" spans="5:8" x14ac:dyDescent="0.25">
      <c r="E1929" s="1" t="str">
        <f>"LIS201907090324"</f>
        <v>LIS201907090324</v>
      </c>
      <c r="F1929" s="1" t="str">
        <f t="shared" ref="F1929:F1940" si="34">"GUARDIAN"</f>
        <v>GUARDIAN</v>
      </c>
      <c r="G1929" s="3">
        <v>465.08</v>
      </c>
      <c r="H1929" s="1" t="str">
        <f t="shared" si="33"/>
        <v>GUARDIAN</v>
      </c>
    </row>
    <row r="1930" spans="5:8" x14ac:dyDescent="0.25">
      <c r="E1930" s="1" t="str">
        <f>"LIS201907090325"</f>
        <v>LIS201907090325</v>
      </c>
      <c r="F1930" s="1" t="str">
        <f t="shared" si="34"/>
        <v>GUARDIAN</v>
      </c>
      <c r="G1930" s="3">
        <v>36.15</v>
      </c>
      <c r="H1930" s="1" t="str">
        <f t="shared" si="33"/>
        <v>GUARDIAN</v>
      </c>
    </row>
    <row r="1931" spans="5:8" x14ac:dyDescent="0.25">
      <c r="E1931" s="1" t="str">
        <f>"LIS201907230648"</f>
        <v>LIS201907230648</v>
      </c>
      <c r="F1931" s="1" t="str">
        <f t="shared" si="34"/>
        <v>GUARDIAN</v>
      </c>
      <c r="G1931" s="3">
        <v>465.08</v>
      </c>
      <c r="H1931" s="1" t="str">
        <f t="shared" si="33"/>
        <v>GUARDIAN</v>
      </c>
    </row>
    <row r="1932" spans="5:8" x14ac:dyDescent="0.25">
      <c r="E1932" s="1" t="str">
        <f>"LIS201907230650"</f>
        <v>LIS201907230650</v>
      </c>
      <c r="F1932" s="1" t="str">
        <f t="shared" si="34"/>
        <v>GUARDIAN</v>
      </c>
      <c r="G1932" s="3">
        <v>36.15</v>
      </c>
      <c r="H1932" s="1" t="str">
        <f t="shared" si="33"/>
        <v>GUARDIAN</v>
      </c>
    </row>
    <row r="1933" spans="5:8" x14ac:dyDescent="0.25">
      <c r="E1933" s="1" t="str">
        <f>"LTD201907090324"</f>
        <v>LTD201907090324</v>
      </c>
      <c r="F1933" s="1" t="str">
        <f t="shared" si="34"/>
        <v>GUARDIAN</v>
      </c>
      <c r="G1933" s="3">
        <v>820.01</v>
      </c>
      <c r="H1933" s="1" t="str">
        <f t="shared" ref="H1933:H1940" si="35">"GUARDIAN"</f>
        <v>GUARDIAN</v>
      </c>
    </row>
    <row r="1934" spans="5:8" x14ac:dyDescent="0.25">
      <c r="E1934" s="1" t="str">
        <f>"LTD201907090325"</f>
        <v>LTD201907090325</v>
      </c>
      <c r="F1934" s="1" t="str">
        <f t="shared" si="34"/>
        <v>GUARDIAN</v>
      </c>
      <c r="G1934" s="3">
        <v>6.11</v>
      </c>
      <c r="H1934" s="1" t="str">
        <f t="shared" si="35"/>
        <v>GUARDIAN</v>
      </c>
    </row>
    <row r="1935" spans="5:8" x14ac:dyDescent="0.25">
      <c r="E1935" s="1" t="str">
        <f>"LTD201907230648"</f>
        <v>LTD201907230648</v>
      </c>
      <c r="F1935" s="1" t="str">
        <f t="shared" si="34"/>
        <v>GUARDIAN</v>
      </c>
      <c r="G1935" s="3">
        <v>820.01</v>
      </c>
      <c r="H1935" s="1" t="str">
        <f t="shared" si="35"/>
        <v>GUARDIAN</v>
      </c>
    </row>
    <row r="1936" spans="5:8" x14ac:dyDescent="0.25">
      <c r="E1936" s="1" t="str">
        <f>"LTD201907230650"</f>
        <v>LTD201907230650</v>
      </c>
      <c r="F1936" s="1" t="str">
        <f t="shared" si="34"/>
        <v>GUARDIAN</v>
      </c>
      <c r="G1936" s="3">
        <v>6.11</v>
      </c>
      <c r="H1936" s="1" t="str">
        <f t="shared" si="35"/>
        <v>GUARDIAN</v>
      </c>
    </row>
    <row r="1937" spans="1:8" x14ac:dyDescent="0.25">
      <c r="A1937" s="1" t="s">
        <v>490</v>
      </c>
      <c r="B1937" s="1">
        <v>186</v>
      </c>
      <c r="C1937" s="3">
        <v>109.1</v>
      </c>
      <c r="D1937" s="2">
        <v>43671</v>
      </c>
      <c r="E1937" s="1" t="str">
        <f>"AEG201907090324"</f>
        <v>AEG201907090324</v>
      </c>
      <c r="F1937" s="1" t="str">
        <f t="shared" si="34"/>
        <v>GUARDIAN</v>
      </c>
      <c r="G1937" s="3">
        <v>6.66</v>
      </c>
      <c r="H1937" s="1" t="str">
        <f t="shared" si="35"/>
        <v>GUARDIAN</v>
      </c>
    </row>
    <row r="1938" spans="1:8" x14ac:dyDescent="0.25">
      <c r="E1938" s="1" t="str">
        <f>"AEG201907230648"</f>
        <v>AEG201907230648</v>
      </c>
      <c r="F1938" s="1" t="str">
        <f t="shared" si="34"/>
        <v>GUARDIAN</v>
      </c>
      <c r="G1938" s="3">
        <v>6.66</v>
      </c>
      <c r="H1938" s="1" t="str">
        <f t="shared" si="35"/>
        <v>GUARDIAN</v>
      </c>
    </row>
    <row r="1939" spans="1:8" x14ac:dyDescent="0.25">
      <c r="E1939" s="1" t="str">
        <f>"AFG201907090324"</f>
        <v>AFG201907090324</v>
      </c>
      <c r="F1939" s="1" t="str">
        <f t="shared" si="34"/>
        <v>GUARDIAN</v>
      </c>
      <c r="G1939" s="3">
        <v>47.89</v>
      </c>
      <c r="H1939" s="1" t="str">
        <f t="shared" si="35"/>
        <v>GUARDIAN</v>
      </c>
    </row>
    <row r="1940" spans="1:8" x14ac:dyDescent="0.25">
      <c r="E1940" s="1" t="str">
        <f>"AFG201907230648"</f>
        <v>AFG201907230648</v>
      </c>
      <c r="F1940" s="1" t="str">
        <f t="shared" si="34"/>
        <v>GUARDIAN</v>
      </c>
      <c r="G1940" s="3">
        <v>47.89</v>
      </c>
      <c r="H1940" s="1" t="str">
        <f t="shared" si="35"/>
        <v>GUARDIAN</v>
      </c>
    </row>
    <row r="1941" spans="1:8" x14ac:dyDescent="0.25">
      <c r="A1941" s="1" t="s">
        <v>491</v>
      </c>
      <c r="B1941" s="1">
        <v>169</v>
      </c>
      <c r="C1941" s="3">
        <v>221118.31</v>
      </c>
      <c r="D1941" s="2">
        <v>43658</v>
      </c>
      <c r="E1941" s="1" t="str">
        <f>"T1 201907090324"</f>
        <v>T1 201907090324</v>
      </c>
      <c r="F1941" s="1" t="str">
        <f>"FEDERAL WITHHOLDING"</f>
        <v>FEDERAL WITHHOLDING</v>
      </c>
      <c r="G1941" s="3">
        <v>72504.789999999994</v>
      </c>
      <c r="H1941" s="1" t="str">
        <f>"FEDERAL WITHHOLDING"</f>
        <v>FEDERAL WITHHOLDING</v>
      </c>
    </row>
    <row r="1942" spans="1:8" x14ac:dyDescent="0.25">
      <c r="E1942" s="1" t="str">
        <f>"T1 201907090325"</f>
        <v>T1 201907090325</v>
      </c>
      <c r="F1942" s="1" t="str">
        <f>"FEDERAL WITHHOLDING"</f>
        <v>FEDERAL WITHHOLDING</v>
      </c>
      <c r="G1942" s="3">
        <v>2867.03</v>
      </c>
      <c r="H1942" s="1" t="str">
        <f>"FEDERAL WITHHOLDING"</f>
        <v>FEDERAL WITHHOLDING</v>
      </c>
    </row>
    <row r="1943" spans="1:8" x14ac:dyDescent="0.25">
      <c r="E1943" s="1" t="str">
        <f>"T1 201907090326"</f>
        <v>T1 201907090326</v>
      </c>
      <c r="F1943" s="1" t="str">
        <f>"FEDERAL WITHHOLDING"</f>
        <v>FEDERAL WITHHOLDING</v>
      </c>
      <c r="G1943" s="3">
        <v>3474.19</v>
      </c>
      <c r="H1943" s="1" t="str">
        <f>"FEDERAL WITHHOLDING"</f>
        <v>FEDERAL WITHHOLDING</v>
      </c>
    </row>
    <row r="1944" spans="1:8" x14ac:dyDescent="0.25">
      <c r="E1944" s="1" t="str">
        <f>"T3 201907090324"</f>
        <v>T3 201907090324</v>
      </c>
      <c r="F1944" s="1" t="str">
        <f>"SOCIAL SECURITY TAXES"</f>
        <v>SOCIAL SECURITY TAXES</v>
      </c>
      <c r="G1944" s="3">
        <v>106334.74</v>
      </c>
      <c r="H1944" s="1" t="str">
        <f t="shared" ref="H1944:H1975" si="36">"SOCIAL SECURITY TAXES"</f>
        <v>SOCIAL SECURITY TAXES</v>
      </c>
    </row>
    <row r="1945" spans="1:8" x14ac:dyDescent="0.25">
      <c r="E1945" s="1" t="str">
        <f>""</f>
        <v/>
      </c>
      <c r="F1945" s="1" t="str">
        <f>""</f>
        <v/>
      </c>
      <c r="H1945" s="1" t="str">
        <f t="shared" si="36"/>
        <v>SOCIAL SECURITY TAXES</v>
      </c>
    </row>
    <row r="1946" spans="1:8" x14ac:dyDescent="0.25">
      <c r="E1946" s="1" t="str">
        <f>""</f>
        <v/>
      </c>
      <c r="F1946" s="1" t="str">
        <f>""</f>
        <v/>
      </c>
      <c r="H1946" s="1" t="str">
        <f t="shared" si="36"/>
        <v>SOCIAL SECURITY TAXES</v>
      </c>
    </row>
    <row r="1947" spans="1:8" x14ac:dyDescent="0.25">
      <c r="E1947" s="1" t="str">
        <f>""</f>
        <v/>
      </c>
      <c r="F1947" s="1" t="str">
        <f>""</f>
        <v/>
      </c>
      <c r="H1947" s="1" t="str">
        <f t="shared" si="36"/>
        <v>SOCIAL SECURITY TAXES</v>
      </c>
    </row>
    <row r="1948" spans="1:8" x14ac:dyDescent="0.25">
      <c r="E1948" s="1" t="str">
        <f>""</f>
        <v/>
      </c>
      <c r="F1948" s="1" t="str">
        <f>""</f>
        <v/>
      </c>
      <c r="H1948" s="1" t="str">
        <f t="shared" si="36"/>
        <v>SOCIAL SECURITY TAXES</v>
      </c>
    </row>
    <row r="1949" spans="1:8" x14ac:dyDescent="0.25">
      <c r="E1949" s="1" t="str">
        <f>""</f>
        <v/>
      </c>
      <c r="F1949" s="1" t="str">
        <f>""</f>
        <v/>
      </c>
      <c r="H1949" s="1" t="str">
        <f t="shared" si="36"/>
        <v>SOCIAL SECURITY TAXES</v>
      </c>
    </row>
    <row r="1950" spans="1:8" x14ac:dyDescent="0.25">
      <c r="E1950" s="1" t="str">
        <f>""</f>
        <v/>
      </c>
      <c r="F1950" s="1" t="str">
        <f>""</f>
        <v/>
      </c>
      <c r="H1950" s="1" t="str">
        <f t="shared" si="36"/>
        <v>SOCIAL SECURITY TAXES</v>
      </c>
    </row>
    <row r="1951" spans="1:8" x14ac:dyDescent="0.25">
      <c r="E1951" s="1" t="str">
        <f>""</f>
        <v/>
      </c>
      <c r="F1951" s="1" t="str">
        <f>""</f>
        <v/>
      </c>
      <c r="H1951" s="1" t="str">
        <f t="shared" si="36"/>
        <v>SOCIAL SECURITY TAXES</v>
      </c>
    </row>
    <row r="1952" spans="1:8" x14ac:dyDescent="0.25">
      <c r="E1952" s="1" t="str">
        <f>""</f>
        <v/>
      </c>
      <c r="F1952" s="1" t="str">
        <f>""</f>
        <v/>
      </c>
      <c r="H1952" s="1" t="str">
        <f t="shared" si="36"/>
        <v>SOCIAL SECURITY TAXES</v>
      </c>
    </row>
    <row r="1953" spans="5:8" x14ac:dyDescent="0.25">
      <c r="E1953" s="1" t="str">
        <f>""</f>
        <v/>
      </c>
      <c r="F1953" s="1" t="str">
        <f>""</f>
        <v/>
      </c>
      <c r="H1953" s="1" t="str">
        <f t="shared" si="36"/>
        <v>SOCIAL SECURITY TAXES</v>
      </c>
    </row>
    <row r="1954" spans="5:8" x14ac:dyDescent="0.25">
      <c r="E1954" s="1" t="str">
        <f>""</f>
        <v/>
      </c>
      <c r="F1954" s="1" t="str">
        <f>""</f>
        <v/>
      </c>
      <c r="H1954" s="1" t="str">
        <f t="shared" si="36"/>
        <v>SOCIAL SECURITY TAXES</v>
      </c>
    </row>
    <row r="1955" spans="5:8" x14ac:dyDescent="0.25">
      <c r="E1955" s="1" t="str">
        <f>""</f>
        <v/>
      </c>
      <c r="F1955" s="1" t="str">
        <f>""</f>
        <v/>
      </c>
      <c r="H1955" s="1" t="str">
        <f t="shared" si="36"/>
        <v>SOCIAL SECURITY TAXES</v>
      </c>
    </row>
    <row r="1956" spans="5:8" x14ac:dyDescent="0.25">
      <c r="E1956" s="1" t="str">
        <f>""</f>
        <v/>
      </c>
      <c r="F1956" s="1" t="str">
        <f>""</f>
        <v/>
      </c>
      <c r="H1956" s="1" t="str">
        <f t="shared" si="36"/>
        <v>SOCIAL SECURITY TAXES</v>
      </c>
    </row>
    <row r="1957" spans="5:8" x14ac:dyDescent="0.25">
      <c r="E1957" s="1" t="str">
        <f>""</f>
        <v/>
      </c>
      <c r="F1957" s="1" t="str">
        <f>""</f>
        <v/>
      </c>
      <c r="H1957" s="1" t="str">
        <f t="shared" si="36"/>
        <v>SOCIAL SECURITY TAXES</v>
      </c>
    </row>
    <row r="1958" spans="5:8" x14ac:dyDescent="0.25">
      <c r="E1958" s="1" t="str">
        <f>""</f>
        <v/>
      </c>
      <c r="F1958" s="1" t="str">
        <f>""</f>
        <v/>
      </c>
      <c r="H1958" s="1" t="str">
        <f t="shared" si="36"/>
        <v>SOCIAL SECURITY TAXES</v>
      </c>
    </row>
    <row r="1959" spans="5:8" x14ac:dyDescent="0.25">
      <c r="E1959" s="1" t="str">
        <f>""</f>
        <v/>
      </c>
      <c r="F1959" s="1" t="str">
        <f>""</f>
        <v/>
      </c>
      <c r="H1959" s="1" t="str">
        <f t="shared" si="36"/>
        <v>SOCIAL SECURITY TAXES</v>
      </c>
    </row>
    <row r="1960" spans="5:8" x14ac:dyDescent="0.25">
      <c r="E1960" s="1" t="str">
        <f>""</f>
        <v/>
      </c>
      <c r="F1960" s="1" t="str">
        <f>""</f>
        <v/>
      </c>
      <c r="H1960" s="1" t="str">
        <f t="shared" si="36"/>
        <v>SOCIAL SECURITY TAXES</v>
      </c>
    </row>
    <row r="1961" spans="5:8" x14ac:dyDescent="0.25">
      <c r="E1961" s="1" t="str">
        <f>""</f>
        <v/>
      </c>
      <c r="F1961" s="1" t="str">
        <f>""</f>
        <v/>
      </c>
      <c r="H1961" s="1" t="str">
        <f t="shared" si="36"/>
        <v>SOCIAL SECURITY TAXES</v>
      </c>
    </row>
    <row r="1962" spans="5:8" x14ac:dyDescent="0.25">
      <c r="E1962" s="1" t="str">
        <f>""</f>
        <v/>
      </c>
      <c r="F1962" s="1" t="str">
        <f>""</f>
        <v/>
      </c>
      <c r="H1962" s="1" t="str">
        <f t="shared" si="36"/>
        <v>SOCIAL SECURITY TAXES</v>
      </c>
    </row>
    <row r="1963" spans="5:8" x14ac:dyDescent="0.25">
      <c r="E1963" s="1" t="str">
        <f>""</f>
        <v/>
      </c>
      <c r="F1963" s="1" t="str">
        <f>""</f>
        <v/>
      </c>
      <c r="H1963" s="1" t="str">
        <f t="shared" si="36"/>
        <v>SOCIAL SECURITY TAXES</v>
      </c>
    </row>
    <row r="1964" spans="5:8" x14ac:dyDescent="0.25">
      <c r="E1964" s="1" t="str">
        <f>""</f>
        <v/>
      </c>
      <c r="F1964" s="1" t="str">
        <f>""</f>
        <v/>
      </c>
      <c r="H1964" s="1" t="str">
        <f t="shared" si="36"/>
        <v>SOCIAL SECURITY TAXES</v>
      </c>
    </row>
    <row r="1965" spans="5:8" x14ac:dyDescent="0.25">
      <c r="E1965" s="1" t="str">
        <f>""</f>
        <v/>
      </c>
      <c r="F1965" s="1" t="str">
        <f>""</f>
        <v/>
      </c>
      <c r="H1965" s="1" t="str">
        <f t="shared" si="36"/>
        <v>SOCIAL SECURITY TAXES</v>
      </c>
    </row>
    <row r="1966" spans="5:8" x14ac:dyDescent="0.25">
      <c r="E1966" s="1" t="str">
        <f>""</f>
        <v/>
      </c>
      <c r="F1966" s="1" t="str">
        <f>""</f>
        <v/>
      </c>
      <c r="H1966" s="1" t="str">
        <f t="shared" si="36"/>
        <v>SOCIAL SECURITY TAXES</v>
      </c>
    </row>
    <row r="1967" spans="5:8" x14ac:dyDescent="0.25">
      <c r="E1967" s="1" t="str">
        <f>""</f>
        <v/>
      </c>
      <c r="F1967" s="1" t="str">
        <f>""</f>
        <v/>
      </c>
      <c r="H1967" s="1" t="str">
        <f t="shared" si="36"/>
        <v>SOCIAL SECURITY TAXES</v>
      </c>
    </row>
    <row r="1968" spans="5:8" x14ac:dyDescent="0.25">
      <c r="E1968" s="1" t="str">
        <f>""</f>
        <v/>
      </c>
      <c r="F1968" s="1" t="str">
        <f>""</f>
        <v/>
      </c>
      <c r="H1968" s="1" t="str">
        <f t="shared" si="36"/>
        <v>SOCIAL SECURITY TAXES</v>
      </c>
    </row>
    <row r="1969" spans="5:8" x14ac:dyDescent="0.25">
      <c r="E1969" s="1" t="str">
        <f>""</f>
        <v/>
      </c>
      <c r="F1969" s="1" t="str">
        <f>""</f>
        <v/>
      </c>
      <c r="H1969" s="1" t="str">
        <f t="shared" si="36"/>
        <v>SOCIAL SECURITY TAXES</v>
      </c>
    </row>
    <row r="1970" spans="5:8" x14ac:dyDescent="0.25">
      <c r="E1970" s="1" t="str">
        <f>""</f>
        <v/>
      </c>
      <c r="F1970" s="1" t="str">
        <f>""</f>
        <v/>
      </c>
      <c r="H1970" s="1" t="str">
        <f t="shared" si="36"/>
        <v>SOCIAL SECURITY TAXES</v>
      </c>
    </row>
    <row r="1971" spans="5:8" x14ac:dyDescent="0.25">
      <c r="E1971" s="1" t="str">
        <f>""</f>
        <v/>
      </c>
      <c r="F1971" s="1" t="str">
        <f>""</f>
        <v/>
      </c>
      <c r="H1971" s="1" t="str">
        <f t="shared" si="36"/>
        <v>SOCIAL SECURITY TAXES</v>
      </c>
    </row>
    <row r="1972" spans="5:8" x14ac:dyDescent="0.25">
      <c r="E1972" s="1" t="str">
        <f>""</f>
        <v/>
      </c>
      <c r="F1972" s="1" t="str">
        <f>""</f>
        <v/>
      </c>
      <c r="H1972" s="1" t="str">
        <f t="shared" si="36"/>
        <v>SOCIAL SECURITY TAXES</v>
      </c>
    </row>
    <row r="1973" spans="5:8" x14ac:dyDescent="0.25">
      <c r="E1973" s="1" t="str">
        <f>""</f>
        <v/>
      </c>
      <c r="F1973" s="1" t="str">
        <f>""</f>
        <v/>
      </c>
      <c r="H1973" s="1" t="str">
        <f t="shared" si="36"/>
        <v>SOCIAL SECURITY TAXES</v>
      </c>
    </row>
    <row r="1974" spans="5:8" x14ac:dyDescent="0.25">
      <c r="E1974" s="1" t="str">
        <f>""</f>
        <v/>
      </c>
      <c r="F1974" s="1" t="str">
        <f>""</f>
        <v/>
      </c>
      <c r="H1974" s="1" t="str">
        <f t="shared" si="36"/>
        <v>SOCIAL SECURITY TAXES</v>
      </c>
    </row>
    <row r="1975" spans="5:8" x14ac:dyDescent="0.25">
      <c r="E1975" s="1" t="str">
        <f>""</f>
        <v/>
      </c>
      <c r="F1975" s="1" t="str">
        <f>""</f>
        <v/>
      </c>
      <c r="H1975" s="1" t="str">
        <f t="shared" si="36"/>
        <v>SOCIAL SECURITY TAXES</v>
      </c>
    </row>
    <row r="1976" spans="5:8" x14ac:dyDescent="0.25">
      <c r="E1976" s="1" t="str">
        <f>""</f>
        <v/>
      </c>
      <c r="F1976" s="1" t="str">
        <f>""</f>
        <v/>
      </c>
      <c r="H1976" s="1" t="str">
        <f t="shared" ref="H1976:H1999" si="37">"SOCIAL SECURITY TAXES"</f>
        <v>SOCIAL SECURITY TAXES</v>
      </c>
    </row>
    <row r="1977" spans="5:8" x14ac:dyDescent="0.25">
      <c r="E1977" s="1" t="str">
        <f>""</f>
        <v/>
      </c>
      <c r="F1977" s="1" t="str">
        <f>""</f>
        <v/>
      </c>
      <c r="H1977" s="1" t="str">
        <f t="shared" si="37"/>
        <v>SOCIAL SECURITY TAXES</v>
      </c>
    </row>
    <row r="1978" spans="5:8" x14ac:dyDescent="0.25">
      <c r="E1978" s="1" t="str">
        <f>""</f>
        <v/>
      </c>
      <c r="F1978" s="1" t="str">
        <f>""</f>
        <v/>
      </c>
      <c r="H1978" s="1" t="str">
        <f t="shared" si="37"/>
        <v>SOCIAL SECURITY TAXES</v>
      </c>
    </row>
    <row r="1979" spans="5:8" x14ac:dyDescent="0.25">
      <c r="E1979" s="1" t="str">
        <f>""</f>
        <v/>
      </c>
      <c r="F1979" s="1" t="str">
        <f>""</f>
        <v/>
      </c>
      <c r="H1979" s="1" t="str">
        <f t="shared" si="37"/>
        <v>SOCIAL SECURITY TAXES</v>
      </c>
    </row>
    <row r="1980" spans="5:8" x14ac:dyDescent="0.25">
      <c r="E1980" s="1" t="str">
        <f>""</f>
        <v/>
      </c>
      <c r="F1980" s="1" t="str">
        <f>""</f>
        <v/>
      </c>
      <c r="H1980" s="1" t="str">
        <f t="shared" si="37"/>
        <v>SOCIAL SECURITY TAXES</v>
      </c>
    </row>
    <row r="1981" spans="5:8" x14ac:dyDescent="0.25">
      <c r="E1981" s="1" t="str">
        <f>""</f>
        <v/>
      </c>
      <c r="F1981" s="1" t="str">
        <f>""</f>
        <v/>
      </c>
      <c r="H1981" s="1" t="str">
        <f t="shared" si="37"/>
        <v>SOCIAL SECURITY TAXES</v>
      </c>
    </row>
    <row r="1982" spans="5:8" x14ac:dyDescent="0.25">
      <c r="E1982" s="1" t="str">
        <f>""</f>
        <v/>
      </c>
      <c r="F1982" s="1" t="str">
        <f>""</f>
        <v/>
      </c>
      <c r="H1982" s="1" t="str">
        <f t="shared" si="37"/>
        <v>SOCIAL SECURITY TAXES</v>
      </c>
    </row>
    <row r="1983" spans="5:8" x14ac:dyDescent="0.25">
      <c r="E1983" s="1" t="str">
        <f>""</f>
        <v/>
      </c>
      <c r="F1983" s="1" t="str">
        <f>""</f>
        <v/>
      </c>
      <c r="H1983" s="1" t="str">
        <f t="shared" si="37"/>
        <v>SOCIAL SECURITY TAXES</v>
      </c>
    </row>
    <row r="1984" spans="5:8" x14ac:dyDescent="0.25">
      <c r="E1984" s="1" t="str">
        <f>""</f>
        <v/>
      </c>
      <c r="F1984" s="1" t="str">
        <f>""</f>
        <v/>
      </c>
      <c r="H1984" s="1" t="str">
        <f t="shared" si="37"/>
        <v>SOCIAL SECURITY TAXES</v>
      </c>
    </row>
    <row r="1985" spans="5:8" x14ac:dyDescent="0.25">
      <c r="E1985" s="1" t="str">
        <f>""</f>
        <v/>
      </c>
      <c r="F1985" s="1" t="str">
        <f>""</f>
        <v/>
      </c>
      <c r="H1985" s="1" t="str">
        <f t="shared" si="37"/>
        <v>SOCIAL SECURITY TAXES</v>
      </c>
    </row>
    <row r="1986" spans="5:8" x14ac:dyDescent="0.25">
      <c r="E1986" s="1" t="str">
        <f>""</f>
        <v/>
      </c>
      <c r="F1986" s="1" t="str">
        <f>""</f>
        <v/>
      </c>
      <c r="H1986" s="1" t="str">
        <f t="shared" si="37"/>
        <v>SOCIAL SECURITY TAXES</v>
      </c>
    </row>
    <row r="1987" spans="5:8" x14ac:dyDescent="0.25">
      <c r="E1987" s="1" t="str">
        <f>""</f>
        <v/>
      </c>
      <c r="F1987" s="1" t="str">
        <f>""</f>
        <v/>
      </c>
      <c r="H1987" s="1" t="str">
        <f t="shared" si="37"/>
        <v>SOCIAL SECURITY TAXES</v>
      </c>
    </row>
    <row r="1988" spans="5:8" x14ac:dyDescent="0.25">
      <c r="E1988" s="1" t="str">
        <f>""</f>
        <v/>
      </c>
      <c r="F1988" s="1" t="str">
        <f>""</f>
        <v/>
      </c>
      <c r="H1988" s="1" t="str">
        <f t="shared" si="37"/>
        <v>SOCIAL SECURITY TAXES</v>
      </c>
    </row>
    <row r="1989" spans="5:8" x14ac:dyDescent="0.25">
      <c r="E1989" s="1" t="str">
        <f>""</f>
        <v/>
      </c>
      <c r="F1989" s="1" t="str">
        <f>""</f>
        <v/>
      </c>
      <c r="H1989" s="1" t="str">
        <f t="shared" si="37"/>
        <v>SOCIAL SECURITY TAXES</v>
      </c>
    </row>
    <row r="1990" spans="5:8" x14ac:dyDescent="0.25">
      <c r="E1990" s="1" t="str">
        <f>""</f>
        <v/>
      </c>
      <c r="F1990" s="1" t="str">
        <f>""</f>
        <v/>
      </c>
      <c r="H1990" s="1" t="str">
        <f t="shared" si="37"/>
        <v>SOCIAL SECURITY TAXES</v>
      </c>
    </row>
    <row r="1991" spans="5:8" x14ac:dyDescent="0.25">
      <c r="E1991" s="1" t="str">
        <f>""</f>
        <v/>
      </c>
      <c r="F1991" s="1" t="str">
        <f>""</f>
        <v/>
      </c>
      <c r="H1991" s="1" t="str">
        <f t="shared" si="37"/>
        <v>SOCIAL SECURITY TAXES</v>
      </c>
    </row>
    <row r="1992" spans="5:8" x14ac:dyDescent="0.25">
      <c r="E1992" s="1" t="str">
        <f>""</f>
        <v/>
      </c>
      <c r="F1992" s="1" t="str">
        <f>""</f>
        <v/>
      </c>
      <c r="H1992" s="1" t="str">
        <f t="shared" si="37"/>
        <v>SOCIAL SECURITY TAXES</v>
      </c>
    </row>
    <row r="1993" spans="5:8" x14ac:dyDescent="0.25">
      <c r="E1993" s="1" t="str">
        <f>""</f>
        <v/>
      </c>
      <c r="F1993" s="1" t="str">
        <f>""</f>
        <v/>
      </c>
      <c r="H1993" s="1" t="str">
        <f t="shared" si="37"/>
        <v>SOCIAL SECURITY TAXES</v>
      </c>
    </row>
    <row r="1994" spans="5:8" x14ac:dyDescent="0.25">
      <c r="E1994" s="1" t="str">
        <f>""</f>
        <v/>
      </c>
      <c r="F1994" s="1" t="str">
        <f>""</f>
        <v/>
      </c>
      <c r="H1994" s="1" t="str">
        <f t="shared" si="37"/>
        <v>SOCIAL SECURITY TAXES</v>
      </c>
    </row>
    <row r="1995" spans="5:8" x14ac:dyDescent="0.25">
      <c r="E1995" s="1" t="str">
        <f>""</f>
        <v/>
      </c>
      <c r="F1995" s="1" t="str">
        <f>""</f>
        <v/>
      </c>
      <c r="H1995" s="1" t="str">
        <f t="shared" si="37"/>
        <v>SOCIAL SECURITY TAXES</v>
      </c>
    </row>
    <row r="1996" spans="5:8" x14ac:dyDescent="0.25">
      <c r="E1996" s="1" t="str">
        <f>"T3 201907090325"</f>
        <v>T3 201907090325</v>
      </c>
      <c r="F1996" s="1" t="str">
        <f>"SOCIAL SECURITY TAXES"</f>
        <v>SOCIAL SECURITY TAXES</v>
      </c>
      <c r="G1996" s="3">
        <v>4009.5</v>
      </c>
      <c r="H1996" s="1" t="str">
        <f t="shared" si="37"/>
        <v>SOCIAL SECURITY TAXES</v>
      </c>
    </row>
    <row r="1997" spans="5:8" x14ac:dyDescent="0.25">
      <c r="E1997" s="1" t="str">
        <f>""</f>
        <v/>
      </c>
      <c r="F1997" s="1" t="str">
        <f>""</f>
        <v/>
      </c>
      <c r="H1997" s="1" t="str">
        <f t="shared" si="37"/>
        <v>SOCIAL SECURITY TAXES</v>
      </c>
    </row>
    <row r="1998" spans="5:8" x14ac:dyDescent="0.25">
      <c r="E1998" s="1" t="str">
        <f>"T3 201907090326"</f>
        <v>T3 201907090326</v>
      </c>
      <c r="F1998" s="1" t="str">
        <f>"SOCIAL SECURITY TAXES"</f>
        <v>SOCIAL SECURITY TAXES</v>
      </c>
      <c r="G1998" s="3">
        <v>4961.4399999999996</v>
      </c>
      <c r="H1998" s="1" t="str">
        <f t="shared" si="37"/>
        <v>SOCIAL SECURITY TAXES</v>
      </c>
    </row>
    <row r="1999" spans="5:8" x14ac:dyDescent="0.25">
      <c r="E1999" s="1" t="str">
        <f>""</f>
        <v/>
      </c>
      <c r="F1999" s="1" t="str">
        <f>""</f>
        <v/>
      </c>
      <c r="H1999" s="1" t="str">
        <f t="shared" si="37"/>
        <v>SOCIAL SECURITY TAXES</v>
      </c>
    </row>
    <row r="2000" spans="5:8" x14ac:dyDescent="0.25">
      <c r="E2000" s="1" t="str">
        <f>"T4 201907090324"</f>
        <v>T4 201907090324</v>
      </c>
      <c r="F2000" s="1" t="str">
        <f>"MEDICARE TAXES"</f>
        <v>MEDICARE TAXES</v>
      </c>
      <c r="G2000" s="3">
        <v>24868.58</v>
      </c>
      <c r="H2000" s="1" t="str">
        <f t="shared" ref="H2000:H2031" si="38">"MEDICARE TAXES"</f>
        <v>MEDICARE TAXES</v>
      </c>
    </row>
    <row r="2001" spans="5:8" x14ac:dyDescent="0.25">
      <c r="E2001" s="1" t="str">
        <f>""</f>
        <v/>
      </c>
      <c r="F2001" s="1" t="str">
        <f>""</f>
        <v/>
      </c>
      <c r="H2001" s="1" t="str">
        <f t="shared" si="38"/>
        <v>MEDICARE TAXES</v>
      </c>
    </row>
    <row r="2002" spans="5:8" x14ac:dyDescent="0.25">
      <c r="E2002" s="1" t="str">
        <f>""</f>
        <v/>
      </c>
      <c r="F2002" s="1" t="str">
        <f>""</f>
        <v/>
      </c>
      <c r="H2002" s="1" t="str">
        <f t="shared" si="38"/>
        <v>MEDICARE TAXES</v>
      </c>
    </row>
    <row r="2003" spans="5:8" x14ac:dyDescent="0.25">
      <c r="E2003" s="1" t="str">
        <f>""</f>
        <v/>
      </c>
      <c r="F2003" s="1" t="str">
        <f>""</f>
        <v/>
      </c>
      <c r="H2003" s="1" t="str">
        <f t="shared" si="38"/>
        <v>MEDICARE TAXES</v>
      </c>
    </row>
    <row r="2004" spans="5:8" x14ac:dyDescent="0.25">
      <c r="E2004" s="1" t="str">
        <f>""</f>
        <v/>
      </c>
      <c r="F2004" s="1" t="str">
        <f>""</f>
        <v/>
      </c>
      <c r="H2004" s="1" t="str">
        <f t="shared" si="38"/>
        <v>MEDICARE TAXES</v>
      </c>
    </row>
    <row r="2005" spans="5:8" x14ac:dyDescent="0.25">
      <c r="E2005" s="1" t="str">
        <f>""</f>
        <v/>
      </c>
      <c r="F2005" s="1" t="str">
        <f>""</f>
        <v/>
      </c>
      <c r="H2005" s="1" t="str">
        <f t="shared" si="38"/>
        <v>MEDICARE TAXES</v>
      </c>
    </row>
    <row r="2006" spans="5:8" x14ac:dyDescent="0.25">
      <c r="E2006" s="1" t="str">
        <f>""</f>
        <v/>
      </c>
      <c r="F2006" s="1" t="str">
        <f>""</f>
        <v/>
      </c>
      <c r="H2006" s="1" t="str">
        <f t="shared" si="38"/>
        <v>MEDICARE TAXES</v>
      </c>
    </row>
    <row r="2007" spans="5:8" x14ac:dyDescent="0.25">
      <c r="E2007" s="1" t="str">
        <f>""</f>
        <v/>
      </c>
      <c r="F2007" s="1" t="str">
        <f>""</f>
        <v/>
      </c>
      <c r="H2007" s="1" t="str">
        <f t="shared" si="38"/>
        <v>MEDICARE TAXES</v>
      </c>
    </row>
    <row r="2008" spans="5:8" x14ac:dyDescent="0.25">
      <c r="E2008" s="1" t="str">
        <f>""</f>
        <v/>
      </c>
      <c r="F2008" s="1" t="str">
        <f>""</f>
        <v/>
      </c>
      <c r="H2008" s="1" t="str">
        <f t="shared" si="38"/>
        <v>MEDICARE TAXES</v>
      </c>
    </row>
    <row r="2009" spans="5:8" x14ac:dyDescent="0.25">
      <c r="E2009" s="1" t="str">
        <f>""</f>
        <v/>
      </c>
      <c r="F2009" s="1" t="str">
        <f>""</f>
        <v/>
      </c>
      <c r="H2009" s="1" t="str">
        <f t="shared" si="38"/>
        <v>MEDICARE TAXES</v>
      </c>
    </row>
    <row r="2010" spans="5:8" x14ac:dyDescent="0.25">
      <c r="E2010" s="1" t="str">
        <f>""</f>
        <v/>
      </c>
      <c r="F2010" s="1" t="str">
        <f>""</f>
        <v/>
      </c>
      <c r="H2010" s="1" t="str">
        <f t="shared" si="38"/>
        <v>MEDICARE TAXES</v>
      </c>
    </row>
    <row r="2011" spans="5:8" x14ac:dyDescent="0.25">
      <c r="E2011" s="1" t="str">
        <f>""</f>
        <v/>
      </c>
      <c r="F2011" s="1" t="str">
        <f>""</f>
        <v/>
      </c>
      <c r="H2011" s="1" t="str">
        <f t="shared" si="38"/>
        <v>MEDICARE TAXES</v>
      </c>
    </row>
    <row r="2012" spans="5:8" x14ac:dyDescent="0.25">
      <c r="E2012" s="1" t="str">
        <f>""</f>
        <v/>
      </c>
      <c r="F2012" s="1" t="str">
        <f>""</f>
        <v/>
      </c>
      <c r="H2012" s="1" t="str">
        <f t="shared" si="38"/>
        <v>MEDICARE TAXES</v>
      </c>
    </row>
    <row r="2013" spans="5:8" x14ac:dyDescent="0.25">
      <c r="E2013" s="1" t="str">
        <f>""</f>
        <v/>
      </c>
      <c r="F2013" s="1" t="str">
        <f>""</f>
        <v/>
      </c>
      <c r="H2013" s="1" t="str">
        <f t="shared" si="38"/>
        <v>MEDICARE TAXES</v>
      </c>
    </row>
    <row r="2014" spans="5:8" x14ac:dyDescent="0.25">
      <c r="E2014" s="1" t="str">
        <f>""</f>
        <v/>
      </c>
      <c r="F2014" s="1" t="str">
        <f>""</f>
        <v/>
      </c>
      <c r="H2014" s="1" t="str">
        <f t="shared" si="38"/>
        <v>MEDICARE TAXES</v>
      </c>
    </row>
    <row r="2015" spans="5:8" x14ac:dyDescent="0.25">
      <c r="E2015" s="1" t="str">
        <f>""</f>
        <v/>
      </c>
      <c r="F2015" s="1" t="str">
        <f>""</f>
        <v/>
      </c>
      <c r="H2015" s="1" t="str">
        <f t="shared" si="38"/>
        <v>MEDICARE TAXES</v>
      </c>
    </row>
    <row r="2016" spans="5:8" x14ac:dyDescent="0.25">
      <c r="E2016" s="1" t="str">
        <f>""</f>
        <v/>
      </c>
      <c r="F2016" s="1" t="str">
        <f>""</f>
        <v/>
      </c>
      <c r="H2016" s="1" t="str">
        <f t="shared" si="38"/>
        <v>MEDICARE TAXES</v>
      </c>
    </row>
    <row r="2017" spans="5:8" x14ac:dyDescent="0.25">
      <c r="E2017" s="1" t="str">
        <f>""</f>
        <v/>
      </c>
      <c r="F2017" s="1" t="str">
        <f>""</f>
        <v/>
      </c>
      <c r="H2017" s="1" t="str">
        <f t="shared" si="38"/>
        <v>MEDICARE TAXES</v>
      </c>
    </row>
    <row r="2018" spans="5:8" x14ac:dyDescent="0.25">
      <c r="E2018" s="1" t="str">
        <f>""</f>
        <v/>
      </c>
      <c r="F2018" s="1" t="str">
        <f>""</f>
        <v/>
      </c>
      <c r="H2018" s="1" t="str">
        <f t="shared" si="38"/>
        <v>MEDICARE TAXES</v>
      </c>
    </row>
    <row r="2019" spans="5:8" x14ac:dyDescent="0.25">
      <c r="E2019" s="1" t="str">
        <f>""</f>
        <v/>
      </c>
      <c r="F2019" s="1" t="str">
        <f>""</f>
        <v/>
      </c>
      <c r="H2019" s="1" t="str">
        <f t="shared" si="38"/>
        <v>MEDICARE TAXES</v>
      </c>
    </row>
    <row r="2020" spans="5:8" x14ac:dyDescent="0.25">
      <c r="E2020" s="1" t="str">
        <f>""</f>
        <v/>
      </c>
      <c r="F2020" s="1" t="str">
        <f>""</f>
        <v/>
      </c>
      <c r="H2020" s="1" t="str">
        <f t="shared" si="38"/>
        <v>MEDICARE TAXES</v>
      </c>
    </row>
    <row r="2021" spans="5:8" x14ac:dyDescent="0.25">
      <c r="E2021" s="1" t="str">
        <f>""</f>
        <v/>
      </c>
      <c r="F2021" s="1" t="str">
        <f>""</f>
        <v/>
      </c>
      <c r="H2021" s="1" t="str">
        <f t="shared" si="38"/>
        <v>MEDICARE TAXES</v>
      </c>
    </row>
    <row r="2022" spans="5:8" x14ac:dyDescent="0.25">
      <c r="E2022" s="1" t="str">
        <f>""</f>
        <v/>
      </c>
      <c r="F2022" s="1" t="str">
        <f>""</f>
        <v/>
      </c>
      <c r="H2022" s="1" t="str">
        <f t="shared" si="38"/>
        <v>MEDICARE TAXES</v>
      </c>
    </row>
    <row r="2023" spans="5:8" x14ac:dyDescent="0.25">
      <c r="E2023" s="1" t="str">
        <f>""</f>
        <v/>
      </c>
      <c r="F2023" s="1" t="str">
        <f>""</f>
        <v/>
      </c>
      <c r="H2023" s="1" t="str">
        <f t="shared" si="38"/>
        <v>MEDICARE TAXES</v>
      </c>
    </row>
    <row r="2024" spans="5:8" x14ac:dyDescent="0.25">
      <c r="E2024" s="1" t="str">
        <f>""</f>
        <v/>
      </c>
      <c r="F2024" s="1" t="str">
        <f>""</f>
        <v/>
      </c>
      <c r="H2024" s="1" t="str">
        <f t="shared" si="38"/>
        <v>MEDICARE TAXES</v>
      </c>
    </row>
    <row r="2025" spans="5:8" x14ac:dyDescent="0.25">
      <c r="E2025" s="1" t="str">
        <f>""</f>
        <v/>
      </c>
      <c r="F2025" s="1" t="str">
        <f>""</f>
        <v/>
      </c>
      <c r="H2025" s="1" t="str">
        <f t="shared" si="38"/>
        <v>MEDICARE TAXES</v>
      </c>
    </row>
    <row r="2026" spans="5:8" x14ac:dyDescent="0.25">
      <c r="E2026" s="1" t="str">
        <f>""</f>
        <v/>
      </c>
      <c r="F2026" s="1" t="str">
        <f>""</f>
        <v/>
      </c>
      <c r="H2026" s="1" t="str">
        <f t="shared" si="38"/>
        <v>MEDICARE TAXES</v>
      </c>
    </row>
    <row r="2027" spans="5:8" x14ac:dyDescent="0.25">
      <c r="E2027" s="1" t="str">
        <f>""</f>
        <v/>
      </c>
      <c r="F2027" s="1" t="str">
        <f>""</f>
        <v/>
      </c>
      <c r="H2027" s="1" t="str">
        <f t="shared" si="38"/>
        <v>MEDICARE TAXES</v>
      </c>
    </row>
    <row r="2028" spans="5:8" x14ac:dyDescent="0.25">
      <c r="E2028" s="1" t="str">
        <f>""</f>
        <v/>
      </c>
      <c r="F2028" s="1" t="str">
        <f>""</f>
        <v/>
      </c>
      <c r="H2028" s="1" t="str">
        <f t="shared" si="38"/>
        <v>MEDICARE TAXES</v>
      </c>
    </row>
    <row r="2029" spans="5:8" x14ac:dyDescent="0.25">
      <c r="E2029" s="1" t="str">
        <f>""</f>
        <v/>
      </c>
      <c r="F2029" s="1" t="str">
        <f>""</f>
        <v/>
      </c>
      <c r="H2029" s="1" t="str">
        <f t="shared" si="38"/>
        <v>MEDICARE TAXES</v>
      </c>
    </row>
    <row r="2030" spans="5:8" x14ac:dyDescent="0.25">
      <c r="E2030" s="1" t="str">
        <f>""</f>
        <v/>
      </c>
      <c r="F2030" s="1" t="str">
        <f>""</f>
        <v/>
      </c>
      <c r="H2030" s="1" t="str">
        <f t="shared" si="38"/>
        <v>MEDICARE TAXES</v>
      </c>
    </row>
    <row r="2031" spans="5:8" x14ac:dyDescent="0.25">
      <c r="E2031" s="1" t="str">
        <f>""</f>
        <v/>
      </c>
      <c r="F2031" s="1" t="str">
        <f>""</f>
        <v/>
      </c>
      <c r="H2031" s="1" t="str">
        <f t="shared" si="38"/>
        <v>MEDICARE TAXES</v>
      </c>
    </row>
    <row r="2032" spans="5:8" x14ac:dyDescent="0.25">
      <c r="E2032" s="1" t="str">
        <f>""</f>
        <v/>
      </c>
      <c r="F2032" s="1" t="str">
        <f>""</f>
        <v/>
      </c>
      <c r="H2032" s="1" t="str">
        <f t="shared" ref="H2032:H2055" si="39">"MEDICARE TAXES"</f>
        <v>MEDICARE TAXES</v>
      </c>
    </row>
    <row r="2033" spans="5:8" x14ac:dyDescent="0.25">
      <c r="E2033" s="1" t="str">
        <f>""</f>
        <v/>
      </c>
      <c r="F2033" s="1" t="str">
        <f>""</f>
        <v/>
      </c>
      <c r="H2033" s="1" t="str">
        <f t="shared" si="39"/>
        <v>MEDICARE TAXES</v>
      </c>
    </row>
    <row r="2034" spans="5:8" x14ac:dyDescent="0.25">
      <c r="E2034" s="1" t="str">
        <f>""</f>
        <v/>
      </c>
      <c r="F2034" s="1" t="str">
        <f>""</f>
        <v/>
      </c>
      <c r="H2034" s="1" t="str">
        <f t="shared" si="39"/>
        <v>MEDICARE TAXES</v>
      </c>
    </row>
    <row r="2035" spans="5:8" x14ac:dyDescent="0.25">
      <c r="E2035" s="1" t="str">
        <f>""</f>
        <v/>
      </c>
      <c r="F2035" s="1" t="str">
        <f>""</f>
        <v/>
      </c>
      <c r="H2035" s="1" t="str">
        <f t="shared" si="39"/>
        <v>MEDICARE TAXES</v>
      </c>
    </row>
    <row r="2036" spans="5:8" x14ac:dyDescent="0.25">
      <c r="E2036" s="1" t="str">
        <f>""</f>
        <v/>
      </c>
      <c r="F2036" s="1" t="str">
        <f>""</f>
        <v/>
      </c>
      <c r="H2036" s="1" t="str">
        <f t="shared" si="39"/>
        <v>MEDICARE TAXES</v>
      </c>
    </row>
    <row r="2037" spans="5:8" x14ac:dyDescent="0.25">
      <c r="E2037" s="1" t="str">
        <f>""</f>
        <v/>
      </c>
      <c r="F2037" s="1" t="str">
        <f>""</f>
        <v/>
      </c>
      <c r="H2037" s="1" t="str">
        <f t="shared" si="39"/>
        <v>MEDICARE TAXES</v>
      </c>
    </row>
    <row r="2038" spans="5:8" x14ac:dyDescent="0.25">
      <c r="E2038" s="1" t="str">
        <f>""</f>
        <v/>
      </c>
      <c r="F2038" s="1" t="str">
        <f>""</f>
        <v/>
      </c>
      <c r="H2038" s="1" t="str">
        <f t="shared" si="39"/>
        <v>MEDICARE TAXES</v>
      </c>
    </row>
    <row r="2039" spans="5:8" x14ac:dyDescent="0.25">
      <c r="E2039" s="1" t="str">
        <f>""</f>
        <v/>
      </c>
      <c r="F2039" s="1" t="str">
        <f>""</f>
        <v/>
      </c>
      <c r="H2039" s="1" t="str">
        <f t="shared" si="39"/>
        <v>MEDICARE TAXES</v>
      </c>
    </row>
    <row r="2040" spans="5:8" x14ac:dyDescent="0.25">
      <c r="E2040" s="1" t="str">
        <f>""</f>
        <v/>
      </c>
      <c r="F2040" s="1" t="str">
        <f>""</f>
        <v/>
      </c>
      <c r="H2040" s="1" t="str">
        <f t="shared" si="39"/>
        <v>MEDICARE TAXES</v>
      </c>
    </row>
    <row r="2041" spans="5:8" x14ac:dyDescent="0.25">
      <c r="E2041" s="1" t="str">
        <f>""</f>
        <v/>
      </c>
      <c r="F2041" s="1" t="str">
        <f>""</f>
        <v/>
      </c>
      <c r="H2041" s="1" t="str">
        <f t="shared" si="39"/>
        <v>MEDICARE TAXES</v>
      </c>
    </row>
    <row r="2042" spans="5:8" x14ac:dyDescent="0.25">
      <c r="E2042" s="1" t="str">
        <f>""</f>
        <v/>
      </c>
      <c r="F2042" s="1" t="str">
        <f>""</f>
        <v/>
      </c>
      <c r="H2042" s="1" t="str">
        <f t="shared" si="39"/>
        <v>MEDICARE TAXES</v>
      </c>
    </row>
    <row r="2043" spans="5:8" x14ac:dyDescent="0.25">
      <c r="E2043" s="1" t="str">
        <f>""</f>
        <v/>
      </c>
      <c r="F2043" s="1" t="str">
        <f>""</f>
        <v/>
      </c>
      <c r="H2043" s="1" t="str">
        <f t="shared" si="39"/>
        <v>MEDICARE TAXES</v>
      </c>
    </row>
    <row r="2044" spans="5:8" x14ac:dyDescent="0.25">
      <c r="E2044" s="1" t="str">
        <f>""</f>
        <v/>
      </c>
      <c r="F2044" s="1" t="str">
        <f>""</f>
        <v/>
      </c>
      <c r="H2044" s="1" t="str">
        <f t="shared" si="39"/>
        <v>MEDICARE TAXES</v>
      </c>
    </row>
    <row r="2045" spans="5:8" x14ac:dyDescent="0.25">
      <c r="E2045" s="1" t="str">
        <f>""</f>
        <v/>
      </c>
      <c r="F2045" s="1" t="str">
        <f>""</f>
        <v/>
      </c>
      <c r="H2045" s="1" t="str">
        <f t="shared" si="39"/>
        <v>MEDICARE TAXES</v>
      </c>
    </row>
    <row r="2046" spans="5:8" x14ac:dyDescent="0.25">
      <c r="E2046" s="1" t="str">
        <f>""</f>
        <v/>
      </c>
      <c r="F2046" s="1" t="str">
        <f>""</f>
        <v/>
      </c>
      <c r="H2046" s="1" t="str">
        <f t="shared" si="39"/>
        <v>MEDICARE TAXES</v>
      </c>
    </row>
    <row r="2047" spans="5:8" x14ac:dyDescent="0.25">
      <c r="E2047" s="1" t="str">
        <f>""</f>
        <v/>
      </c>
      <c r="F2047" s="1" t="str">
        <f>""</f>
        <v/>
      </c>
      <c r="H2047" s="1" t="str">
        <f t="shared" si="39"/>
        <v>MEDICARE TAXES</v>
      </c>
    </row>
    <row r="2048" spans="5:8" x14ac:dyDescent="0.25">
      <c r="E2048" s="1" t="str">
        <f>""</f>
        <v/>
      </c>
      <c r="F2048" s="1" t="str">
        <f>""</f>
        <v/>
      </c>
      <c r="H2048" s="1" t="str">
        <f t="shared" si="39"/>
        <v>MEDICARE TAXES</v>
      </c>
    </row>
    <row r="2049" spans="1:8" x14ac:dyDescent="0.25">
      <c r="E2049" s="1" t="str">
        <f>""</f>
        <v/>
      </c>
      <c r="F2049" s="1" t="str">
        <f>""</f>
        <v/>
      </c>
      <c r="H2049" s="1" t="str">
        <f t="shared" si="39"/>
        <v>MEDICARE TAXES</v>
      </c>
    </row>
    <row r="2050" spans="1:8" x14ac:dyDescent="0.25">
      <c r="E2050" s="1" t="str">
        <f>""</f>
        <v/>
      </c>
      <c r="F2050" s="1" t="str">
        <f>""</f>
        <v/>
      </c>
      <c r="H2050" s="1" t="str">
        <f t="shared" si="39"/>
        <v>MEDICARE TAXES</v>
      </c>
    </row>
    <row r="2051" spans="1:8" x14ac:dyDescent="0.25">
      <c r="E2051" s="1" t="str">
        <f>""</f>
        <v/>
      </c>
      <c r="F2051" s="1" t="str">
        <f>""</f>
        <v/>
      </c>
      <c r="H2051" s="1" t="str">
        <f t="shared" si="39"/>
        <v>MEDICARE TAXES</v>
      </c>
    </row>
    <row r="2052" spans="1:8" x14ac:dyDescent="0.25">
      <c r="E2052" s="1" t="str">
        <f>"T4 201907090325"</f>
        <v>T4 201907090325</v>
      </c>
      <c r="F2052" s="1" t="str">
        <f>"MEDICARE TAXES"</f>
        <v>MEDICARE TAXES</v>
      </c>
      <c r="G2052" s="3">
        <v>937.72</v>
      </c>
      <c r="H2052" s="1" t="str">
        <f t="shared" si="39"/>
        <v>MEDICARE TAXES</v>
      </c>
    </row>
    <row r="2053" spans="1:8" x14ac:dyDescent="0.25">
      <c r="E2053" s="1" t="str">
        <f>""</f>
        <v/>
      </c>
      <c r="F2053" s="1" t="str">
        <f>""</f>
        <v/>
      </c>
      <c r="H2053" s="1" t="str">
        <f t="shared" si="39"/>
        <v>MEDICARE TAXES</v>
      </c>
    </row>
    <row r="2054" spans="1:8" x14ac:dyDescent="0.25">
      <c r="E2054" s="1" t="str">
        <f>"T4 201907090326"</f>
        <v>T4 201907090326</v>
      </c>
      <c r="F2054" s="1" t="str">
        <f>"MEDICARE TAXES"</f>
        <v>MEDICARE TAXES</v>
      </c>
      <c r="G2054" s="3">
        <v>1160.32</v>
      </c>
      <c r="H2054" s="1" t="str">
        <f t="shared" si="39"/>
        <v>MEDICARE TAXES</v>
      </c>
    </row>
    <row r="2055" spans="1:8" x14ac:dyDescent="0.25">
      <c r="E2055" s="1" t="str">
        <f>""</f>
        <v/>
      </c>
      <c r="F2055" s="1" t="str">
        <f>""</f>
        <v/>
      </c>
      <c r="H2055" s="1" t="str">
        <f t="shared" si="39"/>
        <v>MEDICARE TAXES</v>
      </c>
    </row>
    <row r="2056" spans="1:8" x14ac:dyDescent="0.25">
      <c r="A2056" s="1" t="s">
        <v>491</v>
      </c>
      <c r="B2056" s="1">
        <v>178</v>
      </c>
      <c r="C2056" s="3">
        <v>227614.34</v>
      </c>
      <c r="D2056" s="2">
        <v>43672</v>
      </c>
      <c r="E2056" s="1" t="str">
        <f>"T1 201907230648"</f>
        <v>T1 201907230648</v>
      </c>
      <c r="F2056" s="1" t="str">
        <f>"FEDERAL WITHHOLDING"</f>
        <v>FEDERAL WITHHOLDING</v>
      </c>
      <c r="G2056" s="3">
        <v>75895.86</v>
      </c>
      <c r="H2056" s="1" t="str">
        <f>"FEDERAL WITHHOLDING"</f>
        <v>FEDERAL WITHHOLDING</v>
      </c>
    </row>
    <row r="2057" spans="1:8" x14ac:dyDescent="0.25">
      <c r="E2057" s="1" t="str">
        <f>"T1 201907230650"</f>
        <v>T1 201907230650</v>
      </c>
      <c r="F2057" s="1" t="str">
        <f>"FEDERAL WITHHOLDING"</f>
        <v>FEDERAL WITHHOLDING</v>
      </c>
      <c r="G2057" s="3">
        <v>2870.55</v>
      </c>
      <c r="H2057" s="1" t="str">
        <f>"FEDERAL WITHHOLDING"</f>
        <v>FEDERAL WITHHOLDING</v>
      </c>
    </row>
    <row r="2058" spans="1:8" x14ac:dyDescent="0.25">
      <c r="E2058" s="1" t="str">
        <f>"T1 201907230653"</f>
        <v>T1 201907230653</v>
      </c>
      <c r="F2058" s="1" t="str">
        <f>"FEDERAL WITHHOLDING"</f>
        <v>FEDERAL WITHHOLDING</v>
      </c>
      <c r="G2058" s="3">
        <v>3558.55</v>
      </c>
      <c r="H2058" s="1" t="str">
        <f>"FEDERAL WITHHOLDING"</f>
        <v>FEDERAL WITHHOLDING</v>
      </c>
    </row>
    <row r="2059" spans="1:8" x14ac:dyDescent="0.25">
      <c r="E2059" s="1" t="str">
        <f>"T3 201907230648"</f>
        <v>T3 201907230648</v>
      </c>
      <c r="F2059" s="1" t="str">
        <f>"SOCIAL SECURITY TAXES"</f>
        <v>SOCIAL SECURITY TAXES</v>
      </c>
      <c r="G2059" s="3">
        <v>108666.86</v>
      </c>
      <c r="H2059" s="1" t="str">
        <f t="shared" ref="H2059:H2090" si="40">"SOCIAL SECURITY TAXES"</f>
        <v>SOCIAL SECURITY TAXES</v>
      </c>
    </row>
    <row r="2060" spans="1:8" x14ac:dyDescent="0.25">
      <c r="E2060" s="1" t="str">
        <f>""</f>
        <v/>
      </c>
      <c r="F2060" s="1" t="str">
        <f>""</f>
        <v/>
      </c>
      <c r="H2060" s="1" t="str">
        <f t="shared" si="40"/>
        <v>SOCIAL SECURITY TAXES</v>
      </c>
    </row>
    <row r="2061" spans="1:8" x14ac:dyDescent="0.25">
      <c r="E2061" s="1" t="str">
        <f>""</f>
        <v/>
      </c>
      <c r="F2061" s="1" t="str">
        <f>""</f>
        <v/>
      </c>
      <c r="H2061" s="1" t="str">
        <f t="shared" si="40"/>
        <v>SOCIAL SECURITY TAXES</v>
      </c>
    </row>
    <row r="2062" spans="1:8" x14ac:dyDescent="0.25">
      <c r="E2062" s="1" t="str">
        <f>""</f>
        <v/>
      </c>
      <c r="F2062" s="1" t="str">
        <f>""</f>
        <v/>
      </c>
      <c r="H2062" s="1" t="str">
        <f t="shared" si="40"/>
        <v>SOCIAL SECURITY TAXES</v>
      </c>
    </row>
    <row r="2063" spans="1:8" x14ac:dyDescent="0.25">
      <c r="E2063" s="1" t="str">
        <f>""</f>
        <v/>
      </c>
      <c r="F2063" s="1" t="str">
        <f>""</f>
        <v/>
      </c>
      <c r="H2063" s="1" t="str">
        <f t="shared" si="40"/>
        <v>SOCIAL SECURITY TAXES</v>
      </c>
    </row>
    <row r="2064" spans="1:8" x14ac:dyDescent="0.25">
      <c r="E2064" s="1" t="str">
        <f>""</f>
        <v/>
      </c>
      <c r="F2064" s="1" t="str">
        <f>""</f>
        <v/>
      </c>
      <c r="H2064" s="1" t="str">
        <f t="shared" si="40"/>
        <v>SOCIAL SECURITY TAXES</v>
      </c>
    </row>
    <row r="2065" spans="5:8" x14ac:dyDescent="0.25">
      <c r="E2065" s="1" t="str">
        <f>""</f>
        <v/>
      </c>
      <c r="F2065" s="1" t="str">
        <f>""</f>
        <v/>
      </c>
      <c r="H2065" s="1" t="str">
        <f t="shared" si="40"/>
        <v>SOCIAL SECURITY TAXES</v>
      </c>
    </row>
    <row r="2066" spans="5:8" x14ac:dyDescent="0.25">
      <c r="E2066" s="1" t="str">
        <f>""</f>
        <v/>
      </c>
      <c r="F2066" s="1" t="str">
        <f>""</f>
        <v/>
      </c>
      <c r="H2066" s="1" t="str">
        <f t="shared" si="40"/>
        <v>SOCIAL SECURITY TAXES</v>
      </c>
    </row>
    <row r="2067" spans="5:8" x14ac:dyDescent="0.25">
      <c r="E2067" s="1" t="str">
        <f>""</f>
        <v/>
      </c>
      <c r="F2067" s="1" t="str">
        <f>""</f>
        <v/>
      </c>
      <c r="H2067" s="1" t="str">
        <f t="shared" si="40"/>
        <v>SOCIAL SECURITY TAXES</v>
      </c>
    </row>
    <row r="2068" spans="5:8" x14ac:dyDescent="0.25">
      <c r="E2068" s="1" t="str">
        <f>""</f>
        <v/>
      </c>
      <c r="F2068" s="1" t="str">
        <f>""</f>
        <v/>
      </c>
      <c r="H2068" s="1" t="str">
        <f t="shared" si="40"/>
        <v>SOCIAL SECURITY TAXES</v>
      </c>
    </row>
    <row r="2069" spans="5:8" x14ac:dyDescent="0.25">
      <c r="E2069" s="1" t="str">
        <f>""</f>
        <v/>
      </c>
      <c r="F2069" s="1" t="str">
        <f>""</f>
        <v/>
      </c>
      <c r="H2069" s="1" t="str">
        <f t="shared" si="40"/>
        <v>SOCIAL SECURITY TAXES</v>
      </c>
    </row>
    <row r="2070" spans="5:8" x14ac:dyDescent="0.25">
      <c r="E2070" s="1" t="str">
        <f>""</f>
        <v/>
      </c>
      <c r="F2070" s="1" t="str">
        <f>""</f>
        <v/>
      </c>
      <c r="H2070" s="1" t="str">
        <f t="shared" si="40"/>
        <v>SOCIAL SECURITY TAXES</v>
      </c>
    </row>
    <row r="2071" spans="5:8" x14ac:dyDescent="0.25">
      <c r="E2071" s="1" t="str">
        <f>""</f>
        <v/>
      </c>
      <c r="F2071" s="1" t="str">
        <f>""</f>
        <v/>
      </c>
      <c r="H2071" s="1" t="str">
        <f t="shared" si="40"/>
        <v>SOCIAL SECURITY TAXES</v>
      </c>
    </row>
    <row r="2072" spans="5:8" x14ac:dyDescent="0.25">
      <c r="E2072" s="1" t="str">
        <f>""</f>
        <v/>
      </c>
      <c r="F2072" s="1" t="str">
        <f>""</f>
        <v/>
      </c>
      <c r="H2072" s="1" t="str">
        <f t="shared" si="40"/>
        <v>SOCIAL SECURITY TAXES</v>
      </c>
    </row>
    <row r="2073" spans="5:8" x14ac:dyDescent="0.25">
      <c r="E2073" s="1" t="str">
        <f>""</f>
        <v/>
      </c>
      <c r="F2073" s="1" t="str">
        <f>""</f>
        <v/>
      </c>
      <c r="H2073" s="1" t="str">
        <f t="shared" si="40"/>
        <v>SOCIAL SECURITY TAXES</v>
      </c>
    </row>
    <row r="2074" spans="5:8" x14ac:dyDescent="0.25">
      <c r="E2074" s="1" t="str">
        <f>""</f>
        <v/>
      </c>
      <c r="F2074" s="1" t="str">
        <f>""</f>
        <v/>
      </c>
      <c r="H2074" s="1" t="str">
        <f t="shared" si="40"/>
        <v>SOCIAL SECURITY TAXES</v>
      </c>
    </row>
    <row r="2075" spans="5:8" x14ac:dyDescent="0.25">
      <c r="E2075" s="1" t="str">
        <f>""</f>
        <v/>
      </c>
      <c r="F2075" s="1" t="str">
        <f>""</f>
        <v/>
      </c>
      <c r="H2075" s="1" t="str">
        <f t="shared" si="40"/>
        <v>SOCIAL SECURITY TAXES</v>
      </c>
    </row>
    <row r="2076" spans="5:8" x14ac:dyDescent="0.25">
      <c r="E2076" s="1" t="str">
        <f>""</f>
        <v/>
      </c>
      <c r="F2076" s="1" t="str">
        <f>""</f>
        <v/>
      </c>
      <c r="H2076" s="1" t="str">
        <f t="shared" si="40"/>
        <v>SOCIAL SECURITY TAXES</v>
      </c>
    </row>
    <row r="2077" spans="5:8" x14ac:dyDescent="0.25">
      <c r="E2077" s="1" t="str">
        <f>""</f>
        <v/>
      </c>
      <c r="F2077" s="1" t="str">
        <f>""</f>
        <v/>
      </c>
      <c r="H2077" s="1" t="str">
        <f t="shared" si="40"/>
        <v>SOCIAL SECURITY TAXES</v>
      </c>
    </row>
    <row r="2078" spans="5:8" x14ac:dyDescent="0.25">
      <c r="E2078" s="1" t="str">
        <f>""</f>
        <v/>
      </c>
      <c r="F2078" s="1" t="str">
        <f>""</f>
        <v/>
      </c>
      <c r="H2078" s="1" t="str">
        <f t="shared" si="40"/>
        <v>SOCIAL SECURITY TAXES</v>
      </c>
    </row>
    <row r="2079" spans="5:8" x14ac:dyDescent="0.25">
      <c r="E2079" s="1" t="str">
        <f>""</f>
        <v/>
      </c>
      <c r="F2079" s="1" t="str">
        <f>""</f>
        <v/>
      </c>
      <c r="H2079" s="1" t="str">
        <f t="shared" si="40"/>
        <v>SOCIAL SECURITY TAXES</v>
      </c>
    </row>
    <row r="2080" spans="5:8" x14ac:dyDescent="0.25">
      <c r="E2080" s="1" t="str">
        <f>""</f>
        <v/>
      </c>
      <c r="F2080" s="1" t="str">
        <f>""</f>
        <v/>
      </c>
      <c r="H2080" s="1" t="str">
        <f t="shared" si="40"/>
        <v>SOCIAL SECURITY TAXES</v>
      </c>
    </row>
    <row r="2081" spans="5:8" x14ac:dyDescent="0.25">
      <c r="E2081" s="1" t="str">
        <f>""</f>
        <v/>
      </c>
      <c r="F2081" s="1" t="str">
        <f>""</f>
        <v/>
      </c>
      <c r="H2081" s="1" t="str">
        <f t="shared" si="40"/>
        <v>SOCIAL SECURITY TAXES</v>
      </c>
    </row>
    <row r="2082" spans="5:8" x14ac:dyDescent="0.25">
      <c r="E2082" s="1" t="str">
        <f>""</f>
        <v/>
      </c>
      <c r="F2082" s="1" t="str">
        <f>""</f>
        <v/>
      </c>
      <c r="H2082" s="1" t="str">
        <f t="shared" si="40"/>
        <v>SOCIAL SECURITY TAXES</v>
      </c>
    </row>
    <row r="2083" spans="5:8" x14ac:dyDescent="0.25">
      <c r="E2083" s="1" t="str">
        <f>""</f>
        <v/>
      </c>
      <c r="F2083" s="1" t="str">
        <f>""</f>
        <v/>
      </c>
      <c r="H2083" s="1" t="str">
        <f t="shared" si="40"/>
        <v>SOCIAL SECURITY TAXES</v>
      </c>
    </row>
    <row r="2084" spans="5:8" x14ac:dyDescent="0.25">
      <c r="E2084" s="1" t="str">
        <f>""</f>
        <v/>
      </c>
      <c r="F2084" s="1" t="str">
        <f>""</f>
        <v/>
      </c>
      <c r="H2084" s="1" t="str">
        <f t="shared" si="40"/>
        <v>SOCIAL SECURITY TAXES</v>
      </c>
    </row>
    <row r="2085" spans="5:8" x14ac:dyDescent="0.25">
      <c r="E2085" s="1" t="str">
        <f>""</f>
        <v/>
      </c>
      <c r="F2085" s="1" t="str">
        <f>""</f>
        <v/>
      </c>
      <c r="H2085" s="1" t="str">
        <f t="shared" si="40"/>
        <v>SOCIAL SECURITY TAXES</v>
      </c>
    </row>
    <row r="2086" spans="5:8" x14ac:dyDescent="0.25">
      <c r="E2086" s="1" t="str">
        <f>""</f>
        <v/>
      </c>
      <c r="F2086" s="1" t="str">
        <f>""</f>
        <v/>
      </c>
      <c r="H2086" s="1" t="str">
        <f t="shared" si="40"/>
        <v>SOCIAL SECURITY TAXES</v>
      </c>
    </row>
    <row r="2087" spans="5:8" x14ac:dyDescent="0.25">
      <c r="E2087" s="1" t="str">
        <f>""</f>
        <v/>
      </c>
      <c r="F2087" s="1" t="str">
        <f>""</f>
        <v/>
      </c>
      <c r="H2087" s="1" t="str">
        <f t="shared" si="40"/>
        <v>SOCIAL SECURITY TAXES</v>
      </c>
    </row>
    <row r="2088" spans="5:8" x14ac:dyDescent="0.25">
      <c r="E2088" s="1" t="str">
        <f>""</f>
        <v/>
      </c>
      <c r="F2088" s="1" t="str">
        <f>""</f>
        <v/>
      </c>
      <c r="H2088" s="1" t="str">
        <f t="shared" si="40"/>
        <v>SOCIAL SECURITY TAXES</v>
      </c>
    </row>
    <row r="2089" spans="5:8" x14ac:dyDescent="0.25">
      <c r="E2089" s="1" t="str">
        <f>""</f>
        <v/>
      </c>
      <c r="F2089" s="1" t="str">
        <f>""</f>
        <v/>
      </c>
      <c r="H2089" s="1" t="str">
        <f t="shared" si="40"/>
        <v>SOCIAL SECURITY TAXES</v>
      </c>
    </row>
    <row r="2090" spans="5:8" x14ac:dyDescent="0.25">
      <c r="E2090" s="1" t="str">
        <f>""</f>
        <v/>
      </c>
      <c r="F2090" s="1" t="str">
        <f>""</f>
        <v/>
      </c>
      <c r="H2090" s="1" t="str">
        <f t="shared" si="40"/>
        <v>SOCIAL SECURITY TAXES</v>
      </c>
    </row>
    <row r="2091" spans="5:8" x14ac:dyDescent="0.25">
      <c r="E2091" s="1" t="str">
        <f>""</f>
        <v/>
      </c>
      <c r="F2091" s="1" t="str">
        <f>""</f>
        <v/>
      </c>
      <c r="H2091" s="1" t="str">
        <f t="shared" ref="H2091:H2114" si="41">"SOCIAL SECURITY TAXES"</f>
        <v>SOCIAL SECURITY TAXES</v>
      </c>
    </row>
    <row r="2092" spans="5:8" x14ac:dyDescent="0.25">
      <c r="E2092" s="1" t="str">
        <f>""</f>
        <v/>
      </c>
      <c r="F2092" s="1" t="str">
        <f>""</f>
        <v/>
      </c>
      <c r="H2092" s="1" t="str">
        <f t="shared" si="41"/>
        <v>SOCIAL SECURITY TAXES</v>
      </c>
    </row>
    <row r="2093" spans="5:8" x14ac:dyDescent="0.25">
      <c r="E2093" s="1" t="str">
        <f>""</f>
        <v/>
      </c>
      <c r="F2093" s="1" t="str">
        <f>""</f>
        <v/>
      </c>
      <c r="H2093" s="1" t="str">
        <f t="shared" si="41"/>
        <v>SOCIAL SECURITY TAXES</v>
      </c>
    </row>
    <row r="2094" spans="5:8" x14ac:dyDescent="0.25">
      <c r="E2094" s="1" t="str">
        <f>""</f>
        <v/>
      </c>
      <c r="F2094" s="1" t="str">
        <f>""</f>
        <v/>
      </c>
      <c r="H2094" s="1" t="str">
        <f t="shared" si="41"/>
        <v>SOCIAL SECURITY TAXES</v>
      </c>
    </row>
    <row r="2095" spans="5:8" x14ac:dyDescent="0.25">
      <c r="E2095" s="1" t="str">
        <f>""</f>
        <v/>
      </c>
      <c r="F2095" s="1" t="str">
        <f>""</f>
        <v/>
      </c>
      <c r="H2095" s="1" t="str">
        <f t="shared" si="41"/>
        <v>SOCIAL SECURITY TAXES</v>
      </c>
    </row>
    <row r="2096" spans="5:8" x14ac:dyDescent="0.25">
      <c r="E2096" s="1" t="str">
        <f>""</f>
        <v/>
      </c>
      <c r="F2096" s="1" t="str">
        <f>""</f>
        <v/>
      </c>
      <c r="H2096" s="1" t="str">
        <f t="shared" si="41"/>
        <v>SOCIAL SECURITY TAXES</v>
      </c>
    </row>
    <row r="2097" spans="5:8" x14ac:dyDescent="0.25">
      <c r="E2097" s="1" t="str">
        <f>""</f>
        <v/>
      </c>
      <c r="F2097" s="1" t="str">
        <f>""</f>
        <v/>
      </c>
      <c r="H2097" s="1" t="str">
        <f t="shared" si="41"/>
        <v>SOCIAL SECURITY TAXES</v>
      </c>
    </row>
    <row r="2098" spans="5:8" x14ac:dyDescent="0.25">
      <c r="E2098" s="1" t="str">
        <f>""</f>
        <v/>
      </c>
      <c r="F2098" s="1" t="str">
        <f>""</f>
        <v/>
      </c>
      <c r="H2098" s="1" t="str">
        <f t="shared" si="41"/>
        <v>SOCIAL SECURITY TAXES</v>
      </c>
    </row>
    <row r="2099" spans="5:8" x14ac:dyDescent="0.25">
      <c r="E2099" s="1" t="str">
        <f>""</f>
        <v/>
      </c>
      <c r="F2099" s="1" t="str">
        <f>""</f>
        <v/>
      </c>
      <c r="H2099" s="1" t="str">
        <f t="shared" si="41"/>
        <v>SOCIAL SECURITY TAXES</v>
      </c>
    </row>
    <row r="2100" spans="5:8" x14ac:dyDescent="0.25">
      <c r="E2100" s="1" t="str">
        <f>""</f>
        <v/>
      </c>
      <c r="F2100" s="1" t="str">
        <f>""</f>
        <v/>
      </c>
      <c r="H2100" s="1" t="str">
        <f t="shared" si="41"/>
        <v>SOCIAL SECURITY TAXES</v>
      </c>
    </row>
    <row r="2101" spans="5:8" x14ac:dyDescent="0.25">
      <c r="E2101" s="1" t="str">
        <f>""</f>
        <v/>
      </c>
      <c r="F2101" s="1" t="str">
        <f>""</f>
        <v/>
      </c>
      <c r="H2101" s="1" t="str">
        <f t="shared" si="41"/>
        <v>SOCIAL SECURITY TAXES</v>
      </c>
    </row>
    <row r="2102" spans="5:8" x14ac:dyDescent="0.25">
      <c r="E2102" s="1" t="str">
        <f>""</f>
        <v/>
      </c>
      <c r="F2102" s="1" t="str">
        <f>""</f>
        <v/>
      </c>
      <c r="H2102" s="1" t="str">
        <f t="shared" si="41"/>
        <v>SOCIAL SECURITY TAXES</v>
      </c>
    </row>
    <row r="2103" spans="5:8" x14ac:dyDescent="0.25">
      <c r="E2103" s="1" t="str">
        <f>""</f>
        <v/>
      </c>
      <c r="F2103" s="1" t="str">
        <f>""</f>
        <v/>
      </c>
      <c r="H2103" s="1" t="str">
        <f t="shared" si="41"/>
        <v>SOCIAL SECURITY TAXES</v>
      </c>
    </row>
    <row r="2104" spans="5:8" x14ac:dyDescent="0.25">
      <c r="E2104" s="1" t="str">
        <f>""</f>
        <v/>
      </c>
      <c r="F2104" s="1" t="str">
        <f>""</f>
        <v/>
      </c>
      <c r="H2104" s="1" t="str">
        <f t="shared" si="41"/>
        <v>SOCIAL SECURITY TAXES</v>
      </c>
    </row>
    <row r="2105" spans="5:8" x14ac:dyDescent="0.25">
      <c r="E2105" s="1" t="str">
        <f>""</f>
        <v/>
      </c>
      <c r="F2105" s="1" t="str">
        <f>""</f>
        <v/>
      </c>
      <c r="H2105" s="1" t="str">
        <f t="shared" si="41"/>
        <v>SOCIAL SECURITY TAXES</v>
      </c>
    </row>
    <row r="2106" spans="5:8" x14ac:dyDescent="0.25">
      <c r="E2106" s="1" t="str">
        <f>""</f>
        <v/>
      </c>
      <c r="F2106" s="1" t="str">
        <f>""</f>
        <v/>
      </c>
      <c r="H2106" s="1" t="str">
        <f t="shared" si="41"/>
        <v>SOCIAL SECURITY TAXES</v>
      </c>
    </row>
    <row r="2107" spans="5:8" x14ac:dyDescent="0.25">
      <c r="E2107" s="1" t="str">
        <f>""</f>
        <v/>
      </c>
      <c r="F2107" s="1" t="str">
        <f>""</f>
        <v/>
      </c>
      <c r="H2107" s="1" t="str">
        <f t="shared" si="41"/>
        <v>SOCIAL SECURITY TAXES</v>
      </c>
    </row>
    <row r="2108" spans="5:8" x14ac:dyDescent="0.25">
      <c r="E2108" s="1" t="str">
        <f>""</f>
        <v/>
      </c>
      <c r="F2108" s="1" t="str">
        <f>""</f>
        <v/>
      </c>
      <c r="H2108" s="1" t="str">
        <f t="shared" si="41"/>
        <v>SOCIAL SECURITY TAXES</v>
      </c>
    </row>
    <row r="2109" spans="5:8" x14ac:dyDescent="0.25">
      <c r="E2109" s="1" t="str">
        <f>""</f>
        <v/>
      </c>
      <c r="F2109" s="1" t="str">
        <f>""</f>
        <v/>
      </c>
      <c r="H2109" s="1" t="str">
        <f t="shared" si="41"/>
        <v>SOCIAL SECURITY TAXES</v>
      </c>
    </row>
    <row r="2110" spans="5:8" x14ac:dyDescent="0.25">
      <c r="E2110" s="1" t="str">
        <f>""</f>
        <v/>
      </c>
      <c r="F2110" s="1" t="str">
        <f>""</f>
        <v/>
      </c>
      <c r="H2110" s="1" t="str">
        <f t="shared" si="41"/>
        <v>SOCIAL SECURITY TAXES</v>
      </c>
    </row>
    <row r="2111" spans="5:8" x14ac:dyDescent="0.25">
      <c r="E2111" s="1" t="str">
        <f>"T3 201907230650"</f>
        <v>T3 201907230650</v>
      </c>
      <c r="F2111" s="1" t="str">
        <f>"SOCIAL SECURITY TAXES"</f>
        <v>SOCIAL SECURITY TAXES</v>
      </c>
      <c r="G2111" s="3">
        <v>4015.24</v>
      </c>
      <c r="H2111" s="1" t="str">
        <f t="shared" si="41"/>
        <v>SOCIAL SECURITY TAXES</v>
      </c>
    </row>
    <row r="2112" spans="5:8" x14ac:dyDescent="0.25">
      <c r="E2112" s="1" t="str">
        <f>""</f>
        <v/>
      </c>
      <c r="F2112" s="1" t="str">
        <f>""</f>
        <v/>
      </c>
      <c r="H2112" s="1" t="str">
        <f t="shared" si="41"/>
        <v>SOCIAL SECURITY TAXES</v>
      </c>
    </row>
    <row r="2113" spans="5:8" x14ac:dyDescent="0.25">
      <c r="E2113" s="1" t="str">
        <f>"T3 201907230653"</f>
        <v>T3 201907230653</v>
      </c>
      <c r="F2113" s="1" t="str">
        <f>"SOCIAL SECURITY TAXES"</f>
        <v>SOCIAL SECURITY TAXES</v>
      </c>
      <c r="G2113" s="3">
        <v>5068.76</v>
      </c>
      <c r="H2113" s="1" t="str">
        <f t="shared" si="41"/>
        <v>SOCIAL SECURITY TAXES</v>
      </c>
    </row>
    <row r="2114" spans="5:8" x14ac:dyDescent="0.25">
      <c r="E2114" s="1" t="str">
        <f>""</f>
        <v/>
      </c>
      <c r="F2114" s="1" t="str">
        <f>""</f>
        <v/>
      </c>
      <c r="H2114" s="1" t="str">
        <f t="shared" si="41"/>
        <v>SOCIAL SECURITY TAXES</v>
      </c>
    </row>
    <row r="2115" spans="5:8" x14ac:dyDescent="0.25">
      <c r="E2115" s="1" t="str">
        <f>"T4 201907230648"</f>
        <v>T4 201907230648</v>
      </c>
      <c r="F2115" s="1" t="str">
        <f>"MEDICARE TAXES"</f>
        <v>MEDICARE TAXES</v>
      </c>
      <c r="G2115" s="3">
        <v>25414.02</v>
      </c>
      <c r="H2115" s="1" t="str">
        <f t="shared" ref="H2115:H2146" si="42">"MEDICARE TAXES"</f>
        <v>MEDICARE TAXES</v>
      </c>
    </row>
    <row r="2116" spans="5:8" x14ac:dyDescent="0.25">
      <c r="E2116" s="1" t="str">
        <f>""</f>
        <v/>
      </c>
      <c r="F2116" s="1" t="str">
        <f>""</f>
        <v/>
      </c>
      <c r="H2116" s="1" t="str">
        <f t="shared" si="42"/>
        <v>MEDICARE TAXES</v>
      </c>
    </row>
    <row r="2117" spans="5:8" x14ac:dyDescent="0.25">
      <c r="E2117" s="1" t="str">
        <f>""</f>
        <v/>
      </c>
      <c r="F2117" s="1" t="str">
        <f>""</f>
        <v/>
      </c>
      <c r="H2117" s="1" t="str">
        <f t="shared" si="42"/>
        <v>MEDICARE TAXES</v>
      </c>
    </row>
    <row r="2118" spans="5:8" x14ac:dyDescent="0.25">
      <c r="E2118" s="1" t="str">
        <f>""</f>
        <v/>
      </c>
      <c r="F2118" s="1" t="str">
        <f>""</f>
        <v/>
      </c>
      <c r="H2118" s="1" t="str">
        <f t="shared" si="42"/>
        <v>MEDICARE TAXES</v>
      </c>
    </row>
    <row r="2119" spans="5:8" x14ac:dyDescent="0.25">
      <c r="E2119" s="1" t="str">
        <f>""</f>
        <v/>
      </c>
      <c r="F2119" s="1" t="str">
        <f>""</f>
        <v/>
      </c>
      <c r="H2119" s="1" t="str">
        <f t="shared" si="42"/>
        <v>MEDICARE TAXES</v>
      </c>
    </row>
    <row r="2120" spans="5:8" x14ac:dyDescent="0.25">
      <c r="E2120" s="1" t="str">
        <f>""</f>
        <v/>
      </c>
      <c r="F2120" s="1" t="str">
        <f>""</f>
        <v/>
      </c>
      <c r="H2120" s="1" t="str">
        <f t="shared" si="42"/>
        <v>MEDICARE TAXES</v>
      </c>
    </row>
    <row r="2121" spans="5:8" x14ac:dyDescent="0.25">
      <c r="E2121" s="1" t="str">
        <f>""</f>
        <v/>
      </c>
      <c r="F2121" s="1" t="str">
        <f>""</f>
        <v/>
      </c>
      <c r="H2121" s="1" t="str">
        <f t="shared" si="42"/>
        <v>MEDICARE TAXES</v>
      </c>
    </row>
    <row r="2122" spans="5:8" x14ac:dyDescent="0.25">
      <c r="E2122" s="1" t="str">
        <f>""</f>
        <v/>
      </c>
      <c r="F2122" s="1" t="str">
        <f>""</f>
        <v/>
      </c>
      <c r="H2122" s="1" t="str">
        <f t="shared" si="42"/>
        <v>MEDICARE TAXES</v>
      </c>
    </row>
    <row r="2123" spans="5:8" x14ac:dyDescent="0.25">
      <c r="E2123" s="1" t="str">
        <f>""</f>
        <v/>
      </c>
      <c r="F2123" s="1" t="str">
        <f>""</f>
        <v/>
      </c>
      <c r="H2123" s="1" t="str">
        <f t="shared" si="42"/>
        <v>MEDICARE TAXES</v>
      </c>
    </row>
    <row r="2124" spans="5:8" x14ac:dyDescent="0.25">
      <c r="E2124" s="1" t="str">
        <f>""</f>
        <v/>
      </c>
      <c r="F2124" s="1" t="str">
        <f>""</f>
        <v/>
      </c>
      <c r="H2124" s="1" t="str">
        <f t="shared" si="42"/>
        <v>MEDICARE TAXES</v>
      </c>
    </row>
    <row r="2125" spans="5:8" x14ac:dyDescent="0.25">
      <c r="E2125" s="1" t="str">
        <f>""</f>
        <v/>
      </c>
      <c r="F2125" s="1" t="str">
        <f>""</f>
        <v/>
      </c>
      <c r="H2125" s="1" t="str">
        <f t="shared" si="42"/>
        <v>MEDICARE TAXES</v>
      </c>
    </row>
    <row r="2126" spans="5:8" x14ac:dyDescent="0.25">
      <c r="E2126" s="1" t="str">
        <f>""</f>
        <v/>
      </c>
      <c r="F2126" s="1" t="str">
        <f>""</f>
        <v/>
      </c>
      <c r="H2126" s="1" t="str">
        <f t="shared" si="42"/>
        <v>MEDICARE TAXES</v>
      </c>
    </row>
    <row r="2127" spans="5:8" x14ac:dyDescent="0.25">
      <c r="E2127" s="1" t="str">
        <f>""</f>
        <v/>
      </c>
      <c r="F2127" s="1" t="str">
        <f>""</f>
        <v/>
      </c>
      <c r="H2127" s="1" t="str">
        <f t="shared" si="42"/>
        <v>MEDICARE TAXES</v>
      </c>
    </row>
    <row r="2128" spans="5:8" x14ac:dyDescent="0.25">
      <c r="E2128" s="1" t="str">
        <f>""</f>
        <v/>
      </c>
      <c r="F2128" s="1" t="str">
        <f>""</f>
        <v/>
      </c>
      <c r="H2128" s="1" t="str">
        <f t="shared" si="42"/>
        <v>MEDICARE TAXES</v>
      </c>
    </row>
    <row r="2129" spans="5:8" x14ac:dyDescent="0.25">
      <c r="E2129" s="1" t="str">
        <f>""</f>
        <v/>
      </c>
      <c r="F2129" s="1" t="str">
        <f>""</f>
        <v/>
      </c>
      <c r="H2129" s="1" t="str">
        <f t="shared" si="42"/>
        <v>MEDICARE TAXES</v>
      </c>
    </row>
    <row r="2130" spans="5:8" x14ac:dyDescent="0.25">
      <c r="E2130" s="1" t="str">
        <f>""</f>
        <v/>
      </c>
      <c r="F2130" s="1" t="str">
        <f>""</f>
        <v/>
      </c>
      <c r="H2130" s="1" t="str">
        <f t="shared" si="42"/>
        <v>MEDICARE TAXES</v>
      </c>
    </row>
    <row r="2131" spans="5:8" x14ac:dyDescent="0.25">
      <c r="E2131" s="1" t="str">
        <f>""</f>
        <v/>
      </c>
      <c r="F2131" s="1" t="str">
        <f>""</f>
        <v/>
      </c>
      <c r="H2131" s="1" t="str">
        <f t="shared" si="42"/>
        <v>MEDICARE TAXES</v>
      </c>
    </row>
    <row r="2132" spans="5:8" x14ac:dyDescent="0.25">
      <c r="E2132" s="1" t="str">
        <f>""</f>
        <v/>
      </c>
      <c r="F2132" s="1" t="str">
        <f>""</f>
        <v/>
      </c>
      <c r="H2132" s="1" t="str">
        <f t="shared" si="42"/>
        <v>MEDICARE TAXES</v>
      </c>
    </row>
    <row r="2133" spans="5:8" x14ac:dyDescent="0.25">
      <c r="E2133" s="1" t="str">
        <f>""</f>
        <v/>
      </c>
      <c r="F2133" s="1" t="str">
        <f>""</f>
        <v/>
      </c>
      <c r="H2133" s="1" t="str">
        <f t="shared" si="42"/>
        <v>MEDICARE TAXES</v>
      </c>
    </row>
    <row r="2134" spans="5:8" x14ac:dyDescent="0.25">
      <c r="E2134" s="1" t="str">
        <f>""</f>
        <v/>
      </c>
      <c r="F2134" s="1" t="str">
        <f>""</f>
        <v/>
      </c>
      <c r="H2134" s="1" t="str">
        <f t="shared" si="42"/>
        <v>MEDICARE TAXES</v>
      </c>
    </row>
    <row r="2135" spans="5:8" x14ac:dyDescent="0.25">
      <c r="E2135" s="1" t="str">
        <f>""</f>
        <v/>
      </c>
      <c r="F2135" s="1" t="str">
        <f>""</f>
        <v/>
      </c>
      <c r="H2135" s="1" t="str">
        <f t="shared" si="42"/>
        <v>MEDICARE TAXES</v>
      </c>
    </row>
    <row r="2136" spans="5:8" x14ac:dyDescent="0.25">
      <c r="E2136" s="1" t="str">
        <f>""</f>
        <v/>
      </c>
      <c r="F2136" s="1" t="str">
        <f>""</f>
        <v/>
      </c>
      <c r="H2136" s="1" t="str">
        <f t="shared" si="42"/>
        <v>MEDICARE TAXES</v>
      </c>
    </row>
    <row r="2137" spans="5:8" x14ac:dyDescent="0.25">
      <c r="E2137" s="1" t="str">
        <f>""</f>
        <v/>
      </c>
      <c r="F2137" s="1" t="str">
        <f>""</f>
        <v/>
      </c>
      <c r="H2137" s="1" t="str">
        <f t="shared" si="42"/>
        <v>MEDICARE TAXES</v>
      </c>
    </row>
    <row r="2138" spans="5:8" x14ac:dyDescent="0.25">
      <c r="E2138" s="1" t="str">
        <f>""</f>
        <v/>
      </c>
      <c r="F2138" s="1" t="str">
        <f>""</f>
        <v/>
      </c>
      <c r="H2138" s="1" t="str">
        <f t="shared" si="42"/>
        <v>MEDICARE TAXES</v>
      </c>
    </row>
    <row r="2139" spans="5:8" x14ac:dyDescent="0.25">
      <c r="E2139" s="1" t="str">
        <f>""</f>
        <v/>
      </c>
      <c r="F2139" s="1" t="str">
        <f>""</f>
        <v/>
      </c>
      <c r="H2139" s="1" t="str">
        <f t="shared" si="42"/>
        <v>MEDICARE TAXES</v>
      </c>
    </row>
    <row r="2140" spans="5:8" x14ac:dyDescent="0.25">
      <c r="E2140" s="1" t="str">
        <f>""</f>
        <v/>
      </c>
      <c r="F2140" s="1" t="str">
        <f>""</f>
        <v/>
      </c>
      <c r="H2140" s="1" t="str">
        <f t="shared" si="42"/>
        <v>MEDICARE TAXES</v>
      </c>
    </row>
    <row r="2141" spans="5:8" x14ac:dyDescent="0.25">
      <c r="E2141" s="1" t="str">
        <f>""</f>
        <v/>
      </c>
      <c r="F2141" s="1" t="str">
        <f>""</f>
        <v/>
      </c>
      <c r="H2141" s="1" t="str">
        <f t="shared" si="42"/>
        <v>MEDICARE TAXES</v>
      </c>
    </row>
    <row r="2142" spans="5:8" x14ac:dyDescent="0.25">
      <c r="E2142" s="1" t="str">
        <f>""</f>
        <v/>
      </c>
      <c r="F2142" s="1" t="str">
        <f>""</f>
        <v/>
      </c>
      <c r="H2142" s="1" t="str">
        <f t="shared" si="42"/>
        <v>MEDICARE TAXES</v>
      </c>
    </row>
    <row r="2143" spans="5:8" x14ac:dyDescent="0.25">
      <c r="E2143" s="1" t="str">
        <f>""</f>
        <v/>
      </c>
      <c r="F2143" s="1" t="str">
        <f>""</f>
        <v/>
      </c>
      <c r="H2143" s="1" t="str">
        <f t="shared" si="42"/>
        <v>MEDICARE TAXES</v>
      </c>
    </row>
    <row r="2144" spans="5:8" x14ac:dyDescent="0.25">
      <c r="E2144" s="1" t="str">
        <f>""</f>
        <v/>
      </c>
      <c r="F2144" s="1" t="str">
        <f>""</f>
        <v/>
      </c>
      <c r="H2144" s="1" t="str">
        <f t="shared" si="42"/>
        <v>MEDICARE TAXES</v>
      </c>
    </row>
    <row r="2145" spans="5:8" x14ac:dyDescent="0.25">
      <c r="E2145" s="1" t="str">
        <f>""</f>
        <v/>
      </c>
      <c r="F2145" s="1" t="str">
        <f>""</f>
        <v/>
      </c>
      <c r="H2145" s="1" t="str">
        <f t="shared" si="42"/>
        <v>MEDICARE TAXES</v>
      </c>
    </row>
    <row r="2146" spans="5:8" x14ac:dyDescent="0.25">
      <c r="E2146" s="1" t="str">
        <f>""</f>
        <v/>
      </c>
      <c r="F2146" s="1" t="str">
        <f>""</f>
        <v/>
      </c>
      <c r="H2146" s="1" t="str">
        <f t="shared" si="42"/>
        <v>MEDICARE TAXES</v>
      </c>
    </row>
    <row r="2147" spans="5:8" x14ac:dyDescent="0.25">
      <c r="E2147" s="1" t="str">
        <f>""</f>
        <v/>
      </c>
      <c r="F2147" s="1" t="str">
        <f>""</f>
        <v/>
      </c>
      <c r="H2147" s="1" t="str">
        <f t="shared" ref="H2147:H2170" si="43">"MEDICARE TAXES"</f>
        <v>MEDICARE TAXES</v>
      </c>
    </row>
    <row r="2148" spans="5:8" x14ac:dyDescent="0.25">
      <c r="E2148" s="1" t="str">
        <f>""</f>
        <v/>
      </c>
      <c r="F2148" s="1" t="str">
        <f>""</f>
        <v/>
      </c>
      <c r="H2148" s="1" t="str">
        <f t="shared" si="43"/>
        <v>MEDICARE TAXES</v>
      </c>
    </row>
    <row r="2149" spans="5:8" x14ac:dyDescent="0.25">
      <c r="E2149" s="1" t="str">
        <f>""</f>
        <v/>
      </c>
      <c r="F2149" s="1" t="str">
        <f>""</f>
        <v/>
      </c>
      <c r="H2149" s="1" t="str">
        <f t="shared" si="43"/>
        <v>MEDICARE TAXES</v>
      </c>
    </row>
    <row r="2150" spans="5:8" x14ac:dyDescent="0.25">
      <c r="E2150" s="1" t="str">
        <f>""</f>
        <v/>
      </c>
      <c r="F2150" s="1" t="str">
        <f>""</f>
        <v/>
      </c>
      <c r="H2150" s="1" t="str">
        <f t="shared" si="43"/>
        <v>MEDICARE TAXES</v>
      </c>
    </row>
    <row r="2151" spans="5:8" x14ac:dyDescent="0.25">
      <c r="E2151" s="1" t="str">
        <f>""</f>
        <v/>
      </c>
      <c r="F2151" s="1" t="str">
        <f>""</f>
        <v/>
      </c>
      <c r="H2151" s="1" t="str">
        <f t="shared" si="43"/>
        <v>MEDICARE TAXES</v>
      </c>
    </row>
    <row r="2152" spans="5:8" x14ac:dyDescent="0.25">
      <c r="E2152" s="1" t="str">
        <f>""</f>
        <v/>
      </c>
      <c r="F2152" s="1" t="str">
        <f>""</f>
        <v/>
      </c>
      <c r="H2152" s="1" t="str">
        <f t="shared" si="43"/>
        <v>MEDICARE TAXES</v>
      </c>
    </row>
    <row r="2153" spans="5:8" x14ac:dyDescent="0.25">
      <c r="E2153" s="1" t="str">
        <f>""</f>
        <v/>
      </c>
      <c r="F2153" s="1" t="str">
        <f>""</f>
        <v/>
      </c>
      <c r="H2153" s="1" t="str">
        <f t="shared" si="43"/>
        <v>MEDICARE TAXES</v>
      </c>
    </row>
    <row r="2154" spans="5:8" x14ac:dyDescent="0.25">
      <c r="E2154" s="1" t="str">
        <f>""</f>
        <v/>
      </c>
      <c r="F2154" s="1" t="str">
        <f>""</f>
        <v/>
      </c>
      <c r="H2154" s="1" t="str">
        <f t="shared" si="43"/>
        <v>MEDICARE TAXES</v>
      </c>
    </row>
    <row r="2155" spans="5:8" x14ac:dyDescent="0.25">
      <c r="E2155" s="1" t="str">
        <f>""</f>
        <v/>
      </c>
      <c r="F2155" s="1" t="str">
        <f>""</f>
        <v/>
      </c>
      <c r="H2155" s="1" t="str">
        <f t="shared" si="43"/>
        <v>MEDICARE TAXES</v>
      </c>
    </row>
    <row r="2156" spans="5:8" x14ac:dyDescent="0.25">
      <c r="E2156" s="1" t="str">
        <f>""</f>
        <v/>
      </c>
      <c r="F2156" s="1" t="str">
        <f>""</f>
        <v/>
      </c>
      <c r="H2156" s="1" t="str">
        <f t="shared" si="43"/>
        <v>MEDICARE TAXES</v>
      </c>
    </row>
    <row r="2157" spans="5:8" x14ac:dyDescent="0.25">
      <c r="E2157" s="1" t="str">
        <f>""</f>
        <v/>
      </c>
      <c r="F2157" s="1" t="str">
        <f>""</f>
        <v/>
      </c>
      <c r="H2157" s="1" t="str">
        <f t="shared" si="43"/>
        <v>MEDICARE TAXES</v>
      </c>
    </row>
    <row r="2158" spans="5:8" x14ac:dyDescent="0.25">
      <c r="E2158" s="1" t="str">
        <f>""</f>
        <v/>
      </c>
      <c r="F2158" s="1" t="str">
        <f>""</f>
        <v/>
      </c>
      <c r="H2158" s="1" t="str">
        <f t="shared" si="43"/>
        <v>MEDICARE TAXES</v>
      </c>
    </row>
    <row r="2159" spans="5:8" x14ac:dyDescent="0.25">
      <c r="E2159" s="1" t="str">
        <f>""</f>
        <v/>
      </c>
      <c r="F2159" s="1" t="str">
        <f>""</f>
        <v/>
      </c>
      <c r="H2159" s="1" t="str">
        <f t="shared" si="43"/>
        <v>MEDICARE TAXES</v>
      </c>
    </row>
    <row r="2160" spans="5:8" x14ac:dyDescent="0.25">
      <c r="E2160" s="1" t="str">
        <f>""</f>
        <v/>
      </c>
      <c r="F2160" s="1" t="str">
        <f>""</f>
        <v/>
      </c>
      <c r="H2160" s="1" t="str">
        <f t="shared" si="43"/>
        <v>MEDICARE TAXES</v>
      </c>
    </row>
    <row r="2161" spans="1:8" x14ac:dyDescent="0.25">
      <c r="E2161" s="1" t="str">
        <f>""</f>
        <v/>
      </c>
      <c r="F2161" s="1" t="str">
        <f>""</f>
        <v/>
      </c>
      <c r="H2161" s="1" t="str">
        <f t="shared" si="43"/>
        <v>MEDICARE TAXES</v>
      </c>
    </row>
    <row r="2162" spans="1:8" x14ac:dyDescent="0.25">
      <c r="E2162" s="1" t="str">
        <f>""</f>
        <v/>
      </c>
      <c r="F2162" s="1" t="str">
        <f>""</f>
        <v/>
      </c>
      <c r="H2162" s="1" t="str">
        <f t="shared" si="43"/>
        <v>MEDICARE TAXES</v>
      </c>
    </row>
    <row r="2163" spans="1:8" x14ac:dyDescent="0.25">
      <c r="E2163" s="1" t="str">
        <f>""</f>
        <v/>
      </c>
      <c r="F2163" s="1" t="str">
        <f>""</f>
        <v/>
      </c>
      <c r="H2163" s="1" t="str">
        <f t="shared" si="43"/>
        <v>MEDICARE TAXES</v>
      </c>
    </row>
    <row r="2164" spans="1:8" x14ac:dyDescent="0.25">
      <c r="E2164" s="1" t="str">
        <f>""</f>
        <v/>
      </c>
      <c r="F2164" s="1" t="str">
        <f>""</f>
        <v/>
      </c>
      <c r="H2164" s="1" t="str">
        <f t="shared" si="43"/>
        <v>MEDICARE TAXES</v>
      </c>
    </row>
    <row r="2165" spans="1:8" x14ac:dyDescent="0.25">
      <c r="E2165" s="1" t="str">
        <f>""</f>
        <v/>
      </c>
      <c r="F2165" s="1" t="str">
        <f>""</f>
        <v/>
      </c>
      <c r="H2165" s="1" t="str">
        <f t="shared" si="43"/>
        <v>MEDICARE TAXES</v>
      </c>
    </row>
    <row r="2166" spans="1:8" x14ac:dyDescent="0.25">
      <c r="E2166" s="1" t="str">
        <f>""</f>
        <v/>
      </c>
      <c r="F2166" s="1" t="str">
        <f>""</f>
        <v/>
      </c>
      <c r="H2166" s="1" t="str">
        <f t="shared" si="43"/>
        <v>MEDICARE TAXES</v>
      </c>
    </row>
    <row r="2167" spans="1:8" x14ac:dyDescent="0.25">
      <c r="E2167" s="1" t="str">
        <f>"T4 201907230650"</f>
        <v>T4 201907230650</v>
      </c>
      <c r="F2167" s="1" t="str">
        <f>"MEDICARE TAXES"</f>
        <v>MEDICARE TAXES</v>
      </c>
      <c r="G2167" s="3">
        <v>939.08</v>
      </c>
      <c r="H2167" s="1" t="str">
        <f t="shared" si="43"/>
        <v>MEDICARE TAXES</v>
      </c>
    </row>
    <row r="2168" spans="1:8" x14ac:dyDescent="0.25">
      <c r="E2168" s="1" t="str">
        <f>""</f>
        <v/>
      </c>
      <c r="F2168" s="1" t="str">
        <f>""</f>
        <v/>
      </c>
      <c r="H2168" s="1" t="str">
        <f t="shared" si="43"/>
        <v>MEDICARE TAXES</v>
      </c>
    </row>
    <row r="2169" spans="1:8" x14ac:dyDescent="0.25">
      <c r="E2169" s="1" t="str">
        <f>"T4 201907230653"</f>
        <v>T4 201907230653</v>
      </c>
      <c r="F2169" s="1" t="str">
        <f>"MEDICARE TAXES"</f>
        <v>MEDICARE TAXES</v>
      </c>
      <c r="G2169" s="3">
        <v>1185.42</v>
      </c>
      <c r="H2169" s="1" t="str">
        <f t="shared" si="43"/>
        <v>MEDICARE TAXES</v>
      </c>
    </row>
    <row r="2170" spans="1:8" x14ac:dyDescent="0.25">
      <c r="E2170" s="1" t="str">
        <f>""</f>
        <v/>
      </c>
      <c r="F2170" s="1" t="str">
        <f>""</f>
        <v/>
      </c>
      <c r="H2170" s="1" t="str">
        <f t="shared" si="43"/>
        <v>MEDICARE TAXES</v>
      </c>
    </row>
    <row r="2171" spans="1:8" x14ac:dyDescent="0.25">
      <c r="A2171" s="1" t="s">
        <v>492</v>
      </c>
      <c r="B2171" s="1">
        <v>47543</v>
      </c>
      <c r="C2171" s="3">
        <v>222.76</v>
      </c>
      <c r="D2171" s="2">
        <v>43658</v>
      </c>
      <c r="E2171" s="1" t="str">
        <f>"C64201907090324"</f>
        <v>C64201907090324</v>
      </c>
      <c r="F2171" s="1" t="str">
        <f>"CASE #912745322"</f>
        <v>CASE #912745322</v>
      </c>
      <c r="G2171" s="3">
        <v>222.76</v>
      </c>
      <c r="H2171" s="1" t="str">
        <f>"CASE #912745322"</f>
        <v>CASE #912745322</v>
      </c>
    </row>
    <row r="2172" spans="1:8" x14ac:dyDescent="0.25">
      <c r="A2172" s="1" t="s">
        <v>492</v>
      </c>
      <c r="B2172" s="1">
        <v>47558</v>
      </c>
      <c r="C2172" s="3">
        <v>222.76</v>
      </c>
      <c r="D2172" s="2">
        <v>43672</v>
      </c>
      <c r="E2172" s="1" t="str">
        <f>"C64201907230648"</f>
        <v>C64201907230648</v>
      </c>
      <c r="F2172" s="1" t="str">
        <f>"CASE #912745322"</f>
        <v>CASE #912745322</v>
      </c>
      <c r="G2172" s="3">
        <v>222.76</v>
      </c>
      <c r="H2172" s="1" t="str">
        <f>"CASE #912745322"</f>
        <v>CASE #912745322</v>
      </c>
    </row>
    <row r="2173" spans="1:8" x14ac:dyDescent="0.25">
      <c r="A2173" s="1" t="s">
        <v>493</v>
      </c>
      <c r="B2173" s="1">
        <v>187</v>
      </c>
      <c r="C2173" s="3">
        <v>674.82</v>
      </c>
      <c r="D2173" s="2">
        <v>43671</v>
      </c>
      <c r="E2173" s="1" t="str">
        <f>"LIX201907090324"</f>
        <v>LIX201907090324</v>
      </c>
      <c r="F2173" s="1" t="str">
        <f>"TEXAS LIFE/OLIVO GROUP"</f>
        <v>TEXAS LIFE/OLIVO GROUP</v>
      </c>
      <c r="G2173" s="3">
        <v>337.41</v>
      </c>
      <c r="H2173" s="1" t="str">
        <f>"TEXAS LIFE/OLIVO GROUP"</f>
        <v>TEXAS LIFE/OLIVO GROUP</v>
      </c>
    </row>
    <row r="2174" spans="1:8" x14ac:dyDescent="0.25">
      <c r="E2174" s="1" t="str">
        <f>"LIX201907230648"</f>
        <v>LIX201907230648</v>
      </c>
      <c r="F2174" s="1" t="str">
        <f>"TEXAS LIFE/OLIVO GROUP"</f>
        <v>TEXAS LIFE/OLIVO GROUP</v>
      </c>
      <c r="G2174" s="3">
        <v>337.41</v>
      </c>
      <c r="H2174" s="1" t="str">
        <f>"TEXAS LIFE/OLIVO GROUP"</f>
        <v>TEXAS LIFE/OLIVO GROUP</v>
      </c>
    </row>
    <row r="2175" spans="1:8" x14ac:dyDescent="0.25">
      <c r="A2175" s="1" t="s">
        <v>494</v>
      </c>
      <c r="B2175" s="1">
        <v>47562</v>
      </c>
      <c r="C2175" s="3">
        <v>332733.86</v>
      </c>
      <c r="D2175" s="2">
        <v>43671</v>
      </c>
      <c r="E2175" s="1" t="str">
        <f>"201907250684"</f>
        <v>201907250684</v>
      </c>
      <c r="F2175" s="1" t="str">
        <f>"RETIREE JULY 2019"</f>
        <v>RETIREE JULY 2019</v>
      </c>
      <c r="G2175" s="3">
        <v>15386.6</v>
      </c>
      <c r="H2175" s="1" t="str">
        <f>"TAC HEALTH BENEFITS POOL"</f>
        <v>TAC HEALTH BENEFITS POOL</v>
      </c>
    </row>
    <row r="2176" spans="1:8" x14ac:dyDescent="0.25">
      <c r="E2176" s="1" t="str">
        <f>"2EC201907090324"</f>
        <v>2EC201907090324</v>
      </c>
      <c r="F2176" s="1" t="str">
        <f>"BCBS PAYABLE"</f>
        <v>BCBS PAYABLE</v>
      </c>
      <c r="G2176" s="3">
        <v>45617.25</v>
      </c>
      <c r="H2176" s="1" t="str">
        <f t="shared" ref="H2176:H2207" si="44">"BCBS PAYABLE"</f>
        <v>BCBS PAYABLE</v>
      </c>
    </row>
    <row r="2177" spans="5:8" x14ac:dyDescent="0.25">
      <c r="E2177" s="1" t="str">
        <f>""</f>
        <v/>
      </c>
      <c r="F2177" s="1" t="str">
        <f>""</f>
        <v/>
      </c>
      <c r="H2177" s="1" t="str">
        <f t="shared" si="44"/>
        <v>BCBS PAYABLE</v>
      </c>
    </row>
    <row r="2178" spans="5:8" x14ac:dyDescent="0.25">
      <c r="E2178" s="1" t="str">
        <f>""</f>
        <v/>
      </c>
      <c r="F2178" s="1" t="str">
        <f>""</f>
        <v/>
      </c>
      <c r="H2178" s="1" t="str">
        <f t="shared" si="44"/>
        <v>BCBS PAYABLE</v>
      </c>
    </row>
    <row r="2179" spans="5:8" x14ac:dyDescent="0.25">
      <c r="E2179" s="1" t="str">
        <f>""</f>
        <v/>
      </c>
      <c r="F2179" s="1" t="str">
        <f>""</f>
        <v/>
      </c>
      <c r="H2179" s="1" t="str">
        <f t="shared" si="44"/>
        <v>BCBS PAYABLE</v>
      </c>
    </row>
    <row r="2180" spans="5:8" x14ac:dyDescent="0.25">
      <c r="E2180" s="1" t="str">
        <f>""</f>
        <v/>
      </c>
      <c r="F2180" s="1" t="str">
        <f>""</f>
        <v/>
      </c>
      <c r="H2180" s="1" t="str">
        <f t="shared" si="44"/>
        <v>BCBS PAYABLE</v>
      </c>
    </row>
    <row r="2181" spans="5:8" x14ac:dyDescent="0.25">
      <c r="E2181" s="1" t="str">
        <f>""</f>
        <v/>
      </c>
      <c r="F2181" s="1" t="str">
        <f>""</f>
        <v/>
      </c>
      <c r="H2181" s="1" t="str">
        <f t="shared" si="44"/>
        <v>BCBS PAYABLE</v>
      </c>
    </row>
    <row r="2182" spans="5:8" x14ac:dyDescent="0.25">
      <c r="E2182" s="1" t="str">
        <f>""</f>
        <v/>
      </c>
      <c r="F2182" s="1" t="str">
        <f>""</f>
        <v/>
      </c>
      <c r="H2182" s="1" t="str">
        <f t="shared" si="44"/>
        <v>BCBS PAYABLE</v>
      </c>
    </row>
    <row r="2183" spans="5:8" x14ac:dyDescent="0.25">
      <c r="E2183" s="1" t="str">
        <f>""</f>
        <v/>
      </c>
      <c r="F2183" s="1" t="str">
        <f>""</f>
        <v/>
      </c>
      <c r="H2183" s="1" t="str">
        <f t="shared" si="44"/>
        <v>BCBS PAYABLE</v>
      </c>
    </row>
    <row r="2184" spans="5:8" x14ac:dyDescent="0.25">
      <c r="E2184" s="1" t="str">
        <f>""</f>
        <v/>
      </c>
      <c r="F2184" s="1" t="str">
        <f>""</f>
        <v/>
      </c>
      <c r="H2184" s="1" t="str">
        <f t="shared" si="44"/>
        <v>BCBS PAYABLE</v>
      </c>
    </row>
    <row r="2185" spans="5:8" x14ac:dyDescent="0.25">
      <c r="E2185" s="1" t="str">
        <f>""</f>
        <v/>
      </c>
      <c r="F2185" s="1" t="str">
        <f>""</f>
        <v/>
      </c>
      <c r="H2185" s="1" t="str">
        <f t="shared" si="44"/>
        <v>BCBS PAYABLE</v>
      </c>
    </row>
    <row r="2186" spans="5:8" x14ac:dyDescent="0.25">
      <c r="E2186" s="1" t="str">
        <f>""</f>
        <v/>
      </c>
      <c r="F2186" s="1" t="str">
        <f>""</f>
        <v/>
      </c>
      <c r="H2186" s="1" t="str">
        <f t="shared" si="44"/>
        <v>BCBS PAYABLE</v>
      </c>
    </row>
    <row r="2187" spans="5:8" x14ac:dyDescent="0.25">
      <c r="E2187" s="1" t="str">
        <f>""</f>
        <v/>
      </c>
      <c r="F2187" s="1" t="str">
        <f>""</f>
        <v/>
      </c>
      <c r="H2187" s="1" t="str">
        <f t="shared" si="44"/>
        <v>BCBS PAYABLE</v>
      </c>
    </row>
    <row r="2188" spans="5:8" x14ac:dyDescent="0.25">
      <c r="E2188" s="1" t="str">
        <f>""</f>
        <v/>
      </c>
      <c r="F2188" s="1" t="str">
        <f>""</f>
        <v/>
      </c>
      <c r="H2188" s="1" t="str">
        <f t="shared" si="44"/>
        <v>BCBS PAYABLE</v>
      </c>
    </row>
    <row r="2189" spans="5:8" x14ac:dyDescent="0.25">
      <c r="E2189" s="1" t="str">
        <f>""</f>
        <v/>
      </c>
      <c r="F2189" s="1" t="str">
        <f>""</f>
        <v/>
      </c>
      <c r="H2189" s="1" t="str">
        <f t="shared" si="44"/>
        <v>BCBS PAYABLE</v>
      </c>
    </row>
    <row r="2190" spans="5:8" x14ac:dyDescent="0.25">
      <c r="E2190" s="1" t="str">
        <f>""</f>
        <v/>
      </c>
      <c r="F2190" s="1" t="str">
        <f>""</f>
        <v/>
      </c>
      <c r="H2190" s="1" t="str">
        <f t="shared" si="44"/>
        <v>BCBS PAYABLE</v>
      </c>
    </row>
    <row r="2191" spans="5:8" x14ac:dyDescent="0.25">
      <c r="E2191" s="1" t="str">
        <f>""</f>
        <v/>
      </c>
      <c r="F2191" s="1" t="str">
        <f>""</f>
        <v/>
      </c>
      <c r="H2191" s="1" t="str">
        <f t="shared" si="44"/>
        <v>BCBS PAYABLE</v>
      </c>
    </row>
    <row r="2192" spans="5:8" x14ac:dyDescent="0.25">
      <c r="E2192" s="1" t="str">
        <f>""</f>
        <v/>
      </c>
      <c r="F2192" s="1" t="str">
        <f>""</f>
        <v/>
      </c>
      <c r="H2192" s="1" t="str">
        <f t="shared" si="44"/>
        <v>BCBS PAYABLE</v>
      </c>
    </row>
    <row r="2193" spans="5:8" x14ac:dyDescent="0.25">
      <c r="E2193" s="1" t="str">
        <f>""</f>
        <v/>
      </c>
      <c r="F2193" s="1" t="str">
        <f>""</f>
        <v/>
      </c>
      <c r="H2193" s="1" t="str">
        <f t="shared" si="44"/>
        <v>BCBS PAYABLE</v>
      </c>
    </row>
    <row r="2194" spans="5:8" x14ac:dyDescent="0.25">
      <c r="E2194" s="1" t="str">
        <f>""</f>
        <v/>
      </c>
      <c r="F2194" s="1" t="str">
        <f>""</f>
        <v/>
      </c>
      <c r="H2194" s="1" t="str">
        <f t="shared" si="44"/>
        <v>BCBS PAYABLE</v>
      </c>
    </row>
    <row r="2195" spans="5:8" x14ac:dyDescent="0.25">
      <c r="E2195" s="1" t="str">
        <f>""</f>
        <v/>
      </c>
      <c r="F2195" s="1" t="str">
        <f>""</f>
        <v/>
      </c>
      <c r="H2195" s="1" t="str">
        <f t="shared" si="44"/>
        <v>BCBS PAYABLE</v>
      </c>
    </row>
    <row r="2196" spans="5:8" x14ac:dyDescent="0.25">
      <c r="E2196" s="1" t="str">
        <f>""</f>
        <v/>
      </c>
      <c r="F2196" s="1" t="str">
        <f>""</f>
        <v/>
      </c>
      <c r="H2196" s="1" t="str">
        <f t="shared" si="44"/>
        <v>BCBS PAYABLE</v>
      </c>
    </row>
    <row r="2197" spans="5:8" x14ac:dyDescent="0.25">
      <c r="E2197" s="1" t="str">
        <f>""</f>
        <v/>
      </c>
      <c r="F2197" s="1" t="str">
        <f>""</f>
        <v/>
      </c>
      <c r="H2197" s="1" t="str">
        <f t="shared" si="44"/>
        <v>BCBS PAYABLE</v>
      </c>
    </row>
    <row r="2198" spans="5:8" x14ac:dyDescent="0.25">
      <c r="E2198" s="1" t="str">
        <f>""</f>
        <v/>
      </c>
      <c r="F2198" s="1" t="str">
        <f>""</f>
        <v/>
      </c>
      <c r="H2198" s="1" t="str">
        <f t="shared" si="44"/>
        <v>BCBS PAYABLE</v>
      </c>
    </row>
    <row r="2199" spans="5:8" x14ac:dyDescent="0.25">
      <c r="E2199" s="1" t="str">
        <f>""</f>
        <v/>
      </c>
      <c r="F2199" s="1" t="str">
        <f>""</f>
        <v/>
      </c>
      <c r="H2199" s="1" t="str">
        <f t="shared" si="44"/>
        <v>BCBS PAYABLE</v>
      </c>
    </row>
    <row r="2200" spans="5:8" x14ac:dyDescent="0.25">
      <c r="E2200" s="1" t="str">
        <f>""</f>
        <v/>
      </c>
      <c r="F2200" s="1" t="str">
        <f>""</f>
        <v/>
      </c>
      <c r="H2200" s="1" t="str">
        <f t="shared" si="44"/>
        <v>BCBS PAYABLE</v>
      </c>
    </row>
    <row r="2201" spans="5:8" x14ac:dyDescent="0.25">
      <c r="E2201" s="1" t="str">
        <f>""</f>
        <v/>
      </c>
      <c r="F2201" s="1" t="str">
        <f>""</f>
        <v/>
      </c>
      <c r="H2201" s="1" t="str">
        <f t="shared" si="44"/>
        <v>BCBS PAYABLE</v>
      </c>
    </row>
    <row r="2202" spans="5:8" x14ac:dyDescent="0.25">
      <c r="E2202" s="1" t="str">
        <f>""</f>
        <v/>
      </c>
      <c r="F2202" s="1" t="str">
        <f>""</f>
        <v/>
      </c>
      <c r="H2202" s="1" t="str">
        <f t="shared" si="44"/>
        <v>BCBS PAYABLE</v>
      </c>
    </row>
    <row r="2203" spans="5:8" x14ac:dyDescent="0.25">
      <c r="E2203" s="1" t="str">
        <f>""</f>
        <v/>
      </c>
      <c r="F2203" s="1" t="str">
        <f>""</f>
        <v/>
      </c>
      <c r="H2203" s="1" t="str">
        <f t="shared" si="44"/>
        <v>BCBS PAYABLE</v>
      </c>
    </row>
    <row r="2204" spans="5:8" x14ac:dyDescent="0.25">
      <c r="E2204" s="1" t="str">
        <f>""</f>
        <v/>
      </c>
      <c r="F2204" s="1" t="str">
        <f>""</f>
        <v/>
      </c>
      <c r="H2204" s="1" t="str">
        <f t="shared" si="44"/>
        <v>BCBS PAYABLE</v>
      </c>
    </row>
    <row r="2205" spans="5:8" x14ac:dyDescent="0.25">
      <c r="E2205" s="1" t="str">
        <f>""</f>
        <v/>
      </c>
      <c r="F2205" s="1" t="str">
        <f>""</f>
        <v/>
      </c>
      <c r="H2205" s="1" t="str">
        <f t="shared" si="44"/>
        <v>BCBS PAYABLE</v>
      </c>
    </row>
    <row r="2206" spans="5:8" x14ac:dyDescent="0.25">
      <c r="E2206" s="1" t="str">
        <f>"2EC201907090325"</f>
        <v>2EC201907090325</v>
      </c>
      <c r="F2206" s="1" t="str">
        <f>"BCBS PAYABLE"</f>
        <v>BCBS PAYABLE</v>
      </c>
      <c r="G2206" s="3">
        <v>1737.8</v>
      </c>
      <c r="H2206" s="1" t="str">
        <f t="shared" si="44"/>
        <v>BCBS PAYABLE</v>
      </c>
    </row>
    <row r="2207" spans="5:8" x14ac:dyDescent="0.25">
      <c r="E2207" s="1" t="str">
        <f>""</f>
        <v/>
      </c>
      <c r="F2207" s="1" t="str">
        <f>""</f>
        <v/>
      </c>
      <c r="H2207" s="1" t="str">
        <f t="shared" si="44"/>
        <v>BCBS PAYABLE</v>
      </c>
    </row>
    <row r="2208" spans="5:8" x14ac:dyDescent="0.25">
      <c r="E2208" s="1" t="str">
        <f>"2EC201907230648"</f>
        <v>2EC201907230648</v>
      </c>
      <c r="F2208" s="1" t="str">
        <f>"BCBS PAYABLE"</f>
        <v>BCBS PAYABLE</v>
      </c>
      <c r="G2208" s="3">
        <v>45617.25</v>
      </c>
      <c r="H2208" s="1" t="str">
        <f t="shared" ref="H2208:H2239" si="45">"BCBS PAYABLE"</f>
        <v>BCBS PAYABLE</v>
      </c>
    </row>
    <row r="2209" spans="5:8" x14ac:dyDescent="0.25">
      <c r="E2209" s="1" t="str">
        <f>""</f>
        <v/>
      </c>
      <c r="F2209" s="1" t="str">
        <f>""</f>
        <v/>
      </c>
      <c r="H2209" s="1" t="str">
        <f t="shared" si="45"/>
        <v>BCBS PAYABLE</v>
      </c>
    </row>
    <row r="2210" spans="5:8" x14ac:dyDescent="0.25">
      <c r="E2210" s="1" t="str">
        <f>""</f>
        <v/>
      </c>
      <c r="F2210" s="1" t="str">
        <f>""</f>
        <v/>
      </c>
      <c r="H2210" s="1" t="str">
        <f t="shared" si="45"/>
        <v>BCBS PAYABLE</v>
      </c>
    </row>
    <row r="2211" spans="5:8" x14ac:dyDescent="0.25">
      <c r="E2211" s="1" t="str">
        <f>""</f>
        <v/>
      </c>
      <c r="F2211" s="1" t="str">
        <f>""</f>
        <v/>
      </c>
      <c r="H2211" s="1" t="str">
        <f t="shared" si="45"/>
        <v>BCBS PAYABLE</v>
      </c>
    </row>
    <row r="2212" spans="5:8" x14ac:dyDescent="0.25">
      <c r="E2212" s="1" t="str">
        <f>""</f>
        <v/>
      </c>
      <c r="F2212" s="1" t="str">
        <f>""</f>
        <v/>
      </c>
      <c r="H2212" s="1" t="str">
        <f t="shared" si="45"/>
        <v>BCBS PAYABLE</v>
      </c>
    </row>
    <row r="2213" spans="5:8" x14ac:dyDescent="0.25">
      <c r="E2213" s="1" t="str">
        <f>""</f>
        <v/>
      </c>
      <c r="F2213" s="1" t="str">
        <f>""</f>
        <v/>
      </c>
      <c r="H2213" s="1" t="str">
        <f t="shared" si="45"/>
        <v>BCBS PAYABLE</v>
      </c>
    </row>
    <row r="2214" spans="5:8" x14ac:dyDescent="0.25">
      <c r="E2214" s="1" t="str">
        <f>""</f>
        <v/>
      </c>
      <c r="F2214" s="1" t="str">
        <f>""</f>
        <v/>
      </c>
      <c r="H2214" s="1" t="str">
        <f t="shared" si="45"/>
        <v>BCBS PAYABLE</v>
      </c>
    </row>
    <row r="2215" spans="5:8" x14ac:dyDescent="0.25">
      <c r="E2215" s="1" t="str">
        <f>""</f>
        <v/>
      </c>
      <c r="F2215" s="1" t="str">
        <f>""</f>
        <v/>
      </c>
      <c r="H2215" s="1" t="str">
        <f t="shared" si="45"/>
        <v>BCBS PAYABLE</v>
      </c>
    </row>
    <row r="2216" spans="5:8" x14ac:dyDescent="0.25">
      <c r="E2216" s="1" t="str">
        <f>""</f>
        <v/>
      </c>
      <c r="F2216" s="1" t="str">
        <f>""</f>
        <v/>
      </c>
      <c r="H2216" s="1" t="str">
        <f t="shared" si="45"/>
        <v>BCBS PAYABLE</v>
      </c>
    </row>
    <row r="2217" spans="5:8" x14ac:dyDescent="0.25">
      <c r="E2217" s="1" t="str">
        <f>""</f>
        <v/>
      </c>
      <c r="F2217" s="1" t="str">
        <f>""</f>
        <v/>
      </c>
      <c r="H2217" s="1" t="str">
        <f t="shared" si="45"/>
        <v>BCBS PAYABLE</v>
      </c>
    </row>
    <row r="2218" spans="5:8" x14ac:dyDescent="0.25">
      <c r="E2218" s="1" t="str">
        <f>""</f>
        <v/>
      </c>
      <c r="F2218" s="1" t="str">
        <f>""</f>
        <v/>
      </c>
      <c r="H2218" s="1" t="str">
        <f t="shared" si="45"/>
        <v>BCBS PAYABLE</v>
      </c>
    </row>
    <row r="2219" spans="5:8" x14ac:dyDescent="0.25">
      <c r="E2219" s="1" t="str">
        <f>""</f>
        <v/>
      </c>
      <c r="F2219" s="1" t="str">
        <f>""</f>
        <v/>
      </c>
      <c r="H2219" s="1" t="str">
        <f t="shared" si="45"/>
        <v>BCBS PAYABLE</v>
      </c>
    </row>
    <row r="2220" spans="5:8" x14ac:dyDescent="0.25">
      <c r="E2220" s="1" t="str">
        <f>""</f>
        <v/>
      </c>
      <c r="F2220" s="1" t="str">
        <f>""</f>
        <v/>
      </c>
      <c r="H2220" s="1" t="str">
        <f t="shared" si="45"/>
        <v>BCBS PAYABLE</v>
      </c>
    </row>
    <row r="2221" spans="5:8" x14ac:dyDescent="0.25">
      <c r="E2221" s="1" t="str">
        <f>""</f>
        <v/>
      </c>
      <c r="F2221" s="1" t="str">
        <f>""</f>
        <v/>
      </c>
      <c r="H2221" s="1" t="str">
        <f t="shared" si="45"/>
        <v>BCBS PAYABLE</v>
      </c>
    </row>
    <row r="2222" spans="5:8" x14ac:dyDescent="0.25">
      <c r="E2222" s="1" t="str">
        <f>""</f>
        <v/>
      </c>
      <c r="F2222" s="1" t="str">
        <f>""</f>
        <v/>
      </c>
      <c r="H2222" s="1" t="str">
        <f t="shared" si="45"/>
        <v>BCBS PAYABLE</v>
      </c>
    </row>
    <row r="2223" spans="5:8" x14ac:dyDescent="0.25">
      <c r="E2223" s="1" t="str">
        <f>""</f>
        <v/>
      </c>
      <c r="F2223" s="1" t="str">
        <f>""</f>
        <v/>
      </c>
      <c r="H2223" s="1" t="str">
        <f t="shared" si="45"/>
        <v>BCBS PAYABLE</v>
      </c>
    </row>
    <row r="2224" spans="5:8" x14ac:dyDescent="0.25">
      <c r="E2224" s="1" t="str">
        <f>""</f>
        <v/>
      </c>
      <c r="F2224" s="1" t="str">
        <f>""</f>
        <v/>
      </c>
      <c r="H2224" s="1" t="str">
        <f t="shared" si="45"/>
        <v>BCBS PAYABLE</v>
      </c>
    </row>
    <row r="2225" spans="5:8" x14ac:dyDescent="0.25">
      <c r="E2225" s="1" t="str">
        <f>""</f>
        <v/>
      </c>
      <c r="F2225" s="1" t="str">
        <f>""</f>
        <v/>
      </c>
      <c r="H2225" s="1" t="str">
        <f t="shared" si="45"/>
        <v>BCBS PAYABLE</v>
      </c>
    </row>
    <row r="2226" spans="5:8" x14ac:dyDescent="0.25">
      <c r="E2226" s="1" t="str">
        <f>""</f>
        <v/>
      </c>
      <c r="F2226" s="1" t="str">
        <f>""</f>
        <v/>
      </c>
      <c r="H2226" s="1" t="str">
        <f t="shared" si="45"/>
        <v>BCBS PAYABLE</v>
      </c>
    </row>
    <row r="2227" spans="5:8" x14ac:dyDescent="0.25">
      <c r="E2227" s="1" t="str">
        <f>""</f>
        <v/>
      </c>
      <c r="F2227" s="1" t="str">
        <f>""</f>
        <v/>
      </c>
      <c r="H2227" s="1" t="str">
        <f t="shared" si="45"/>
        <v>BCBS PAYABLE</v>
      </c>
    </row>
    <row r="2228" spans="5:8" x14ac:dyDescent="0.25">
      <c r="E2228" s="1" t="str">
        <f>""</f>
        <v/>
      </c>
      <c r="F2228" s="1" t="str">
        <f>""</f>
        <v/>
      </c>
      <c r="H2228" s="1" t="str">
        <f t="shared" si="45"/>
        <v>BCBS PAYABLE</v>
      </c>
    </row>
    <row r="2229" spans="5:8" x14ac:dyDescent="0.25">
      <c r="E2229" s="1" t="str">
        <f>""</f>
        <v/>
      </c>
      <c r="F2229" s="1" t="str">
        <f>""</f>
        <v/>
      </c>
      <c r="H2229" s="1" t="str">
        <f t="shared" si="45"/>
        <v>BCBS PAYABLE</v>
      </c>
    </row>
    <row r="2230" spans="5:8" x14ac:dyDescent="0.25">
      <c r="E2230" s="1" t="str">
        <f>""</f>
        <v/>
      </c>
      <c r="F2230" s="1" t="str">
        <f>""</f>
        <v/>
      </c>
      <c r="H2230" s="1" t="str">
        <f t="shared" si="45"/>
        <v>BCBS PAYABLE</v>
      </c>
    </row>
    <row r="2231" spans="5:8" x14ac:dyDescent="0.25">
      <c r="E2231" s="1" t="str">
        <f>""</f>
        <v/>
      </c>
      <c r="F2231" s="1" t="str">
        <f>""</f>
        <v/>
      </c>
      <c r="H2231" s="1" t="str">
        <f t="shared" si="45"/>
        <v>BCBS PAYABLE</v>
      </c>
    </row>
    <row r="2232" spans="5:8" x14ac:dyDescent="0.25">
      <c r="E2232" s="1" t="str">
        <f>""</f>
        <v/>
      </c>
      <c r="F2232" s="1" t="str">
        <f>""</f>
        <v/>
      </c>
      <c r="H2232" s="1" t="str">
        <f t="shared" si="45"/>
        <v>BCBS PAYABLE</v>
      </c>
    </row>
    <row r="2233" spans="5:8" x14ac:dyDescent="0.25">
      <c r="E2233" s="1" t="str">
        <f>""</f>
        <v/>
      </c>
      <c r="F2233" s="1" t="str">
        <f>""</f>
        <v/>
      </c>
      <c r="H2233" s="1" t="str">
        <f t="shared" si="45"/>
        <v>BCBS PAYABLE</v>
      </c>
    </row>
    <row r="2234" spans="5:8" x14ac:dyDescent="0.25">
      <c r="E2234" s="1" t="str">
        <f>""</f>
        <v/>
      </c>
      <c r="F2234" s="1" t="str">
        <f>""</f>
        <v/>
      </c>
      <c r="H2234" s="1" t="str">
        <f t="shared" si="45"/>
        <v>BCBS PAYABLE</v>
      </c>
    </row>
    <row r="2235" spans="5:8" x14ac:dyDescent="0.25">
      <c r="E2235" s="1" t="str">
        <f>""</f>
        <v/>
      </c>
      <c r="F2235" s="1" t="str">
        <f>""</f>
        <v/>
      </c>
      <c r="H2235" s="1" t="str">
        <f t="shared" si="45"/>
        <v>BCBS PAYABLE</v>
      </c>
    </row>
    <row r="2236" spans="5:8" x14ac:dyDescent="0.25">
      <c r="E2236" s="1" t="str">
        <f>""</f>
        <v/>
      </c>
      <c r="F2236" s="1" t="str">
        <f>""</f>
        <v/>
      </c>
      <c r="H2236" s="1" t="str">
        <f t="shared" si="45"/>
        <v>BCBS PAYABLE</v>
      </c>
    </row>
    <row r="2237" spans="5:8" x14ac:dyDescent="0.25">
      <c r="E2237" s="1" t="str">
        <f>""</f>
        <v/>
      </c>
      <c r="F2237" s="1" t="str">
        <f>""</f>
        <v/>
      </c>
      <c r="H2237" s="1" t="str">
        <f t="shared" si="45"/>
        <v>BCBS PAYABLE</v>
      </c>
    </row>
    <row r="2238" spans="5:8" x14ac:dyDescent="0.25">
      <c r="E2238" s="1" t="str">
        <f>"2EC201907230650"</f>
        <v>2EC201907230650</v>
      </c>
      <c r="F2238" s="1" t="str">
        <f>"BCBS PAYABLE"</f>
        <v>BCBS PAYABLE</v>
      </c>
      <c r="G2238" s="3">
        <v>1737.8</v>
      </c>
      <c r="H2238" s="1" t="str">
        <f t="shared" si="45"/>
        <v>BCBS PAYABLE</v>
      </c>
    </row>
    <row r="2239" spans="5:8" x14ac:dyDescent="0.25">
      <c r="E2239" s="1" t="str">
        <f>""</f>
        <v/>
      </c>
      <c r="F2239" s="1" t="str">
        <f>""</f>
        <v/>
      </c>
      <c r="H2239" s="1" t="str">
        <f t="shared" si="45"/>
        <v>BCBS PAYABLE</v>
      </c>
    </row>
    <row r="2240" spans="5:8" x14ac:dyDescent="0.25">
      <c r="E2240" s="1" t="str">
        <f>"2EF201907090324"</f>
        <v>2EF201907090324</v>
      </c>
      <c r="F2240" s="1" t="str">
        <f>"BCBS PAYABLE"</f>
        <v>BCBS PAYABLE</v>
      </c>
      <c r="G2240" s="3">
        <v>1726.66</v>
      </c>
      <c r="H2240" s="1" t="str">
        <f t="shared" ref="H2240:H2271" si="46">"BCBS PAYABLE"</f>
        <v>BCBS PAYABLE</v>
      </c>
    </row>
    <row r="2241" spans="5:8" x14ac:dyDescent="0.25">
      <c r="E2241" s="1" t="str">
        <f>""</f>
        <v/>
      </c>
      <c r="F2241" s="1" t="str">
        <f>""</f>
        <v/>
      </c>
      <c r="H2241" s="1" t="str">
        <f t="shared" si="46"/>
        <v>BCBS PAYABLE</v>
      </c>
    </row>
    <row r="2242" spans="5:8" x14ac:dyDescent="0.25">
      <c r="E2242" s="1" t="str">
        <f>""</f>
        <v/>
      </c>
      <c r="F2242" s="1" t="str">
        <f>""</f>
        <v/>
      </c>
      <c r="H2242" s="1" t="str">
        <f t="shared" si="46"/>
        <v>BCBS PAYABLE</v>
      </c>
    </row>
    <row r="2243" spans="5:8" x14ac:dyDescent="0.25">
      <c r="E2243" s="1" t="str">
        <f>"2EF201907230648"</f>
        <v>2EF201907230648</v>
      </c>
      <c r="F2243" s="1" t="str">
        <f>"BCBS PAYABLE"</f>
        <v>BCBS PAYABLE</v>
      </c>
      <c r="G2243" s="3">
        <v>1726.66</v>
      </c>
      <c r="H2243" s="1" t="str">
        <f t="shared" si="46"/>
        <v>BCBS PAYABLE</v>
      </c>
    </row>
    <row r="2244" spans="5:8" x14ac:dyDescent="0.25">
      <c r="E2244" s="1" t="str">
        <f>""</f>
        <v/>
      </c>
      <c r="F2244" s="1" t="str">
        <f>""</f>
        <v/>
      </c>
      <c r="H2244" s="1" t="str">
        <f t="shared" si="46"/>
        <v>BCBS PAYABLE</v>
      </c>
    </row>
    <row r="2245" spans="5:8" x14ac:dyDescent="0.25">
      <c r="E2245" s="1" t="str">
        <f>""</f>
        <v/>
      </c>
      <c r="F2245" s="1" t="str">
        <f>""</f>
        <v/>
      </c>
      <c r="H2245" s="1" t="str">
        <f t="shared" si="46"/>
        <v>BCBS PAYABLE</v>
      </c>
    </row>
    <row r="2246" spans="5:8" x14ac:dyDescent="0.25">
      <c r="E2246" s="1" t="str">
        <f>"2EO201907090324"</f>
        <v>2EO201907090324</v>
      </c>
      <c r="F2246" s="1" t="str">
        <f>"BCBS PAYABLE"</f>
        <v>BCBS PAYABLE</v>
      </c>
      <c r="G2246" s="3">
        <v>90714.96</v>
      </c>
      <c r="H2246" s="1" t="str">
        <f t="shared" si="46"/>
        <v>BCBS PAYABLE</v>
      </c>
    </row>
    <row r="2247" spans="5:8" x14ac:dyDescent="0.25">
      <c r="E2247" s="1" t="str">
        <f>""</f>
        <v/>
      </c>
      <c r="F2247" s="1" t="str">
        <f>""</f>
        <v/>
      </c>
      <c r="H2247" s="1" t="str">
        <f t="shared" si="46"/>
        <v>BCBS PAYABLE</v>
      </c>
    </row>
    <row r="2248" spans="5:8" x14ac:dyDescent="0.25">
      <c r="E2248" s="1" t="str">
        <f>""</f>
        <v/>
      </c>
      <c r="F2248" s="1" t="str">
        <f>""</f>
        <v/>
      </c>
      <c r="H2248" s="1" t="str">
        <f t="shared" si="46"/>
        <v>BCBS PAYABLE</v>
      </c>
    </row>
    <row r="2249" spans="5:8" x14ac:dyDescent="0.25">
      <c r="E2249" s="1" t="str">
        <f>""</f>
        <v/>
      </c>
      <c r="F2249" s="1" t="str">
        <f>""</f>
        <v/>
      </c>
      <c r="H2249" s="1" t="str">
        <f t="shared" si="46"/>
        <v>BCBS PAYABLE</v>
      </c>
    </row>
    <row r="2250" spans="5:8" x14ac:dyDescent="0.25">
      <c r="E2250" s="1" t="str">
        <f>""</f>
        <v/>
      </c>
      <c r="F2250" s="1" t="str">
        <f>""</f>
        <v/>
      </c>
      <c r="H2250" s="1" t="str">
        <f t="shared" si="46"/>
        <v>BCBS PAYABLE</v>
      </c>
    </row>
    <row r="2251" spans="5:8" x14ac:dyDescent="0.25">
      <c r="E2251" s="1" t="str">
        <f>""</f>
        <v/>
      </c>
      <c r="F2251" s="1" t="str">
        <f>""</f>
        <v/>
      </c>
      <c r="H2251" s="1" t="str">
        <f t="shared" si="46"/>
        <v>BCBS PAYABLE</v>
      </c>
    </row>
    <row r="2252" spans="5:8" x14ac:dyDescent="0.25">
      <c r="E2252" s="1" t="str">
        <f>""</f>
        <v/>
      </c>
      <c r="F2252" s="1" t="str">
        <f>""</f>
        <v/>
      </c>
      <c r="H2252" s="1" t="str">
        <f t="shared" si="46"/>
        <v>BCBS PAYABLE</v>
      </c>
    </row>
    <row r="2253" spans="5:8" x14ac:dyDescent="0.25">
      <c r="E2253" s="1" t="str">
        <f>""</f>
        <v/>
      </c>
      <c r="F2253" s="1" t="str">
        <f>""</f>
        <v/>
      </c>
      <c r="H2253" s="1" t="str">
        <f t="shared" si="46"/>
        <v>BCBS PAYABLE</v>
      </c>
    </row>
    <row r="2254" spans="5:8" x14ac:dyDescent="0.25">
      <c r="E2254" s="1" t="str">
        <f>""</f>
        <v/>
      </c>
      <c r="F2254" s="1" t="str">
        <f>""</f>
        <v/>
      </c>
      <c r="H2254" s="1" t="str">
        <f t="shared" si="46"/>
        <v>BCBS PAYABLE</v>
      </c>
    </row>
    <row r="2255" spans="5:8" x14ac:dyDescent="0.25">
      <c r="E2255" s="1" t="str">
        <f>""</f>
        <v/>
      </c>
      <c r="F2255" s="1" t="str">
        <f>""</f>
        <v/>
      </c>
      <c r="H2255" s="1" t="str">
        <f t="shared" si="46"/>
        <v>BCBS PAYABLE</v>
      </c>
    </row>
    <row r="2256" spans="5:8" x14ac:dyDescent="0.25">
      <c r="E2256" s="1" t="str">
        <f>""</f>
        <v/>
      </c>
      <c r="F2256" s="1" t="str">
        <f>""</f>
        <v/>
      </c>
      <c r="H2256" s="1" t="str">
        <f t="shared" si="46"/>
        <v>BCBS PAYABLE</v>
      </c>
    </row>
    <row r="2257" spans="5:8" x14ac:dyDescent="0.25">
      <c r="E2257" s="1" t="str">
        <f>""</f>
        <v/>
      </c>
      <c r="F2257" s="1" t="str">
        <f>""</f>
        <v/>
      </c>
      <c r="H2257" s="1" t="str">
        <f t="shared" si="46"/>
        <v>BCBS PAYABLE</v>
      </c>
    </row>
    <row r="2258" spans="5:8" x14ac:dyDescent="0.25">
      <c r="E2258" s="1" t="str">
        <f>""</f>
        <v/>
      </c>
      <c r="F2258" s="1" t="str">
        <f>""</f>
        <v/>
      </c>
      <c r="H2258" s="1" t="str">
        <f t="shared" si="46"/>
        <v>BCBS PAYABLE</v>
      </c>
    </row>
    <row r="2259" spans="5:8" x14ac:dyDescent="0.25">
      <c r="E2259" s="1" t="str">
        <f>""</f>
        <v/>
      </c>
      <c r="F2259" s="1" t="str">
        <f>""</f>
        <v/>
      </c>
      <c r="H2259" s="1" t="str">
        <f t="shared" si="46"/>
        <v>BCBS PAYABLE</v>
      </c>
    </row>
    <row r="2260" spans="5:8" x14ac:dyDescent="0.25">
      <c r="E2260" s="1" t="str">
        <f>""</f>
        <v/>
      </c>
      <c r="F2260" s="1" t="str">
        <f>""</f>
        <v/>
      </c>
      <c r="H2260" s="1" t="str">
        <f t="shared" si="46"/>
        <v>BCBS PAYABLE</v>
      </c>
    </row>
    <row r="2261" spans="5:8" x14ac:dyDescent="0.25">
      <c r="E2261" s="1" t="str">
        <f>""</f>
        <v/>
      </c>
      <c r="F2261" s="1" t="str">
        <f>""</f>
        <v/>
      </c>
      <c r="H2261" s="1" t="str">
        <f t="shared" si="46"/>
        <v>BCBS PAYABLE</v>
      </c>
    </row>
    <row r="2262" spans="5:8" x14ac:dyDescent="0.25">
      <c r="E2262" s="1" t="str">
        <f>""</f>
        <v/>
      </c>
      <c r="F2262" s="1" t="str">
        <f>""</f>
        <v/>
      </c>
      <c r="H2262" s="1" t="str">
        <f t="shared" si="46"/>
        <v>BCBS PAYABLE</v>
      </c>
    </row>
    <row r="2263" spans="5:8" x14ac:dyDescent="0.25">
      <c r="E2263" s="1" t="str">
        <f>""</f>
        <v/>
      </c>
      <c r="F2263" s="1" t="str">
        <f>""</f>
        <v/>
      </c>
      <c r="H2263" s="1" t="str">
        <f t="shared" si="46"/>
        <v>BCBS PAYABLE</v>
      </c>
    </row>
    <row r="2264" spans="5:8" x14ac:dyDescent="0.25">
      <c r="E2264" s="1" t="str">
        <f>""</f>
        <v/>
      </c>
      <c r="F2264" s="1" t="str">
        <f>""</f>
        <v/>
      </c>
      <c r="H2264" s="1" t="str">
        <f t="shared" si="46"/>
        <v>BCBS PAYABLE</v>
      </c>
    </row>
    <row r="2265" spans="5:8" x14ac:dyDescent="0.25">
      <c r="E2265" s="1" t="str">
        <f>""</f>
        <v/>
      </c>
      <c r="F2265" s="1" t="str">
        <f>""</f>
        <v/>
      </c>
      <c r="H2265" s="1" t="str">
        <f t="shared" si="46"/>
        <v>BCBS PAYABLE</v>
      </c>
    </row>
    <row r="2266" spans="5:8" x14ac:dyDescent="0.25">
      <c r="E2266" s="1" t="str">
        <f>""</f>
        <v/>
      </c>
      <c r="F2266" s="1" t="str">
        <f>""</f>
        <v/>
      </c>
      <c r="H2266" s="1" t="str">
        <f t="shared" si="46"/>
        <v>BCBS PAYABLE</v>
      </c>
    </row>
    <row r="2267" spans="5:8" x14ac:dyDescent="0.25">
      <c r="E2267" s="1" t="str">
        <f>""</f>
        <v/>
      </c>
      <c r="F2267" s="1" t="str">
        <f>""</f>
        <v/>
      </c>
      <c r="H2267" s="1" t="str">
        <f t="shared" si="46"/>
        <v>BCBS PAYABLE</v>
      </c>
    </row>
    <row r="2268" spans="5:8" x14ac:dyDescent="0.25">
      <c r="E2268" s="1" t="str">
        <f>""</f>
        <v/>
      </c>
      <c r="F2268" s="1" t="str">
        <f>""</f>
        <v/>
      </c>
      <c r="H2268" s="1" t="str">
        <f t="shared" si="46"/>
        <v>BCBS PAYABLE</v>
      </c>
    </row>
    <row r="2269" spans="5:8" x14ac:dyDescent="0.25">
      <c r="E2269" s="1" t="str">
        <f>""</f>
        <v/>
      </c>
      <c r="F2269" s="1" t="str">
        <f>""</f>
        <v/>
      </c>
      <c r="H2269" s="1" t="str">
        <f t="shared" si="46"/>
        <v>BCBS PAYABLE</v>
      </c>
    </row>
    <row r="2270" spans="5:8" x14ac:dyDescent="0.25">
      <c r="E2270" s="1" t="str">
        <f>""</f>
        <v/>
      </c>
      <c r="F2270" s="1" t="str">
        <f>""</f>
        <v/>
      </c>
      <c r="H2270" s="1" t="str">
        <f t="shared" si="46"/>
        <v>BCBS PAYABLE</v>
      </c>
    </row>
    <row r="2271" spans="5:8" x14ac:dyDescent="0.25">
      <c r="E2271" s="1" t="str">
        <f>""</f>
        <v/>
      </c>
      <c r="F2271" s="1" t="str">
        <f>""</f>
        <v/>
      </c>
      <c r="H2271" s="1" t="str">
        <f t="shared" si="46"/>
        <v>BCBS PAYABLE</v>
      </c>
    </row>
    <row r="2272" spans="5:8" x14ac:dyDescent="0.25">
      <c r="E2272" s="1" t="str">
        <f>""</f>
        <v/>
      </c>
      <c r="F2272" s="1" t="str">
        <f>""</f>
        <v/>
      </c>
      <c r="H2272" s="1" t="str">
        <f t="shared" ref="H2272:H2303" si="47">"BCBS PAYABLE"</f>
        <v>BCBS PAYABLE</v>
      </c>
    </row>
    <row r="2273" spans="5:8" x14ac:dyDescent="0.25">
      <c r="E2273" s="1" t="str">
        <f>""</f>
        <v/>
      </c>
      <c r="F2273" s="1" t="str">
        <f>""</f>
        <v/>
      </c>
      <c r="H2273" s="1" t="str">
        <f t="shared" si="47"/>
        <v>BCBS PAYABLE</v>
      </c>
    </row>
    <row r="2274" spans="5:8" x14ac:dyDescent="0.25">
      <c r="E2274" s="1" t="str">
        <f>""</f>
        <v/>
      </c>
      <c r="F2274" s="1" t="str">
        <f>""</f>
        <v/>
      </c>
      <c r="H2274" s="1" t="str">
        <f t="shared" si="47"/>
        <v>BCBS PAYABLE</v>
      </c>
    </row>
    <row r="2275" spans="5:8" x14ac:dyDescent="0.25">
      <c r="E2275" s="1" t="str">
        <f>""</f>
        <v/>
      </c>
      <c r="F2275" s="1" t="str">
        <f>""</f>
        <v/>
      </c>
      <c r="H2275" s="1" t="str">
        <f t="shared" si="47"/>
        <v>BCBS PAYABLE</v>
      </c>
    </row>
    <row r="2276" spans="5:8" x14ac:dyDescent="0.25">
      <c r="E2276" s="1" t="str">
        <f>""</f>
        <v/>
      </c>
      <c r="F2276" s="1" t="str">
        <f>""</f>
        <v/>
      </c>
      <c r="H2276" s="1" t="str">
        <f t="shared" si="47"/>
        <v>BCBS PAYABLE</v>
      </c>
    </row>
    <row r="2277" spans="5:8" x14ac:dyDescent="0.25">
      <c r="E2277" s="1" t="str">
        <f>""</f>
        <v/>
      </c>
      <c r="F2277" s="1" t="str">
        <f>""</f>
        <v/>
      </c>
      <c r="H2277" s="1" t="str">
        <f t="shared" si="47"/>
        <v>BCBS PAYABLE</v>
      </c>
    </row>
    <row r="2278" spans="5:8" x14ac:dyDescent="0.25">
      <c r="E2278" s="1" t="str">
        <f>""</f>
        <v/>
      </c>
      <c r="F2278" s="1" t="str">
        <f>""</f>
        <v/>
      </c>
      <c r="H2278" s="1" t="str">
        <f t="shared" si="47"/>
        <v>BCBS PAYABLE</v>
      </c>
    </row>
    <row r="2279" spans="5:8" x14ac:dyDescent="0.25">
      <c r="E2279" s="1" t="str">
        <f>""</f>
        <v/>
      </c>
      <c r="F2279" s="1" t="str">
        <f>""</f>
        <v/>
      </c>
      <c r="H2279" s="1" t="str">
        <f t="shared" si="47"/>
        <v>BCBS PAYABLE</v>
      </c>
    </row>
    <row r="2280" spans="5:8" x14ac:dyDescent="0.25">
      <c r="E2280" s="1" t="str">
        <f>""</f>
        <v/>
      </c>
      <c r="F2280" s="1" t="str">
        <f>""</f>
        <v/>
      </c>
      <c r="H2280" s="1" t="str">
        <f t="shared" si="47"/>
        <v>BCBS PAYABLE</v>
      </c>
    </row>
    <row r="2281" spans="5:8" x14ac:dyDescent="0.25">
      <c r="E2281" s="1" t="str">
        <f>""</f>
        <v/>
      </c>
      <c r="F2281" s="1" t="str">
        <f>""</f>
        <v/>
      </c>
      <c r="H2281" s="1" t="str">
        <f t="shared" si="47"/>
        <v>BCBS PAYABLE</v>
      </c>
    </row>
    <row r="2282" spans="5:8" x14ac:dyDescent="0.25">
      <c r="E2282" s="1" t="str">
        <f>""</f>
        <v/>
      </c>
      <c r="F2282" s="1" t="str">
        <f>""</f>
        <v/>
      </c>
      <c r="H2282" s="1" t="str">
        <f t="shared" si="47"/>
        <v>BCBS PAYABLE</v>
      </c>
    </row>
    <row r="2283" spans="5:8" x14ac:dyDescent="0.25">
      <c r="E2283" s="1" t="str">
        <f>""</f>
        <v/>
      </c>
      <c r="F2283" s="1" t="str">
        <f>""</f>
        <v/>
      </c>
      <c r="H2283" s="1" t="str">
        <f t="shared" si="47"/>
        <v>BCBS PAYABLE</v>
      </c>
    </row>
    <row r="2284" spans="5:8" x14ac:dyDescent="0.25">
      <c r="E2284" s="1" t="str">
        <f>""</f>
        <v/>
      </c>
      <c r="F2284" s="1" t="str">
        <f>""</f>
        <v/>
      </c>
      <c r="H2284" s="1" t="str">
        <f t="shared" si="47"/>
        <v>BCBS PAYABLE</v>
      </c>
    </row>
    <row r="2285" spans="5:8" x14ac:dyDescent="0.25">
      <c r="E2285" s="1" t="str">
        <f>""</f>
        <v/>
      </c>
      <c r="F2285" s="1" t="str">
        <f>""</f>
        <v/>
      </c>
      <c r="H2285" s="1" t="str">
        <f t="shared" si="47"/>
        <v>BCBS PAYABLE</v>
      </c>
    </row>
    <row r="2286" spans="5:8" x14ac:dyDescent="0.25">
      <c r="E2286" s="1" t="str">
        <f>""</f>
        <v/>
      </c>
      <c r="F2286" s="1" t="str">
        <f>""</f>
        <v/>
      </c>
      <c r="H2286" s="1" t="str">
        <f t="shared" si="47"/>
        <v>BCBS PAYABLE</v>
      </c>
    </row>
    <row r="2287" spans="5:8" x14ac:dyDescent="0.25">
      <c r="E2287" s="1" t="str">
        <f>""</f>
        <v/>
      </c>
      <c r="F2287" s="1" t="str">
        <f>""</f>
        <v/>
      </c>
      <c r="H2287" s="1" t="str">
        <f t="shared" si="47"/>
        <v>BCBS PAYABLE</v>
      </c>
    </row>
    <row r="2288" spans="5:8" x14ac:dyDescent="0.25">
      <c r="E2288" s="1" t="str">
        <f>""</f>
        <v/>
      </c>
      <c r="F2288" s="1" t="str">
        <f>""</f>
        <v/>
      </c>
      <c r="H2288" s="1" t="str">
        <f t="shared" si="47"/>
        <v>BCBS PAYABLE</v>
      </c>
    </row>
    <row r="2289" spans="5:8" x14ac:dyDescent="0.25">
      <c r="E2289" s="1" t="str">
        <f>""</f>
        <v/>
      </c>
      <c r="F2289" s="1" t="str">
        <f>""</f>
        <v/>
      </c>
      <c r="H2289" s="1" t="str">
        <f t="shared" si="47"/>
        <v>BCBS PAYABLE</v>
      </c>
    </row>
    <row r="2290" spans="5:8" x14ac:dyDescent="0.25">
      <c r="E2290" s="1" t="str">
        <f>"2EO201907090325"</f>
        <v>2EO201907090325</v>
      </c>
      <c r="F2290" s="1" t="str">
        <f>"BCBS PAYABLE"</f>
        <v>BCBS PAYABLE</v>
      </c>
      <c r="G2290" s="3">
        <v>3792.96</v>
      </c>
      <c r="H2290" s="1" t="str">
        <f t="shared" si="47"/>
        <v>BCBS PAYABLE</v>
      </c>
    </row>
    <row r="2291" spans="5:8" x14ac:dyDescent="0.25">
      <c r="E2291" s="1" t="str">
        <f>"2EO201907230648"</f>
        <v>2EO201907230648</v>
      </c>
      <c r="F2291" s="1" t="str">
        <f>"BCBS PAYABLE"</f>
        <v>BCBS PAYABLE</v>
      </c>
      <c r="G2291" s="3">
        <v>90714.96</v>
      </c>
      <c r="H2291" s="1" t="str">
        <f t="shared" si="47"/>
        <v>BCBS PAYABLE</v>
      </c>
    </row>
    <row r="2292" spans="5:8" x14ac:dyDescent="0.25">
      <c r="E2292" s="1" t="str">
        <f>""</f>
        <v/>
      </c>
      <c r="F2292" s="1" t="str">
        <f>""</f>
        <v/>
      </c>
      <c r="H2292" s="1" t="str">
        <f t="shared" si="47"/>
        <v>BCBS PAYABLE</v>
      </c>
    </row>
    <row r="2293" spans="5:8" x14ac:dyDescent="0.25">
      <c r="E2293" s="1" t="str">
        <f>""</f>
        <v/>
      </c>
      <c r="F2293" s="1" t="str">
        <f>""</f>
        <v/>
      </c>
      <c r="H2293" s="1" t="str">
        <f t="shared" si="47"/>
        <v>BCBS PAYABLE</v>
      </c>
    </row>
    <row r="2294" spans="5:8" x14ac:dyDescent="0.25">
      <c r="E2294" s="1" t="str">
        <f>""</f>
        <v/>
      </c>
      <c r="F2294" s="1" t="str">
        <f>""</f>
        <v/>
      </c>
      <c r="H2294" s="1" t="str">
        <f t="shared" si="47"/>
        <v>BCBS PAYABLE</v>
      </c>
    </row>
    <row r="2295" spans="5:8" x14ac:dyDescent="0.25">
      <c r="E2295" s="1" t="str">
        <f>""</f>
        <v/>
      </c>
      <c r="F2295" s="1" t="str">
        <f>""</f>
        <v/>
      </c>
      <c r="H2295" s="1" t="str">
        <f t="shared" si="47"/>
        <v>BCBS PAYABLE</v>
      </c>
    </row>
    <row r="2296" spans="5:8" x14ac:dyDescent="0.25">
      <c r="E2296" s="1" t="str">
        <f>""</f>
        <v/>
      </c>
      <c r="F2296" s="1" t="str">
        <f>""</f>
        <v/>
      </c>
      <c r="H2296" s="1" t="str">
        <f t="shared" si="47"/>
        <v>BCBS PAYABLE</v>
      </c>
    </row>
    <row r="2297" spans="5:8" x14ac:dyDescent="0.25">
      <c r="E2297" s="1" t="str">
        <f>""</f>
        <v/>
      </c>
      <c r="F2297" s="1" t="str">
        <f>""</f>
        <v/>
      </c>
      <c r="H2297" s="1" t="str">
        <f t="shared" si="47"/>
        <v>BCBS PAYABLE</v>
      </c>
    </row>
    <row r="2298" spans="5:8" x14ac:dyDescent="0.25">
      <c r="E2298" s="1" t="str">
        <f>""</f>
        <v/>
      </c>
      <c r="F2298" s="1" t="str">
        <f>""</f>
        <v/>
      </c>
      <c r="H2298" s="1" t="str">
        <f t="shared" si="47"/>
        <v>BCBS PAYABLE</v>
      </c>
    </row>
    <row r="2299" spans="5:8" x14ac:dyDescent="0.25">
      <c r="E2299" s="1" t="str">
        <f>""</f>
        <v/>
      </c>
      <c r="F2299" s="1" t="str">
        <f>""</f>
        <v/>
      </c>
      <c r="H2299" s="1" t="str">
        <f t="shared" si="47"/>
        <v>BCBS PAYABLE</v>
      </c>
    </row>
    <row r="2300" spans="5:8" x14ac:dyDescent="0.25">
      <c r="E2300" s="1" t="str">
        <f>""</f>
        <v/>
      </c>
      <c r="F2300" s="1" t="str">
        <f>""</f>
        <v/>
      </c>
      <c r="H2300" s="1" t="str">
        <f t="shared" si="47"/>
        <v>BCBS PAYABLE</v>
      </c>
    </row>
    <row r="2301" spans="5:8" x14ac:dyDescent="0.25">
      <c r="E2301" s="1" t="str">
        <f>""</f>
        <v/>
      </c>
      <c r="F2301" s="1" t="str">
        <f>""</f>
        <v/>
      </c>
      <c r="H2301" s="1" t="str">
        <f t="shared" si="47"/>
        <v>BCBS PAYABLE</v>
      </c>
    </row>
    <row r="2302" spans="5:8" x14ac:dyDescent="0.25">
      <c r="E2302" s="1" t="str">
        <f>""</f>
        <v/>
      </c>
      <c r="F2302" s="1" t="str">
        <f>""</f>
        <v/>
      </c>
      <c r="H2302" s="1" t="str">
        <f t="shared" si="47"/>
        <v>BCBS PAYABLE</v>
      </c>
    </row>
    <row r="2303" spans="5:8" x14ac:dyDescent="0.25">
      <c r="E2303" s="1" t="str">
        <f>""</f>
        <v/>
      </c>
      <c r="F2303" s="1" t="str">
        <f>""</f>
        <v/>
      </c>
      <c r="H2303" s="1" t="str">
        <f t="shared" si="47"/>
        <v>BCBS PAYABLE</v>
      </c>
    </row>
    <row r="2304" spans="5:8" x14ac:dyDescent="0.25">
      <c r="E2304" s="1" t="str">
        <f>""</f>
        <v/>
      </c>
      <c r="F2304" s="1" t="str">
        <f>""</f>
        <v/>
      </c>
      <c r="H2304" s="1" t="str">
        <f t="shared" ref="H2304:H2335" si="48">"BCBS PAYABLE"</f>
        <v>BCBS PAYABLE</v>
      </c>
    </row>
    <row r="2305" spans="5:8" x14ac:dyDescent="0.25">
      <c r="E2305" s="1" t="str">
        <f>""</f>
        <v/>
      </c>
      <c r="F2305" s="1" t="str">
        <f>""</f>
        <v/>
      </c>
      <c r="H2305" s="1" t="str">
        <f t="shared" si="48"/>
        <v>BCBS PAYABLE</v>
      </c>
    </row>
    <row r="2306" spans="5:8" x14ac:dyDescent="0.25">
      <c r="E2306" s="1" t="str">
        <f>""</f>
        <v/>
      </c>
      <c r="F2306" s="1" t="str">
        <f>""</f>
        <v/>
      </c>
      <c r="H2306" s="1" t="str">
        <f t="shared" si="48"/>
        <v>BCBS PAYABLE</v>
      </c>
    </row>
    <row r="2307" spans="5:8" x14ac:dyDescent="0.25">
      <c r="E2307" s="1" t="str">
        <f>""</f>
        <v/>
      </c>
      <c r="F2307" s="1" t="str">
        <f>""</f>
        <v/>
      </c>
      <c r="H2307" s="1" t="str">
        <f t="shared" si="48"/>
        <v>BCBS PAYABLE</v>
      </c>
    </row>
    <row r="2308" spans="5:8" x14ac:dyDescent="0.25">
      <c r="E2308" s="1" t="str">
        <f>""</f>
        <v/>
      </c>
      <c r="F2308" s="1" t="str">
        <f>""</f>
        <v/>
      </c>
      <c r="H2308" s="1" t="str">
        <f t="shared" si="48"/>
        <v>BCBS PAYABLE</v>
      </c>
    </row>
    <row r="2309" spans="5:8" x14ac:dyDescent="0.25">
      <c r="E2309" s="1" t="str">
        <f>""</f>
        <v/>
      </c>
      <c r="F2309" s="1" t="str">
        <f>""</f>
        <v/>
      </c>
      <c r="H2309" s="1" t="str">
        <f t="shared" si="48"/>
        <v>BCBS PAYABLE</v>
      </c>
    </row>
    <row r="2310" spans="5:8" x14ac:dyDescent="0.25">
      <c r="E2310" s="1" t="str">
        <f>""</f>
        <v/>
      </c>
      <c r="F2310" s="1" t="str">
        <f>""</f>
        <v/>
      </c>
      <c r="H2310" s="1" t="str">
        <f t="shared" si="48"/>
        <v>BCBS PAYABLE</v>
      </c>
    </row>
    <row r="2311" spans="5:8" x14ac:dyDescent="0.25">
      <c r="E2311" s="1" t="str">
        <f>""</f>
        <v/>
      </c>
      <c r="F2311" s="1" t="str">
        <f>""</f>
        <v/>
      </c>
      <c r="H2311" s="1" t="str">
        <f t="shared" si="48"/>
        <v>BCBS PAYABLE</v>
      </c>
    </row>
    <row r="2312" spans="5:8" x14ac:dyDescent="0.25">
      <c r="E2312" s="1" t="str">
        <f>""</f>
        <v/>
      </c>
      <c r="F2312" s="1" t="str">
        <f>""</f>
        <v/>
      </c>
      <c r="H2312" s="1" t="str">
        <f t="shared" si="48"/>
        <v>BCBS PAYABLE</v>
      </c>
    </row>
    <row r="2313" spans="5:8" x14ac:dyDescent="0.25">
      <c r="E2313" s="1" t="str">
        <f>""</f>
        <v/>
      </c>
      <c r="F2313" s="1" t="str">
        <f>""</f>
        <v/>
      </c>
      <c r="H2313" s="1" t="str">
        <f t="shared" si="48"/>
        <v>BCBS PAYABLE</v>
      </c>
    </row>
    <row r="2314" spans="5:8" x14ac:dyDescent="0.25">
      <c r="E2314" s="1" t="str">
        <f>""</f>
        <v/>
      </c>
      <c r="F2314" s="1" t="str">
        <f>""</f>
        <v/>
      </c>
      <c r="H2314" s="1" t="str">
        <f t="shared" si="48"/>
        <v>BCBS PAYABLE</v>
      </c>
    </row>
    <row r="2315" spans="5:8" x14ac:dyDescent="0.25">
      <c r="E2315" s="1" t="str">
        <f>""</f>
        <v/>
      </c>
      <c r="F2315" s="1" t="str">
        <f>""</f>
        <v/>
      </c>
      <c r="H2315" s="1" t="str">
        <f t="shared" si="48"/>
        <v>BCBS PAYABLE</v>
      </c>
    </row>
    <row r="2316" spans="5:8" x14ac:dyDescent="0.25">
      <c r="E2316" s="1" t="str">
        <f>""</f>
        <v/>
      </c>
      <c r="F2316" s="1" t="str">
        <f>""</f>
        <v/>
      </c>
      <c r="H2316" s="1" t="str">
        <f t="shared" si="48"/>
        <v>BCBS PAYABLE</v>
      </c>
    </row>
    <row r="2317" spans="5:8" x14ac:dyDescent="0.25">
      <c r="E2317" s="1" t="str">
        <f>""</f>
        <v/>
      </c>
      <c r="F2317" s="1" t="str">
        <f>""</f>
        <v/>
      </c>
      <c r="H2317" s="1" t="str">
        <f t="shared" si="48"/>
        <v>BCBS PAYABLE</v>
      </c>
    </row>
    <row r="2318" spans="5:8" x14ac:dyDescent="0.25">
      <c r="E2318" s="1" t="str">
        <f>""</f>
        <v/>
      </c>
      <c r="F2318" s="1" t="str">
        <f>""</f>
        <v/>
      </c>
      <c r="H2318" s="1" t="str">
        <f t="shared" si="48"/>
        <v>BCBS PAYABLE</v>
      </c>
    </row>
    <row r="2319" spans="5:8" x14ac:dyDescent="0.25">
      <c r="E2319" s="1" t="str">
        <f>""</f>
        <v/>
      </c>
      <c r="F2319" s="1" t="str">
        <f>""</f>
        <v/>
      </c>
      <c r="H2319" s="1" t="str">
        <f t="shared" si="48"/>
        <v>BCBS PAYABLE</v>
      </c>
    </row>
    <row r="2320" spans="5:8" x14ac:dyDescent="0.25">
      <c r="E2320" s="1" t="str">
        <f>""</f>
        <v/>
      </c>
      <c r="F2320" s="1" t="str">
        <f>""</f>
        <v/>
      </c>
      <c r="H2320" s="1" t="str">
        <f t="shared" si="48"/>
        <v>BCBS PAYABLE</v>
      </c>
    </row>
    <row r="2321" spans="5:8" x14ac:dyDescent="0.25">
      <c r="E2321" s="1" t="str">
        <f>""</f>
        <v/>
      </c>
      <c r="F2321" s="1" t="str">
        <f>""</f>
        <v/>
      </c>
      <c r="H2321" s="1" t="str">
        <f t="shared" si="48"/>
        <v>BCBS PAYABLE</v>
      </c>
    </row>
    <row r="2322" spans="5:8" x14ac:dyDescent="0.25">
      <c r="E2322" s="1" t="str">
        <f>""</f>
        <v/>
      </c>
      <c r="F2322" s="1" t="str">
        <f>""</f>
        <v/>
      </c>
      <c r="H2322" s="1" t="str">
        <f t="shared" si="48"/>
        <v>BCBS PAYABLE</v>
      </c>
    </row>
    <row r="2323" spans="5:8" x14ac:dyDescent="0.25">
      <c r="E2323" s="1" t="str">
        <f>""</f>
        <v/>
      </c>
      <c r="F2323" s="1" t="str">
        <f>""</f>
        <v/>
      </c>
      <c r="H2323" s="1" t="str">
        <f t="shared" si="48"/>
        <v>BCBS PAYABLE</v>
      </c>
    </row>
    <row r="2324" spans="5:8" x14ac:dyDescent="0.25">
      <c r="E2324" s="1" t="str">
        <f>""</f>
        <v/>
      </c>
      <c r="F2324" s="1" t="str">
        <f>""</f>
        <v/>
      </c>
      <c r="H2324" s="1" t="str">
        <f t="shared" si="48"/>
        <v>BCBS PAYABLE</v>
      </c>
    </row>
    <row r="2325" spans="5:8" x14ac:dyDescent="0.25">
      <c r="E2325" s="1" t="str">
        <f>""</f>
        <v/>
      </c>
      <c r="F2325" s="1" t="str">
        <f>""</f>
        <v/>
      </c>
      <c r="H2325" s="1" t="str">
        <f t="shared" si="48"/>
        <v>BCBS PAYABLE</v>
      </c>
    </row>
    <row r="2326" spans="5:8" x14ac:dyDescent="0.25">
      <c r="E2326" s="1" t="str">
        <f>""</f>
        <v/>
      </c>
      <c r="F2326" s="1" t="str">
        <f>""</f>
        <v/>
      </c>
      <c r="H2326" s="1" t="str">
        <f t="shared" si="48"/>
        <v>BCBS PAYABLE</v>
      </c>
    </row>
    <row r="2327" spans="5:8" x14ac:dyDescent="0.25">
      <c r="E2327" s="1" t="str">
        <f>""</f>
        <v/>
      </c>
      <c r="F2327" s="1" t="str">
        <f>""</f>
        <v/>
      </c>
      <c r="H2327" s="1" t="str">
        <f t="shared" si="48"/>
        <v>BCBS PAYABLE</v>
      </c>
    </row>
    <row r="2328" spans="5:8" x14ac:dyDescent="0.25">
      <c r="E2328" s="1" t="str">
        <f>""</f>
        <v/>
      </c>
      <c r="F2328" s="1" t="str">
        <f>""</f>
        <v/>
      </c>
      <c r="H2328" s="1" t="str">
        <f t="shared" si="48"/>
        <v>BCBS PAYABLE</v>
      </c>
    </row>
    <row r="2329" spans="5:8" x14ac:dyDescent="0.25">
      <c r="E2329" s="1" t="str">
        <f>""</f>
        <v/>
      </c>
      <c r="F2329" s="1" t="str">
        <f>""</f>
        <v/>
      </c>
      <c r="H2329" s="1" t="str">
        <f t="shared" si="48"/>
        <v>BCBS PAYABLE</v>
      </c>
    </row>
    <row r="2330" spans="5:8" x14ac:dyDescent="0.25">
      <c r="E2330" s="1" t="str">
        <f>""</f>
        <v/>
      </c>
      <c r="F2330" s="1" t="str">
        <f>""</f>
        <v/>
      </c>
      <c r="H2330" s="1" t="str">
        <f t="shared" si="48"/>
        <v>BCBS PAYABLE</v>
      </c>
    </row>
    <row r="2331" spans="5:8" x14ac:dyDescent="0.25">
      <c r="E2331" s="1" t="str">
        <f>""</f>
        <v/>
      </c>
      <c r="F2331" s="1" t="str">
        <f>""</f>
        <v/>
      </c>
      <c r="H2331" s="1" t="str">
        <f t="shared" si="48"/>
        <v>BCBS PAYABLE</v>
      </c>
    </row>
    <row r="2332" spans="5:8" x14ac:dyDescent="0.25">
      <c r="E2332" s="1" t="str">
        <f>""</f>
        <v/>
      </c>
      <c r="F2332" s="1" t="str">
        <f>""</f>
        <v/>
      </c>
      <c r="H2332" s="1" t="str">
        <f t="shared" si="48"/>
        <v>BCBS PAYABLE</v>
      </c>
    </row>
    <row r="2333" spans="5:8" x14ac:dyDescent="0.25">
      <c r="E2333" s="1" t="str">
        <f>""</f>
        <v/>
      </c>
      <c r="F2333" s="1" t="str">
        <f>""</f>
        <v/>
      </c>
      <c r="H2333" s="1" t="str">
        <f t="shared" si="48"/>
        <v>BCBS PAYABLE</v>
      </c>
    </row>
    <row r="2334" spans="5:8" x14ac:dyDescent="0.25">
      <c r="E2334" s="1" t="str">
        <f>""</f>
        <v/>
      </c>
      <c r="F2334" s="1" t="str">
        <f>""</f>
        <v/>
      </c>
      <c r="H2334" s="1" t="str">
        <f t="shared" si="48"/>
        <v>BCBS PAYABLE</v>
      </c>
    </row>
    <row r="2335" spans="5:8" x14ac:dyDescent="0.25">
      <c r="E2335" s="1" t="str">
        <f>"2EO201907230650"</f>
        <v>2EO201907230650</v>
      </c>
      <c r="F2335" s="1" t="str">
        <f>"BCBS PAYABLE"</f>
        <v>BCBS PAYABLE</v>
      </c>
      <c r="G2335" s="3">
        <v>3792.96</v>
      </c>
      <c r="H2335" s="1" t="str">
        <f t="shared" si="48"/>
        <v>BCBS PAYABLE</v>
      </c>
    </row>
    <row r="2336" spans="5:8" x14ac:dyDescent="0.25">
      <c r="E2336" s="1" t="str">
        <f>"2ES201907090324"</f>
        <v>2ES201907090324</v>
      </c>
      <c r="F2336" s="1" t="str">
        <f>"BCBS PAYABLE"</f>
        <v>BCBS PAYABLE</v>
      </c>
      <c r="G2336" s="3">
        <v>15084</v>
      </c>
      <c r="H2336" s="1" t="str">
        <f t="shared" ref="H2336:H2367" si="49">"BCBS PAYABLE"</f>
        <v>BCBS PAYABLE</v>
      </c>
    </row>
    <row r="2337" spans="5:8" x14ac:dyDescent="0.25">
      <c r="E2337" s="1" t="str">
        <f>""</f>
        <v/>
      </c>
      <c r="F2337" s="1" t="str">
        <f>""</f>
        <v/>
      </c>
      <c r="H2337" s="1" t="str">
        <f t="shared" si="49"/>
        <v>BCBS PAYABLE</v>
      </c>
    </row>
    <row r="2338" spans="5:8" x14ac:dyDescent="0.25">
      <c r="E2338" s="1" t="str">
        <f>""</f>
        <v/>
      </c>
      <c r="F2338" s="1" t="str">
        <f>""</f>
        <v/>
      </c>
      <c r="H2338" s="1" t="str">
        <f t="shared" si="49"/>
        <v>BCBS PAYABLE</v>
      </c>
    </row>
    <row r="2339" spans="5:8" x14ac:dyDescent="0.25">
      <c r="E2339" s="1" t="str">
        <f>""</f>
        <v/>
      </c>
      <c r="F2339" s="1" t="str">
        <f>""</f>
        <v/>
      </c>
      <c r="H2339" s="1" t="str">
        <f t="shared" si="49"/>
        <v>BCBS PAYABLE</v>
      </c>
    </row>
    <row r="2340" spans="5:8" x14ac:dyDescent="0.25">
      <c r="E2340" s="1" t="str">
        <f>""</f>
        <v/>
      </c>
      <c r="F2340" s="1" t="str">
        <f>""</f>
        <v/>
      </c>
      <c r="H2340" s="1" t="str">
        <f t="shared" si="49"/>
        <v>BCBS PAYABLE</v>
      </c>
    </row>
    <row r="2341" spans="5:8" x14ac:dyDescent="0.25">
      <c r="E2341" s="1" t="str">
        <f>""</f>
        <v/>
      </c>
      <c r="F2341" s="1" t="str">
        <f>""</f>
        <v/>
      </c>
      <c r="H2341" s="1" t="str">
        <f t="shared" si="49"/>
        <v>BCBS PAYABLE</v>
      </c>
    </row>
    <row r="2342" spans="5:8" x14ac:dyDescent="0.25">
      <c r="E2342" s="1" t="str">
        <f>""</f>
        <v/>
      </c>
      <c r="F2342" s="1" t="str">
        <f>""</f>
        <v/>
      </c>
      <c r="H2342" s="1" t="str">
        <f t="shared" si="49"/>
        <v>BCBS PAYABLE</v>
      </c>
    </row>
    <row r="2343" spans="5:8" x14ac:dyDescent="0.25">
      <c r="E2343" s="1" t="str">
        <f>""</f>
        <v/>
      </c>
      <c r="F2343" s="1" t="str">
        <f>""</f>
        <v/>
      </c>
      <c r="H2343" s="1" t="str">
        <f t="shared" si="49"/>
        <v>BCBS PAYABLE</v>
      </c>
    </row>
    <row r="2344" spans="5:8" x14ac:dyDescent="0.25">
      <c r="E2344" s="1" t="str">
        <f>""</f>
        <v/>
      </c>
      <c r="F2344" s="1" t="str">
        <f>""</f>
        <v/>
      </c>
      <c r="H2344" s="1" t="str">
        <f t="shared" si="49"/>
        <v>BCBS PAYABLE</v>
      </c>
    </row>
    <row r="2345" spans="5:8" x14ac:dyDescent="0.25">
      <c r="E2345" s="1" t="str">
        <f>""</f>
        <v/>
      </c>
      <c r="F2345" s="1" t="str">
        <f>""</f>
        <v/>
      </c>
      <c r="H2345" s="1" t="str">
        <f t="shared" si="49"/>
        <v>BCBS PAYABLE</v>
      </c>
    </row>
    <row r="2346" spans="5:8" x14ac:dyDescent="0.25">
      <c r="E2346" s="1" t="str">
        <f>""</f>
        <v/>
      </c>
      <c r="F2346" s="1" t="str">
        <f>""</f>
        <v/>
      </c>
      <c r="H2346" s="1" t="str">
        <f t="shared" si="49"/>
        <v>BCBS PAYABLE</v>
      </c>
    </row>
    <row r="2347" spans="5:8" x14ac:dyDescent="0.25">
      <c r="E2347" s="1" t="str">
        <f>""</f>
        <v/>
      </c>
      <c r="F2347" s="1" t="str">
        <f>""</f>
        <v/>
      </c>
      <c r="H2347" s="1" t="str">
        <f t="shared" si="49"/>
        <v>BCBS PAYABLE</v>
      </c>
    </row>
    <row r="2348" spans="5:8" x14ac:dyDescent="0.25">
      <c r="E2348" s="1" t="str">
        <f>""</f>
        <v/>
      </c>
      <c r="F2348" s="1" t="str">
        <f>""</f>
        <v/>
      </c>
      <c r="H2348" s="1" t="str">
        <f t="shared" si="49"/>
        <v>BCBS PAYABLE</v>
      </c>
    </row>
    <row r="2349" spans="5:8" x14ac:dyDescent="0.25">
      <c r="E2349" s="1" t="str">
        <f>""</f>
        <v/>
      </c>
      <c r="F2349" s="1" t="str">
        <f>""</f>
        <v/>
      </c>
      <c r="H2349" s="1" t="str">
        <f t="shared" si="49"/>
        <v>BCBS PAYABLE</v>
      </c>
    </row>
    <row r="2350" spans="5:8" x14ac:dyDescent="0.25">
      <c r="E2350" s="1" t="str">
        <f>""</f>
        <v/>
      </c>
      <c r="F2350" s="1" t="str">
        <f>""</f>
        <v/>
      </c>
      <c r="H2350" s="1" t="str">
        <f t="shared" si="49"/>
        <v>BCBS PAYABLE</v>
      </c>
    </row>
    <row r="2351" spans="5:8" x14ac:dyDescent="0.25">
      <c r="E2351" s="1" t="str">
        <f>""</f>
        <v/>
      </c>
      <c r="F2351" s="1" t="str">
        <f>""</f>
        <v/>
      </c>
      <c r="H2351" s="1" t="str">
        <f t="shared" si="49"/>
        <v>BCBS PAYABLE</v>
      </c>
    </row>
    <row r="2352" spans="5:8" x14ac:dyDescent="0.25">
      <c r="E2352" s="1" t="str">
        <f>"2ES201907230648"</f>
        <v>2ES201907230648</v>
      </c>
      <c r="F2352" s="1" t="str">
        <f>"BCBS PAYABLE"</f>
        <v>BCBS PAYABLE</v>
      </c>
      <c r="G2352" s="3">
        <v>15084</v>
      </c>
      <c r="H2352" s="1" t="str">
        <f t="shared" si="49"/>
        <v>BCBS PAYABLE</v>
      </c>
    </row>
    <row r="2353" spans="1:8" x14ac:dyDescent="0.25">
      <c r="E2353" s="1" t="str">
        <f>""</f>
        <v/>
      </c>
      <c r="F2353" s="1" t="str">
        <f>""</f>
        <v/>
      </c>
      <c r="H2353" s="1" t="str">
        <f t="shared" si="49"/>
        <v>BCBS PAYABLE</v>
      </c>
    </row>
    <row r="2354" spans="1:8" x14ac:dyDescent="0.25">
      <c r="E2354" s="1" t="str">
        <f>""</f>
        <v/>
      </c>
      <c r="F2354" s="1" t="str">
        <f>""</f>
        <v/>
      </c>
      <c r="H2354" s="1" t="str">
        <f t="shared" si="49"/>
        <v>BCBS PAYABLE</v>
      </c>
    </row>
    <row r="2355" spans="1:8" x14ac:dyDescent="0.25">
      <c r="E2355" s="1" t="str">
        <f>""</f>
        <v/>
      </c>
      <c r="F2355" s="1" t="str">
        <f>""</f>
        <v/>
      </c>
      <c r="H2355" s="1" t="str">
        <f t="shared" si="49"/>
        <v>BCBS PAYABLE</v>
      </c>
    </row>
    <row r="2356" spans="1:8" x14ac:dyDescent="0.25">
      <c r="E2356" s="1" t="str">
        <f>""</f>
        <v/>
      </c>
      <c r="F2356" s="1" t="str">
        <f>""</f>
        <v/>
      </c>
      <c r="H2356" s="1" t="str">
        <f t="shared" si="49"/>
        <v>BCBS PAYABLE</v>
      </c>
    </row>
    <row r="2357" spans="1:8" x14ac:dyDescent="0.25">
      <c r="E2357" s="1" t="str">
        <f>""</f>
        <v/>
      </c>
      <c r="F2357" s="1" t="str">
        <f>""</f>
        <v/>
      </c>
      <c r="H2357" s="1" t="str">
        <f t="shared" si="49"/>
        <v>BCBS PAYABLE</v>
      </c>
    </row>
    <row r="2358" spans="1:8" x14ac:dyDescent="0.25">
      <c r="E2358" s="1" t="str">
        <f>""</f>
        <v/>
      </c>
      <c r="F2358" s="1" t="str">
        <f>""</f>
        <v/>
      </c>
      <c r="H2358" s="1" t="str">
        <f t="shared" si="49"/>
        <v>BCBS PAYABLE</v>
      </c>
    </row>
    <row r="2359" spans="1:8" x14ac:dyDescent="0.25">
      <c r="E2359" s="1" t="str">
        <f>""</f>
        <v/>
      </c>
      <c r="F2359" s="1" t="str">
        <f>""</f>
        <v/>
      </c>
      <c r="H2359" s="1" t="str">
        <f t="shared" si="49"/>
        <v>BCBS PAYABLE</v>
      </c>
    </row>
    <row r="2360" spans="1:8" x14ac:dyDescent="0.25">
      <c r="E2360" s="1" t="str">
        <f>""</f>
        <v/>
      </c>
      <c r="F2360" s="1" t="str">
        <f>""</f>
        <v/>
      </c>
      <c r="H2360" s="1" t="str">
        <f t="shared" si="49"/>
        <v>BCBS PAYABLE</v>
      </c>
    </row>
    <row r="2361" spans="1:8" x14ac:dyDescent="0.25">
      <c r="E2361" s="1" t="str">
        <f>""</f>
        <v/>
      </c>
      <c r="F2361" s="1" t="str">
        <f>""</f>
        <v/>
      </c>
      <c r="H2361" s="1" t="str">
        <f t="shared" si="49"/>
        <v>BCBS PAYABLE</v>
      </c>
    </row>
    <row r="2362" spans="1:8" x14ac:dyDescent="0.25">
      <c r="E2362" s="1" t="str">
        <f>""</f>
        <v/>
      </c>
      <c r="F2362" s="1" t="str">
        <f>""</f>
        <v/>
      </c>
      <c r="H2362" s="1" t="str">
        <f t="shared" si="49"/>
        <v>BCBS PAYABLE</v>
      </c>
    </row>
    <row r="2363" spans="1:8" x14ac:dyDescent="0.25">
      <c r="E2363" s="1" t="str">
        <f>""</f>
        <v/>
      </c>
      <c r="F2363" s="1" t="str">
        <f>""</f>
        <v/>
      </c>
      <c r="H2363" s="1" t="str">
        <f t="shared" si="49"/>
        <v>BCBS PAYABLE</v>
      </c>
    </row>
    <row r="2364" spans="1:8" x14ac:dyDescent="0.25">
      <c r="E2364" s="1" t="str">
        <f>""</f>
        <v/>
      </c>
      <c r="F2364" s="1" t="str">
        <f>""</f>
        <v/>
      </c>
      <c r="H2364" s="1" t="str">
        <f t="shared" si="49"/>
        <v>BCBS PAYABLE</v>
      </c>
    </row>
    <row r="2365" spans="1:8" x14ac:dyDescent="0.25">
      <c r="E2365" s="1" t="str">
        <f>""</f>
        <v/>
      </c>
      <c r="F2365" s="1" t="str">
        <f>""</f>
        <v/>
      </c>
      <c r="H2365" s="1" t="str">
        <f t="shared" si="49"/>
        <v>BCBS PAYABLE</v>
      </c>
    </row>
    <row r="2366" spans="1:8" x14ac:dyDescent="0.25">
      <c r="E2366" s="1" t="str">
        <f>""</f>
        <v/>
      </c>
      <c r="F2366" s="1" t="str">
        <f>""</f>
        <v/>
      </c>
      <c r="H2366" s="1" t="str">
        <f t="shared" si="49"/>
        <v>BCBS PAYABLE</v>
      </c>
    </row>
    <row r="2367" spans="1:8" x14ac:dyDescent="0.25">
      <c r="E2367" s="1" t="str">
        <f>""</f>
        <v/>
      </c>
      <c r="F2367" s="1" t="str">
        <f>""</f>
        <v/>
      </c>
      <c r="H2367" s="1" t="str">
        <f t="shared" si="49"/>
        <v>BCBS PAYABLE</v>
      </c>
    </row>
    <row r="2368" spans="1:8" x14ac:dyDescent="0.25">
      <c r="A2368" s="1" t="s">
        <v>495</v>
      </c>
      <c r="B2368" s="1">
        <v>173</v>
      </c>
      <c r="C2368" s="3">
        <v>10015.870000000001</v>
      </c>
      <c r="D2368" s="2">
        <v>43658</v>
      </c>
      <c r="E2368" s="1" t="str">
        <f>"FSA201907090324"</f>
        <v>FSA201907090324</v>
      </c>
      <c r="F2368" s="1" t="str">
        <f>"TASC FSA"</f>
        <v>TASC FSA</v>
      </c>
      <c r="G2368" s="3">
        <v>7289.85</v>
      </c>
      <c r="H2368" s="1" t="str">
        <f>"TASC FSA"</f>
        <v>TASC FSA</v>
      </c>
    </row>
    <row r="2369" spans="5:8" x14ac:dyDescent="0.25">
      <c r="E2369" s="1" t="str">
        <f>"FSA201907090325"</f>
        <v>FSA201907090325</v>
      </c>
      <c r="F2369" s="1" t="str">
        <f>"TASC FSA"</f>
        <v>TASC FSA</v>
      </c>
      <c r="G2369" s="3">
        <v>550.05999999999995</v>
      </c>
      <c r="H2369" s="1" t="str">
        <f>"TASC FSA"</f>
        <v>TASC FSA</v>
      </c>
    </row>
    <row r="2370" spans="5:8" x14ac:dyDescent="0.25">
      <c r="E2370" s="1" t="str">
        <f>"FSC201907090324"</f>
        <v>FSC201907090324</v>
      </c>
      <c r="F2370" s="1" t="str">
        <f>"TASC DEPENDENT CARE"</f>
        <v>TASC DEPENDENT CARE</v>
      </c>
      <c r="G2370" s="3">
        <v>513.96</v>
      </c>
      <c r="H2370" s="1" t="str">
        <f>"TASC DEPENDENT CARE"</f>
        <v>TASC DEPENDENT CARE</v>
      </c>
    </row>
    <row r="2371" spans="5:8" x14ac:dyDescent="0.25">
      <c r="E2371" s="1" t="str">
        <f>"FSF201907090324"</f>
        <v>FSF201907090324</v>
      </c>
      <c r="F2371" s="1" t="str">
        <f>"TASC - FSA  FEES"</f>
        <v>TASC - FSA  FEES</v>
      </c>
      <c r="G2371" s="3">
        <v>255.6</v>
      </c>
      <c r="H2371" s="1" t="str">
        <f t="shared" ref="H2371:H2408" si="50">"TASC - FSA  FEES"</f>
        <v>TASC - FSA  FEES</v>
      </c>
    </row>
    <row r="2372" spans="5:8" x14ac:dyDescent="0.25">
      <c r="E2372" s="1" t="str">
        <f>""</f>
        <v/>
      </c>
      <c r="F2372" s="1" t="str">
        <f>""</f>
        <v/>
      </c>
      <c r="H2372" s="1" t="str">
        <f t="shared" si="50"/>
        <v>TASC - FSA  FEES</v>
      </c>
    </row>
    <row r="2373" spans="5:8" x14ac:dyDescent="0.25">
      <c r="E2373" s="1" t="str">
        <f>""</f>
        <v/>
      </c>
      <c r="F2373" s="1" t="str">
        <f>""</f>
        <v/>
      </c>
      <c r="H2373" s="1" t="str">
        <f t="shared" si="50"/>
        <v>TASC - FSA  FEES</v>
      </c>
    </row>
    <row r="2374" spans="5:8" x14ac:dyDescent="0.25">
      <c r="E2374" s="1" t="str">
        <f>""</f>
        <v/>
      </c>
      <c r="F2374" s="1" t="str">
        <f>""</f>
        <v/>
      </c>
      <c r="H2374" s="1" t="str">
        <f t="shared" si="50"/>
        <v>TASC - FSA  FEES</v>
      </c>
    </row>
    <row r="2375" spans="5:8" x14ac:dyDescent="0.25">
      <c r="E2375" s="1" t="str">
        <f>""</f>
        <v/>
      </c>
      <c r="F2375" s="1" t="str">
        <f>""</f>
        <v/>
      </c>
      <c r="H2375" s="1" t="str">
        <f t="shared" si="50"/>
        <v>TASC - FSA  FEES</v>
      </c>
    </row>
    <row r="2376" spans="5:8" x14ac:dyDescent="0.25">
      <c r="E2376" s="1" t="str">
        <f>""</f>
        <v/>
      </c>
      <c r="F2376" s="1" t="str">
        <f>""</f>
        <v/>
      </c>
      <c r="H2376" s="1" t="str">
        <f t="shared" si="50"/>
        <v>TASC - FSA  FEES</v>
      </c>
    </row>
    <row r="2377" spans="5:8" x14ac:dyDescent="0.25">
      <c r="E2377" s="1" t="str">
        <f>""</f>
        <v/>
      </c>
      <c r="F2377" s="1" t="str">
        <f>""</f>
        <v/>
      </c>
      <c r="H2377" s="1" t="str">
        <f t="shared" si="50"/>
        <v>TASC - FSA  FEES</v>
      </c>
    </row>
    <row r="2378" spans="5:8" x14ac:dyDescent="0.25">
      <c r="E2378" s="1" t="str">
        <f>""</f>
        <v/>
      </c>
      <c r="F2378" s="1" t="str">
        <f>""</f>
        <v/>
      </c>
      <c r="H2378" s="1" t="str">
        <f t="shared" si="50"/>
        <v>TASC - FSA  FEES</v>
      </c>
    </row>
    <row r="2379" spans="5:8" x14ac:dyDescent="0.25">
      <c r="E2379" s="1" t="str">
        <f>""</f>
        <v/>
      </c>
      <c r="F2379" s="1" t="str">
        <f>""</f>
        <v/>
      </c>
      <c r="H2379" s="1" t="str">
        <f t="shared" si="50"/>
        <v>TASC - FSA  FEES</v>
      </c>
    </row>
    <row r="2380" spans="5:8" x14ac:dyDescent="0.25">
      <c r="E2380" s="1" t="str">
        <f>""</f>
        <v/>
      </c>
      <c r="F2380" s="1" t="str">
        <f>""</f>
        <v/>
      </c>
      <c r="H2380" s="1" t="str">
        <f t="shared" si="50"/>
        <v>TASC - FSA  FEES</v>
      </c>
    </row>
    <row r="2381" spans="5:8" x14ac:dyDescent="0.25">
      <c r="E2381" s="1" t="str">
        <f>""</f>
        <v/>
      </c>
      <c r="F2381" s="1" t="str">
        <f>""</f>
        <v/>
      </c>
      <c r="H2381" s="1" t="str">
        <f t="shared" si="50"/>
        <v>TASC - FSA  FEES</v>
      </c>
    </row>
    <row r="2382" spans="5:8" x14ac:dyDescent="0.25">
      <c r="E2382" s="1" t="str">
        <f>""</f>
        <v/>
      </c>
      <c r="F2382" s="1" t="str">
        <f>""</f>
        <v/>
      </c>
      <c r="H2382" s="1" t="str">
        <f t="shared" si="50"/>
        <v>TASC - FSA  FEES</v>
      </c>
    </row>
    <row r="2383" spans="5:8" x14ac:dyDescent="0.25">
      <c r="E2383" s="1" t="str">
        <f>""</f>
        <v/>
      </c>
      <c r="F2383" s="1" t="str">
        <f>""</f>
        <v/>
      </c>
      <c r="H2383" s="1" t="str">
        <f t="shared" si="50"/>
        <v>TASC - FSA  FEES</v>
      </c>
    </row>
    <row r="2384" spans="5:8" x14ac:dyDescent="0.25">
      <c r="E2384" s="1" t="str">
        <f>""</f>
        <v/>
      </c>
      <c r="F2384" s="1" t="str">
        <f>""</f>
        <v/>
      </c>
      <c r="H2384" s="1" t="str">
        <f t="shared" si="50"/>
        <v>TASC - FSA  FEES</v>
      </c>
    </row>
    <row r="2385" spans="5:8" x14ac:dyDescent="0.25">
      <c r="E2385" s="1" t="str">
        <f>""</f>
        <v/>
      </c>
      <c r="F2385" s="1" t="str">
        <f>""</f>
        <v/>
      </c>
      <c r="H2385" s="1" t="str">
        <f t="shared" si="50"/>
        <v>TASC - FSA  FEES</v>
      </c>
    </row>
    <row r="2386" spans="5:8" x14ac:dyDescent="0.25">
      <c r="E2386" s="1" t="str">
        <f>""</f>
        <v/>
      </c>
      <c r="F2386" s="1" t="str">
        <f>""</f>
        <v/>
      </c>
      <c r="H2386" s="1" t="str">
        <f t="shared" si="50"/>
        <v>TASC - FSA  FEES</v>
      </c>
    </row>
    <row r="2387" spans="5:8" x14ac:dyDescent="0.25">
      <c r="E2387" s="1" t="str">
        <f>""</f>
        <v/>
      </c>
      <c r="F2387" s="1" t="str">
        <f>""</f>
        <v/>
      </c>
      <c r="H2387" s="1" t="str">
        <f t="shared" si="50"/>
        <v>TASC - FSA  FEES</v>
      </c>
    </row>
    <row r="2388" spans="5:8" x14ac:dyDescent="0.25">
      <c r="E2388" s="1" t="str">
        <f>""</f>
        <v/>
      </c>
      <c r="F2388" s="1" t="str">
        <f>""</f>
        <v/>
      </c>
      <c r="H2388" s="1" t="str">
        <f t="shared" si="50"/>
        <v>TASC - FSA  FEES</v>
      </c>
    </row>
    <row r="2389" spans="5:8" x14ac:dyDescent="0.25">
      <c r="E2389" s="1" t="str">
        <f>""</f>
        <v/>
      </c>
      <c r="F2389" s="1" t="str">
        <f>""</f>
        <v/>
      </c>
      <c r="H2389" s="1" t="str">
        <f t="shared" si="50"/>
        <v>TASC - FSA  FEES</v>
      </c>
    </row>
    <row r="2390" spans="5:8" x14ac:dyDescent="0.25">
      <c r="E2390" s="1" t="str">
        <f>""</f>
        <v/>
      </c>
      <c r="F2390" s="1" t="str">
        <f>""</f>
        <v/>
      </c>
      <c r="H2390" s="1" t="str">
        <f t="shared" si="50"/>
        <v>TASC - FSA  FEES</v>
      </c>
    </row>
    <row r="2391" spans="5:8" x14ac:dyDescent="0.25">
      <c r="E2391" s="1" t="str">
        <f>""</f>
        <v/>
      </c>
      <c r="F2391" s="1" t="str">
        <f>""</f>
        <v/>
      </c>
      <c r="H2391" s="1" t="str">
        <f t="shared" si="50"/>
        <v>TASC - FSA  FEES</v>
      </c>
    </row>
    <row r="2392" spans="5:8" x14ac:dyDescent="0.25">
      <c r="E2392" s="1" t="str">
        <f>""</f>
        <v/>
      </c>
      <c r="F2392" s="1" t="str">
        <f>""</f>
        <v/>
      </c>
      <c r="H2392" s="1" t="str">
        <f t="shared" si="50"/>
        <v>TASC - FSA  FEES</v>
      </c>
    </row>
    <row r="2393" spans="5:8" x14ac:dyDescent="0.25">
      <c r="E2393" s="1" t="str">
        <f>""</f>
        <v/>
      </c>
      <c r="F2393" s="1" t="str">
        <f>""</f>
        <v/>
      </c>
      <c r="H2393" s="1" t="str">
        <f t="shared" si="50"/>
        <v>TASC - FSA  FEES</v>
      </c>
    </row>
    <row r="2394" spans="5:8" x14ac:dyDescent="0.25">
      <c r="E2394" s="1" t="str">
        <f>""</f>
        <v/>
      </c>
      <c r="F2394" s="1" t="str">
        <f>""</f>
        <v/>
      </c>
      <c r="H2394" s="1" t="str">
        <f t="shared" si="50"/>
        <v>TASC - FSA  FEES</v>
      </c>
    </row>
    <row r="2395" spans="5:8" x14ac:dyDescent="0.25">
      <c r="E2395" s="1" t="str">
        <f>""</f>
        <v/>
      </c>
      <c r="F2395" s="1" t="str">
        <f>""</f>
        <v/>
      </c>
      <c r="H2395" s="1" t="str">
        <f t="shared" si="50"/>
        <v>TASC - FSA  FEES</v>
      </c>
    </row>
    <row r="2396" spans="5:8" x14ac:dyDescent="0.25">
      <c r="E2396" s="1" t="str">
        <f>""</f>
        <v/>
      </c>
      <c r="F2396" s="1" t="str">
        <f>""</f>
        <v/>
      </c>
      <c r="H2396" s="1" t="str">
        <f t="shared" si="50"/>
        <v>TASC - FSA  FEES</v>
      </c>
    </row>
    <row r="2397" spans="5:8" x14ac:dyDescent="0.25">
      <c r="E2397" s="1" t="str">
        <f>""</f>
        <v/>
      </c>
      <c r="F2397" s="1" t="str">
        <f>""</f>
        <v/>
      </c>
      <c r="H2397" s="1" t="str">
        <f t="shared" si="50"/>
        <v>TASC - FSA  FEES</v>
      </c>
    </row>
    <row r="2398" spans="5:8" x14ac:dyDescent="0.25">
      <c r="E2398" s="1" t="str">
        <f>""</f>
        <v/>
      </c>
      <c r="F2398" s="1" t="str">
        <f>""</f>
        <v/>
      </c>
      <c r="H2398" s="1" t="str">
        <f t="shared" si="50"/>
        <v>TASC - FSA  FEES</v>
      </c>
    </row>
    <row r="2399" spans="5:8" x14ac:dyDescent="0.25">
      <c r="E2399" s="1" t="str">
        <f>""</f>
        <v/>
      </c>
      <c r="F2399" s="1" t="str">
        <f>""</f>
        <v/>
      </c>
      <c r="H2399" s="1" t="str">
        <f t="shared" si="50"/>
        <v>TASC - FSA  FEES</v>
      </c>
    </row>
    <row r="2400" spans="5:8" x14ac:dyDescent="0.25">
      <c r="E2400" s="1" t="str">
        <f>""</f>
        <v/>
      </c>
      <c r="F2400" s="1" t="str">
        <f>""</f>
        <v/>
      </c>
      <c r="H2400" s="1" t="str">
        <f t="shared" si="50"/>
        <v>TASC - FSA  FEES</v>
      </c>
    </row>
    <row r="2401" spans="5:8" x14ac:dyDescent="0.25">
      <c r="E2401" s="1" t="str">
        <f>""</f>
        <v/>
      </c>
      <c r="F2401" s="1" t="str">
        <f>""</f>
        <v/>
      </c>
      <c r="H2401" s="1" t="str">
        <f t="shared" si="50"/>
        <v>TASC - FSA  FEES</v>
      </c>
    </row>
    <row r="2402" spans="5:8" x14ac:dyDescent="0.25">
      <c r="E2402" s="1" t="str">
        <f>""</f>
        <v/>
      </c>
      <c r="F2402" s="1" t="str">
        <f>""</f>
        <v/>
      </c>
      <c r="H2402" s="1" t="str">
        <f t="shared" si="50"/>
        <v>TASC - FSA  FEES</v>
      </c>
    </row>
    <row r="2403" spans="5:8" x14ac:dyDescent="0.25">
      <c r="E2403" s="1" t="str">
        <f>""</f>
        <v/>
      </c>
      <c r="F2403" s="1" t="str">
        <f>""</f>
        <v/>
      </c>
      <c r="H2403" s="1" t="str">
        <f t="shared" si="50"/>
        <v>TASC - FSA  FEES</v>
      </c>
    </row>
    <row r="2404" spans="5:8" x14ac:dyDescent="0.25">
      <c r="E2404" s="1" t="str">
        <f>""</f>
        <v/>
      </c>
      <c r="F2404" s="1" t="str">
        <f>""</f>
        <v/>
      </c>
      <c r="H2404" s="1" t="str">
        <f t="shared" si="50"/>
        <v>TASC - FSA  FEES</v>
      </c>
    </row>
    <row r="2405" spans="5:8" x14ac:dyDescent="0.25">
      <c r="E2405" s="1" t="str">
        <f>""</f>
        <v/>
      </c>
      <c r="F2405" s="1" t="str">
        <f>""</f>
        <v/>
      </c>
      <c r="H2405" s="1" t="str">
        <f t="shared" si="50"/>
        <v>TASC - FSA  FEES</v>
      </c>
    </row>
    <row r="2406" spans="5:8" x14ac:dyDescent="0.25">
      <c r="E2406" s="1" t="str">
        <f>""</f>
        <v/>
      </c>
      <c r="F2406" s="1" t="str">
        <f>""</f>
        <v/>
      </c>
      <c r="H2406" s="1" t="str">
        <f t="shared" si="50"/>
        <v>TASC - FSA  FEES</v>
      </c>
    </row>
    <row r="2407" spans="5:8" x14ac:dyDescent="0.25">
      <c r="E2407" s="1" t="str">
        <f>""</f>
        <v/>
      </c>
      <c r="F2407" s="1" t="str">
        <f>""</f>
        <v/>
      </c>
      <c r="H2407" s="1" t="str">
        <f t="shared" si="50"/>
        <v>TASC - FSA  FEES</v>
      </c>
    </row>
    <row r="2408" spans="5:8" x14ac:dyDescent="0.25">
      <c r="E2408" s="1" t="str">
        <f>"FSF201907090325"</f>
        <v>FSF201907090325</v>
      </c>
      <c r="F2408" s="1" t="str">
        <f>"TASC - FSA  FEES"</f>
        <v>TASC - FSA  FEES</v>
      </c>
      <c r="G2408" s="3">
        <v>12.6</v>
      </c>
      <c r="H2408" s="1" t="str">
        <f t="shared" si="50"/>
        <v>TASC - FSA  FEES</v>
      </c>
    </row>
    <row r="2409" spans="5:8" x14ac:dyDescent="0.25">
      <c r="E2409" s="1" t="str">
        <f>"HRA201907090324"</f>
        <v>HRA201907090324</v>
      </c>
      <c r="F2409" s="1" t="str">
        <f>"TASC HRA"</f>
        <v>TASC HRA</v>
      </c>
      <c r="G2409" s="3">
        <v>600</v>
      </c>
      <c r="H2409" s="1" t="str">
        <f t="shared" ref="H2409:H2414" si="51">"TASC HRA"</f>
        <v>TASC HRA</v>
      </c>
    </row>
    <row r="2410" spans="5:8" x14ac:dyDescent="0.25">
      <c r="E2410" s="1" t="str">
        <f>""</f>
        <v/>
      </c>
      <c r="F2410" s="1" t="str">
        <f>""</f>
        <v/>
      </c>
      <c r="H2410" s="1" t="str">
        <f t="shared" si="51"/>
        <v>TASC HRA</v>
      </c>
    </row>
    <row r="2411" spans="5:8" x14ac:dyDescent="0.25">
      <c r="E2411" s="1" t="str">
        <f>""</f>
        <v/>
      </c>
      <c r="F2411" s="1" t="str">
        <f>""</f>
        <v/>
      </c>
      <c r="H2411" s="1" t="str">
        <f t="shared" si="51"/>
        <v>TASC HRA</v>
      </c>
    </row>
    <row r="2412" spans="5:8" x14ac:dyDescent="0.25">
      <c r="E2412" s="1" t="str">
        <f>""</f>
        <v/>
      </c>
      <c r="F2412" s="1" t="str">
        <f>""</f>
        <v/>
      </c>
      <c r="H2412" s="1" t="str">
        <f t="shared" si="51"/>
        <v>TASC HRA</v>
      </c>
    </row>
    <row r="2413" spans="5:8" x14ac:dyDescent="0.25">
      <c r="E2413" s="1" t="str">
        <f>""</f>
        <v/>
      </c>
      <c r="F2413" s="1" t="str">
        <f>""</f>
        <v/>
      </c>
      <c r="H2413" s="1" t="str">
        <f t="shared" si="51"/>
        <v>TASC HRA</v>
      </c>
    </row>
    <row r="2414" spans="5:8" x14ac:dyDescent="0.25">
      <c r="E2414" s="1" t="str">
        <f>""</f>
        <v/>
      </c>
      <c r="F2414" s="1" t="str">
        <f>""</f>
        <v/>
      </c>
      <c r="H2414" s="1" t="str">
        <f t="shared" si="51"/>
        <v>TASC HRA</v>
      </c>
    </row>
    <row r="2415" spans="5:8" x14ac:dyDescent="0.25">
      <c r="E2415" s="1" t="str">
        <f>"HRF201907090324"</f>
        <v>HRF201907090324</v>
      </c>
      <c r="F2415" s="1" t="str">
        <f>"TASC - HRA FEES"</f>
        <v>TASC - HRA FEES</v>
      </c>
      <c r="G2415" s="3">
        <v>765</v>
      </c>
      <c r="H2415" s="1" t="str">
        <f t="shared" ref="H2415:H2446" si="52">"TASC - HRA FEES"</f>
        <v>TASC - HRA FEES</v>
      </c>
    </row>
    <row r="2416" spans="5:8" x14ac:dyDescent="0.25">
      <c r="E2416" s="1" t="str">
        <f>""</f>
        <v/>
      </c>
      <c r="F2416" s="1" t="str">
        <f>""</f>
        <v/>
      </c>
      <c r="H2416" s="1" t="str">
        <f t="shared" si="52"/>
        <v>TASC - HRA FEES</v>
      </c>
    </row>
    <row r="2417" spans="5:8" x14ac:dyDescent="0.25">
      <c r="E2417" s="1" t="str">
        <f>""</f>
        <v/>
      </c>
      <c r="F2417" s="1" t="str">
        <f>""</f>
        <v/>
      </c>
      <c r="H2417" s="1" t="str">
        <f t="shared" si="52"/>
        <v>TASC - HRA FEES</v>
      </c>
    </row>
    <row r="2418" spans="5:8" x14ac:dyDescent="0.25">
      <c r="E2418" s="1" t="str">
        <f>""</f>
        <v/>
      </c>
      <c r="F2418" s="1" t="str">
        <f>""</f>
        <v/>
      </c>
      <c r="H2418" s="1" t="str">
        <f t="shared" si="52"/>
        <v>TASC - HRA FEES</v>
      </c>
    </row>
    <row r="2419" spans="5:8" x14ac:dyDescent="0.25">
      <c r="E2419" s="1" t="str">
        <f>""</f>
        <v/>
      </c>
      <c r="F2419" s="1" t="str">
        <f>""</f>
        <v/>
      </c>
      <c r="H2419" s="1" t="str">
        <f t="shared" si="52"/>
        <v>TASC - HRA FEES</v>
      </c>
    </row>
    <row r="2420" spans="5:8" x14ac:dyDescent="0.25">
      <c r="E2420" s="1" t="str">
        <f>""</f>
        <v/>
      </c>
      <c r="F2420" s="1" t="str">
        <f>""</f>
        <v/>
      </c>
      <c r="H2420" s="1" t="str">
        <f t="shared" si="52"/>
        <v>TASC - HRA FEES</v>
      </c>
    </row>
    <row r="2421" spans="5:8" x14ac:dyDescent="0.25">
      <c r="E2421" s="1" t="str">
        <f>""</f>
        <v/>
      </c>
      <c r="F2421" s="1" t="str">
        <f>""</f>
        <v/>
      </c>
      <c r="H2421" s="1" t="str">
        <f t="shared" si="52"/>
        <v>TASC - HRA FEES</v>
      </c>
    </row>
    <row r="2422" spans="5:8" x14ac:dyDescent="0.25">
      <c r="E2422" s="1" t="str">
        <f>""</f>
        <v/>
      </c>
      <c r="F2422" s="1" t="str">
        <f>""</f>
        <v/>
      </c>
      <c r="H2422" s="1" t="str">
        <f t="shared" si="52"/>
        <v>TASC - HRA FEES</v>
      </c>
    </row>
    <row r="2423" spans="5:8" x14ac:dyDescent="0.25">
      <c r="E2423" s="1" t="str">
        <f>""</f>
        <v/>
      </c>
      <c r="F2423" s="1" t="str">
        <f>""</f>
        <v/>
      </c>
      <c r="H2423" s="1" t="str">
        <f t="shared" si="52"/>
        <v>TASC - HRA FEES</v>
      </c>
    </row>
    <row r="2424" spans="5:8" x14ac:dyDescent="0.25">
      <c r="E2424" s="1" t="str">
        <f>""</f>
        <v/>
      </c>
      <c r="F2424" s="1" t="str">
        <f>""</f>
        <v/>
      </c>
      <c r="H2424" s="1" t="str">
        <f t="shared" si="52"/>
        <v>TASC - HRA FEES</v>
      </c>
    </row>
    <row r="2425" spans="5:8" x14ac:dyDescent="0.25">
      <c r="E2425" s="1" t="str">
        <f>""</f>
        <v/>
      </c>
      <c r="F2425" s="1" t="str">
        <f>""</f>
        <v/>
      </c>
      <c r="H2425" s="1" t="str">
        <f t="shared" si="52"/>
        <v>TASC - HRA FEES</v>
      </c>
    </row>
    <row r="2426" spans="5:8" x14ac:dyDescent="0.25">
      <c r="E2426" s="1" t="str">
        <f>""</f>
        <v/>
      </c>
      <c r="F2426" s="1" t="str">
        <f>""</f>
        <v/>
      </c>
      <c r="H2426" s="1" t="str">
        <f t="shared" si="52"/>
        <v>TASC - HRA FEES</v>
      </c>
    </row>
    <row r="2427" spans="5:8" x14ac:dyDescent="0.25">
      <c r="E2427" s="1" t="str">
        <f>""</f>
        <v/>
      </c>
      <c r="F2427" s="1" t="str">
        <f>""</f>
        <v/>
      </c>
      <c r="H2427" s="1" t="str">
        <f t="shared" si="52"/>
        <v>TASC - HRA FEES</v>
      </c>
    </row>
    <row r="2428" spans="5:8" x14ac:dyDescent="0.25">
      <c r="E2428" s="1" t="str">
        <f>""</f>
        <v/>
      </c>
      <c r="F2428" s="1" t="str">
        <f>""</f>
        <v/>
      </c>
      <c r="H2428" s="1" t="str">
        <f t="shared" si="52"/>
        <v>TASC - HRA FEES</v>
      </c>
    </row>
    <row r="2429" spans="5:8" x14ac:dyDescent="0.25">
      <c r="E2429" s="1" t="str">
        <f>""</f>
        <v/>
      </c>
      <c r="F2429" s="1" t="str">
        <f>""</f>
        <v/>
      </c>
      <c r="H2429" s="1" t="str">
        <f t="shared" si="52"/>
        <v>TASC - HRA FEES</v>
      </c>
    </row>
    <row r="2430" spans="5:8" x14ac:dyDescent="0.25">
      <c r="E2430" s="1" t="str">
        <f>""</f>
        <v/>
      </c>
      <c r="F2430" s="1" t="str">
        <f>""</f>
        <v/>
      </c>
      <c r="H2430" s="1" t="str">
        <f t="shared" si="52"/>
        <v>TASC - HRA FEES</v>
      </c>
    </row>
    <row r="2431" spans="5:8" x14ac:dyDescent="0.25">
      <c r="E2431" s="1" t="str">
        <f>""</f>
        <v/>
      </c>
      <c r="F2431" s="1" t="str">
        <f>""</f>
        <v/>
      </c>
      <c r="H2431" s="1" t="str">
        <f t="shared" si="52"/>
        <v>TASC - HRA FEES</v>
      </c>
    </row>
    <row r="2432" spans="5:8" x14ac:dyDescent="0.25">
      <c r="E2432" s="1" t="str">
        <f>""</f>
        <v/>
      </c>
      <c r="F2432" s="1" t="str">
        <f>""</f>
        <v/>
      </c>
      <c r="H2432" s="1" t="str">
        <f t="shared" si="52"/>
        <v>TASC - HRA FEES</v>
      </c>
    </row>
    <row r="2433" spans="5:8" x14ac:dyDescent="0.25">
      <c r="E2433" s="1" t="str">
        <f>""</f>
        <v/>
      </c>
      <c r="F2433" s="1" t="str">
        <f>""</f>
        <v/>
      </c>
      <c r="H2433" s="1" t="str">
        <f t="shared" si="52"/>
        <v>TASC - HRA FEES</v>
      </c>
    </row>
    <row r="2434" spans="5:8" x14ac:dyDescent="0.25">
      <c r="E2434" s="1" t="str">
        <f>""</f>
        <v/>
      </c>
      <c r="F2434" s="1" t="str">
        <f>""</f>
        <v/>
      </c>
      <c r="H2434" s="1" t="str">
        <f t="shared" si="52"/>
        <v>TASC - HRA FEES</v>
      </c>
    </row>
    <row r="2435" spans="5:8" x14ac:dyDescent="0.25">
      <c r="E2435" s="1" t="str">
        <f>""</f>
        <v/>
      </c>
      <c r="F2435" s="1" t="str">
        <f>""</f>
        <v/>
      </c>
      <c r="H2435" s="1" t="str">
        <f t="shared" si="52"/>
        <v>TASC - HRA FEES</v>
      </c>
    </row>
    <row r="2436" spans="5:8" x14ac:dyDescent="0.25">
      <c r="E2436" s="1" t="str">
        <f>""</f>
        <v/>
      </c>
      <c r="F2436" s="1" t="str">
        <f>""</f>
        <v/>
      </c>
      <c r="H2436" s="1" t="str">
        <f t="shared" si="52"/>
        <v>TASC - HRA FEES</v>
      </c>
    </row>
    <row r="2437" spans="5:8" x14ac:dyDescent="0.25">
      <c r="E2437" s="1" t="str">
        <f>""</f>
        <v/>
      </c>
      <c r="F2437" s="1" t="str">
        <f>""</f>
        <v/>
      </c>
      <c r="H2437" s="1" t="str">
        <f t="shared" si="52"/>
        <v>TASC - HRA FEES</v>
      </c>
    </row>
    <row r="2438" spans="5:8" x14ac:dyDescent="0.25">
      <c r="E2438" s="1" t="str">
        <f>""</f>
        <v/>
      </c>
      <c r="F2438" s="1" t="str">
        <f>""</f>
        <v/>
      </c>
      <c r="H2438" s="1" t="str">
        <f t="shared" si="52"/>
        <v>TASC - HRA FEES</v>
      </c>
    </row>
    <row r="2439" spans="5:8" x14ac:dyDescent="0.25">
      <c r="E2439" s="1" t="str">
        <f>""</f>
        <v/>
      </c>
      <c r="F2439" s="1" t="str">
        <f>""</f>
        <v/>
      </c>
      <c r="H2439" s="1" t="str">
        <f t="shared" si="52"/>
        <v>TASC - HRA FEES</v>
      </c>
    </row>
    <row r="2440" spans="5:8" x14ac:dyDescent="0.25">
      <c r="E2440" s="1" t="str">
        <f>""</f>
        <v/>
      </c>
      <c r="F2440" s="1" t="str">
        <f>""</f>
        <v/>
      </c>
      <c r="H2440" s="1" t="str">
        <f t="shared" si="52"/>
        <v>TASC - HRA FEES</v>
      </c>
    </row>
    <row r="2441" spans="5:8" x14ac:dyDescent="0.25">
      <c r="E2441" s="1" t="str">
        <f>""</f>
        <v/>
      </c>
      <c r="F2441" s="1" t="str">
        <f>""</f>
        <v/>
      </c>
      <c r="H2441" s="1" t="str">
        <f t="shared" si="52"/>
        <v>TASC - HRA FEES</v>
      </c>
    </row>
    <row r="2442" spans="5:8" x14ac:dyDescent="0.25">
      <c r="E2442" s="1" t="str">
        <f>""</f>
        <v/>
      </c>
      <c r="F2442" s="1" t="str">
        <f>""</f>
        <v/>
      </c>
      <c r="H2442" s="1" t="str">
        <f t="shared" si="52"/>
        <v>TASC - HRA FEES</v>
      </c>
    </row>
    <row r="2443" spans="5:8" x14ac:dyDescent="0.25">
      <c r="E2443" s="1" t="str">
        <f>""</f>
        <v/>
      </c>
      <c r="F2443" s="1" t="str">
        <f>""</f>
        <v/>
      </c>
      <c r="H2443" s="1" t="str">
        <f t="shared" si="52"/>
        <v>TASC - HRA FEES</v>
      </c>
    </row>
    <row r="2444" spans="5:8" x14ac:dyDescent="0.25">
      <c r="E2444" s="1" t="str">
        <f>""</f>
        <v/>
      </c>
      <c r="F2444" s="1" t="str">
        <f>""</f>
        <v/>
      </c>
      <c r="H2444" s="1" t="str">
        <f t="shared" si="52"/>
        <v>TASC - HRA FEES</v>
      </c>
    </row>
    <row r="2445" spans="5:8" x14ac:dyDescent="0.25">
      <c r="E2445" s="1" t="str">
        <f>""</f>
        <v/>
      </c>
      <c r="F2445" s="1" t="str">
        <f>""</f>
        <v/>
      </c>
      <c r="H2445" s="1" t="str">
        <f t="shared" si="52"/>
        <v>TASC - HRA FEES</v>
      </c>
    </row>
    <row r="2446" spans="5:8" x14ac:dyDescent="0.25">
      <c r="E2446" s="1" t="str">
        <f>""</f>
        <v/>
      </c>
      <c r="F2446" s="1" t="str">
        <f>""</f>
        <v/>
      </c>
      <c r="H2446" s="1" t="str">
        <f t="shared" si="52"/>
        <v>TASC - HRA FEES</v>
      </c>
    </row>
    <row r="2447" spans="5:8" x14ac:dyDescent="0.25">
      <c r="E2447" s="1" t="str">
        <f>""</f>
        <v/>
      </c>
      <c r="F2447" s="1" t="str">
        <f>""</f>
        <v/>
      </c>
      <c r="H2447" s="1" t="str">
        <f t="shared" ref="H2447:H2464" si="53">"TASC - HRA FEES"</f>
        <v>TASC - HRA FEES</v>
      </c>
    </row>
    <row r="2448" spans="5:8" x14ac:dyDescent="0.25">
      <c r="E2448" s="1" t="str">
        <f>""</f>
        <v/>
      </c>
      <c r="F2448" s="1" t="str">
        <f>""</f>
        <v/>
      </c>
      <c r="H2448" s="1" t="str">
        <f t="shared" si="53"/>
        <v>TASC - HRA FEES</v>
      </c>
    </row>
    <row r="2449" spans="5:8" x14ac:dyDescent="0.25">
      <c r="E2449" s="1" t="str">
        <f>""</f>
        <v/>
      </c>
      <c r="F2449" s="1" t="str">
        <f>""</f>
        <v/>
      </c>
      <c r="H2449" s="1" t="str">
        <f t="shared" si="53"/>
        <v>TASC - HRA FEES</v>
      </c>
    </row>
    <row r="2450" spans="5:8" x14ac:dyDescent="0.25">
      <c r="E2450" s="1" t="str">
        <f>""</f>
        <v/>
      </c>
      <c r="F2450" s="1" t="str">
        <f>""</f>
        <v/>
      </c>
      <c r="H2450" s="1" t="str">
        <f t="shared" si="53"/>
        <v>TASC - HRA FEES</v>
      </c>
    </row>
    <row r="2451" spans="5:8" x14ac:dyDescent="0.25">
      <c r="E2451" s="1" t="str">
        <f>""</f>
        <v/>
      </c>
      <c r="F2451" s="1" t="str">
        <f>""</f>
        <v/>
      </c>
      <c r="H2451" s="1" t="str">
        <f t="shared" si="53"/>
        <v>TASC - HRA FEES</v>
      </c>
    </row>
    <row r="2452" spans="5:8" x14ac:dyDescent="0.25">
      <c r="E2452" s="1" t="str">
        <f>""</f>
        <v/>
      </c>
      <c r="F2452" s="1" t="str">
        <f>""</f>
        <v/>
      </c>
      <c r="H2452" s="1" t="str">
        <f t="shared" si="53"/>
        <v>TASC - HRA FEES</v>
      </c>
    </row>
    <row r="2453" spans="5:8" x14ac:dyDescent="0.25">
      <c r="E2453" s="1" t="str">
        <f>""</f>
        <v/>
      </c>
      <c r="F2453" s="1" t="str">
        <f>""</f>
        <v/>
      </c>
      <c r="H2453" s="1" t="str">
        <f t="shared" si="53"/>
        <v>TASC - HRA FEES</v>
      </c>
    </row>
    <row r="2454" spans="5:8" x14ac:dyDescent="0.25">
      <c r="E2454" s="1" t="str">
        <f>""</f>
        <v/>
      </c>
      <c r="F2454" s="1" t="str">
        <f>""</f>
        <v/>
      </c>
      <c r="H2454" s="1" t="str">
        <f t="shared" si="53"/>
        <v>TASC - HRA FEES</v>
      </c>
    </row>
    <row r="2455" spans="5:8" x14ac:dyDescent="0.25">
      <c r="E2455" s="1" t="str">
        <f>""</f>
        <v/>
      </c>
      <c r="F2455" s="1" t="str">
        <f>""</f>
        <v/>
      </c>
      <c r="H2455" s="1" t="str">
        <f t="shared" si="53"/>
        <v>TASC - HRA FEES</v>
      </c>
    </row>
    <row r="2456" spans="5:8" x14ac:dyDescent="0.25">
      <c r="E2456" s="1" t="str">
        <f>""</f>
        <v/>
      </c>
      <c r="F2456" s="1" t="str">
        <f>""</f>
        <v/>
      </c>
      <c r="H2456" s="1" t="str">
        <f t="shared" si="53"/>
        <v>TASC - HRA FEES</v>
      </c>
    </row>
    <row r="2457" spans="5:8" x14ac:dyDescent="0.25">
      <c r="E2457" s="1" t="str">
        <f>""</f>
        <v/>
      </c>
      <c r="F2457" s="1" t="str">
        <f>""</f>
        <v/>
      </c>
      <c r="H2457" s="1" t="str">
        <f t="shared" si="53"/>
        <v>TASC - HRA FEES</v>
      </c>
    </row>
    <row r="2458" spans="5:8" x14ac:dyDescent="0.25">
      <c r="E2458" s="1" t="str">
        <f>""</f>
        <v/>
      </c>
      <c r="F2458" s="1" t="str">
        <f>""</f>
        <v/>
      </c>
      <c r="H2458" s="1" t="str">
        <f t="shared" si="53"/>
        <v>TASC - HRA FEES</v>
      </c>
    </row>
    <row r="2459" spans="5:8" x14ac:dyDescent="0.25">
      <c r="E2459" s="1" t="str">
        <f>""</f>
        <v/>
      </c>
      <c r="F2459" s="1" t="str">
        <f>""</f>
        <v/>
      </c>
      <c r="H2459" s="1" t="str">
        <f t="shared" si="53"/>
        <v>TASC - HRA FEES</v>
      </c>
    </row>
    <row r="2460" spans="5:8" x14ac:dyDescent="0.25">
      <c r="E2460" s="1" t="str">
        <f>""</f>
        <v/>
      </c>
      <c r="F2460" s="1" t="str">
        <f>""</f>
        <v/>
      </c>
      <c r="H2460" s="1" t="str">
        <f t="shared" si="53"/>
        <v>TASC - HRA FEES</v>
      </c>
    </row>
    <row r="2461" spans="5:8" x14ac:dyDescent="0.25">
      <c r="E2461" s="1" t="str">
        <f>""</f>
        <v/>
      </c>
      <c r="F2461" s="1" t="str">
        <f>""</f>
        <v/>
      </c>
      <c r="H2461" s="1" t="str">
        <f t="shared" si="53"/>
        <v>TASC - HRA FEES</v>
      </c>
    </row>
    <row r="2462" spans="5:8" x14ac:dyDescent="0.25">
      <c r="E2462" s="1" t="str">
        <f>""</f>
        <v/>
      </c>
      <c r="F2462" s="1" t="str">
        <f>""</f>
        <v/>
      </c>
      <c r="H2462" s="1" t="str">
        <f t="shared" si="53"/>
        <v>TASC - HRA FEES</v>
      </c>
    </row>
    <row r="2463" spans="5:8" x14ac:dyDescent="0.25">
      <c r="E2463" s="1" t="str">
        <f>""</f>
        <v/>
      </c>
      <c r="F2463" s="1" t="str">
        <f>""</f>
        <v/>
      </c>
      <c r="H2463" s="1" t="str">
        <f t="shared" si="53"/>
        <v>TASC - HRA FEES</v>
      </c>
    </row>
    <row r="2464" spans="5:8" x14ac:dyDescent="0.25">
      <c r="E2464" s="1" t="str">
        <f>"HRF201907090325"</f>
        <v>HRF201907090325</v>
      </c>
      <c r="F2464" s="1" t="str">
        <f>"TASC - HRA FEES"</f>
        <v>TASC - HRA FEES</v>
      </c>
      <c r="G2464" s="3">
        <v>28.8</v>
      </c>
      <c r="H2464" s="1" t="str">
        <f t="shared" si="53"/>
        <v>TASC - HRA FEES</v>
      </c>
    </row>
    <row r="2465" spans="1:8" x14ac:dyDescent="0.25">
      <c r="A2465" s="1" t="s">
        <v>495</v>
      </c>
      <c r="B2465" s="1">
        <v>182</v>
      </c>
      <c r="C2465" s="3">
        <v>9414.07</v>
      </c>
      <c r="D2465" s="2">
        <v>43672</v>
      </c>
      <c r="E2465" s="1" t="str">
        <f>"FSA201907230648"</f>
        <v>FSA201907230648</v>
      </c>
      <c r="F2465" s="1" t="str">
        <f>"TASC FSA"</f>
        <v>TASC FSA</v>
      </c>
      <c r="G2465" s="3">
        <v>7289.85</v>
      </c>
      <c r="H2465" s="1" t="str">
        <f>"TASC FSA"</f>
        <v>TASC FSA</v>
      </c>
    </row>
    <row r="2466" spans="1:8" x14ac:dyDescent="0.25">
      <c r="E2466" s="1" t="str">
        <f>"FSA201907230650"</f>
        <v>FSA201907230650</v>
      </c>
      <c r="F2466" s="1" t="str">
        <f>"TASC FSA"</f>
        <v>TASC FSA</v>
      </c>
      <c r="G2466" s="3">
        <v>550.05999999999995</v>
      </c>
      <c r="H2466" s="1" t="str">
        <f>"TASC FSA"</f>
        <v>TASC FSA</v>
      </c>
    </row>
    <row r="2467" spans="1:8" x14ac:dyDescent="0.25">
      <c r="E2467" s="1" t="str">
        <f>"FSC201907230648"</f>
        <v>FSC201907230648</v>
      </c>
      <c r="F2467" s="1" t="str">
        <f>"TASC DEPENDENT CARE"</f>
        <v>TASC DEPENDENT CARE</v>
      </c>
      <c r="G2467" s="3">
        <v>513.96</v>
      </c>
      <c r="H2467" s="1" t="str">
        <f>"TASC DEPENDENT CARE"</f>
        <v>TASC DEPENDENT CARE</v>
      </c>
    </row>
    <row r="2468" spans="1:8" x14ac:dyDescent="0.25">
      <c r="E2468" s="1" t="str">
        <f>"FSF201907230648"</f>
        <v>FSF201907230648</v>
      </c>
      <c r="F2468" s="1" t="str">
        <f>"TASC - FSA  FEES"</f>
        <v>TASC - FSA  FEES</v>
      </c>
      <c r="G2468" s="3">
        <v>255.6</v>
      </c>
      <c r="H2468" s="1" t="str">
        <f t="shared" ref="H2468:H2505" si="54">"TASC - FSA  FEES"</f>
        <v>TASC - FSA  FEES</v>
      </c>
    </row>
    <row r="2469" spans="1:8" x14ac:dyDescent="0.25">
      <c r="E2469" s="1" t="str">
        <f>""</f>
        <v/>
      </c>
      <c r="F2469" s="1" t="str">
        <f>""</f>
        <v/>
      </c>
      <c r="H2469" s="1" t="str">
        <f t="shared" si="54"/>
        <v>TASC - FSA  FEES</v>
      </c>
    </row>
    <row r="2470" spans="1:8" x14ac:dyDescent="0.25">
      <c r="E2470" s="1" t="str">
        <f>""</f>
        <v/>
      </c>
      <c r="F2470" s="1" t="str">
        <f>""</f>
        <v/>
      </c>
      <c r="H2470" s="1" t="str">
        <f t="shared" si="54"/>
        <v>TASC - FSA  FEES</v>
      </c>
    </row>
    <row r="2471" spans="1:8" x14ac:dyDescent="0.25">
      <c r="E2471" s="1" t="str">
        <f>""</f>
        <v/>
      </c>
      <c r="F2471" s="1" t="str">
        <f>""</f>
        <v/>
      </c>
      <c r="H2471" s="1" t="str">
        <f t="shared" si="54"/>
        <v>TASC - FSA  FEES</v>
      </c>
    </row>
    <row r="2472" spans="1:8" x14ac:dyDescent="0.25">
      <c r="E2472" s="1" t="str">
        <f>""</f>
        <v/>
      </c>
      <c r="F2472" s="1" t="str">
        <f>""</f>
        <v/>
      </c>
      <c r="H2472" s="1" t="str">
        <f t="shared" si="54"/>
        <v>TASC - FSA  FEES</v>
      </c>
    </row>
    <row r="2473" spans="1:8" x14ac:dyDescent="0.25">
      <c r="E2473" s="1" t="str">
        <f>""</f>
        <v/>
      </c>
      <c r="F2473" s="1" t="str">
        <f>""</f>
        <v/>
      </c>
      <c r="H2473" s="1" t="str">
        <f t="shared" si="54"/>
        <v>TASC - FSA  FEES</v>
      </c>
    </row>
    <row r="2474" spans="1:8" x14ac:dyDescent="0.25">
      <c r="E2474" s="1" t="str">
        <f>""</f>
        <v/>
      </c>
      <c r="F2474" s="1" t="str">
        <f>""</f>
        <v/>
      </c>
      <c r="H2474" s="1" t="str">
        <f t="shared" si="54"/>
        <v>TASC - FSA  FEES</v>
      </c>
    </row>
    <row r="2475" spans="1:8" x14ac:dyDescent="0.25">
      <c r="E2475" s="1" t="str">
        <f>""</f>
        <v/>
      </c>
      <c r="F2475" s="1" t="str">
        <f>""</f>
        <v/>
      </c>
      <c r="H2475" s="1" t="str">
        <f t="shared" si="54"/>
        <v>TASC - FSA  FEES</v>
      </c>
    </row>
    <row r="2476" spans="1:8" x14ac:dyDescent="0.25">
      <c r="E2476" s="1" t="str">
        <f>""</f>
        <v/>
      </c>
      <c r="F2476" s="1" t="str">
        <f>""</f>
        <v/>
      </c>
      <c r="H2476" s="1" t="str">
        <f t="shared" si="54"/>
        <v>TASC - FSA  FEES</v>
      </c>
    </row>
    <row r="2477" spans="1:8" x14ac:dyDescent="0.25">
      <c r="E2477" s="1" t="str">
        <f>""</f>
        <v/>
      </c>
      <c r="F2477" s="1" t="str">
        <f>""</f>
        <v/>
      </c>
      <c r="H2477" s="1" t="str">
        <f t="shared" si="54"/>
        <v>TASC - FSA  FEES</v>
      </c>
    </row>
    <row r="2478" spans="1:8" x14ac:dyDescent="0.25">
      <c r="E2478" s="1" t="str">
        <f>""</f>
        <v/>
      </c>
      <c r="F2478" s="1" t="str">
        <f>""</f>
        <v/>
      </c>
      <c r="H2478" s="1" t="str">
        <f t="shared" si="54"/>
        <v>TASC - FSA  FEES</v>
      </c>
    </row>
    <row r="2479" spans="1:8" x14ac:dyDescent="0.25">
      <c r="E2479" s="1" t="str">
        <f>""</f>
        <v/>
      </c>
      <c r="F2479" s="1" t="str">
        <f>""</f>
        <v/>
      </c>
      <c r="H2479" s="1" t="str">
        <f t="shared" si="54"/>
        <v>TASC - FSA  FEES</v>
      </c>
    </row>
    <row r="2480" spans="1:8" x14ac:dyDescent="0.25">
      <c r="E2480" s="1" t="str">
        <f>""</f>
        <v/>
      </c>
      <c r="F2480" s="1" t="str">
        <f>""</f>
        <v/>
      </c>
      <c r="H2480" s="1" t="str">
        <f t="shared" si="54"/>
        <v>TASC - FSA  FEES</v>
      </c>
    </row>
    <row r="2481" spans="5:8" x14ac:dyDescent="0.25">
      <c r="E2481" s="1" t="str">
        <f>""</f>
        <v/>
      </c>
      <c r="F2481" s="1" t="str">
        <f>""</f>
        <v/>
      </c>
      <c r="H2481" s="1" t="str">
        <f t="shared" si="54"/>
        <v>TASC - FSA  FEES</v>
      </c>
    </row>
    <row r="2482" spans="5:8" x14ac:dyDescent="0.25">
      <c r="E2482" s="1" t="str">
        <f>""</f>
        <v/>
      </c>
      <c r="F2482" s="1" t="str">
        <f>""</f>
        <v/>
      </c>
      <c r="H2482" s="1" t="str">
        <f t="shared" si="54"/>
        <v>TASC - FSA  FEES</v>
      </c>
    </row>
    <row r="2483" spans="5:8" x14ac:dyDescent="0.25">
      <c r="E2483" s="1" t="str">
        <f>""</f>
        <v/>
      </c>
      <c r="F2483" s="1" t="str">
        <f>""</f>
        <v/>
      </c>
      <c r="H2483" s="1" t="str">
        <f t="shared" si="54"/>
        <v>TASC - FSA  FEES</v>
      </c>
    </row>
    <row r="2484" spans="5:8" x14ac:dyDescent="0.25">
      <c r="E2484" s="1" t="str">
        <f>""</f>
        <v/>
      </c>
      <c r="F2484" s="1" t="str">
        <f>""</f>
        <v/>
      </c>
      <c r="H2484" s="1" t="str">
        <f t="shared" si="54"/>
        <v>TASC - FSA  FEES</v>
      </c>
    </row>
    <row r="2485" spans="5:8" x14ac:dyDescent="0.25">
      <c r="E2485" s="1" t="str">
        <f>""</f>
        <v/>
      </c>
      <c r="F2485" s="1" t="str">
        <f>""</f>
        <v/>
      </c>
      <c r="H2485" s="1" t="str">
        <f t="shared" si="54"/>
        <v>TASC - FSA  FEES</v>
      </c>
    </row>
    <row r="2486" spans="5:8" x14ac:dyDescent="0.25">
      <c r="E2486" s="1" t="str">
        <f>""</f>
        <v/>
      </c>
      <c r="F2486" s="1" t="str">
        <f>""</f>
        <v/>
      </c>
      <c r="H2486" s="1" t="str">
        <f t="shared" si="54"/>
        <v>TASC - FSA  FEES</v>
      </c>
    </row>
    <row r="2487" spans="5:8" x14ac:dyDescent="0.25">
      <c r="E2487" s="1" t="str">
        <f>""</f>
        <v/>
      </c>
      <c r="F2487" s="1" t="str">
        <f>""</f>
        <v/>
      </c>
      <c r="H2487" s="1" t="str">
        <f t="shared" si="54"/>
        <v>TASC - FSA  FEES</v>
      </c>
    </row>
    <row r="2488" spans="5:8" x14ac:dyDescent="0.25">
      <c r="E2488" s="1" t="str">
        <f>""</f>
        <v/>
      </c>
      <c r="F2488" s="1" t="str">
        <f>""</f>
        <v/>
      </c>
      <c r="H2488" s="1" t="str">
        <f t="shared" si="54"/>
        <v>TASC - FSA  FEES</v>
      </c>
    </row>
    <row r="2489" spans="5:8" x14ac:dyDescent="0.25">
      <c r="E2489" s="1" t="str">
        <f>""</f>
        <v/>
      </c>
      <c r="F2489" s="1" t="str">
        <f>""</f>
        <v/>
      </c>
      <c r="H2489" s="1" t="str">
        <f t="shared" si="54"/>
        <v>TASC - FSA  FEES</v>
      </c>
    </row>
    <row r="2490" spans="5:8" x14ac:dyDescent="0.25">
      <c r="E2490" s="1" t="str">
        <f>""</f>
        <v/>
      </c>
      <c r="F2490" s="1" t="str">
        <f>""</f>
        <v/>
      </c>
      <c r="H2490" s="1" t="str">
        <f t="shared" si="54"/>
        <v>TASC - FSA  FEES</v>
      </c>
    </row>
    <row r="2491" spans="5:8" x14ac:dyDescent="0.25">
      <c r="E2491" s="1" t="str">
        <f>""</f>
        <v/>
      </c>
      <c r="F2491" s="1" t="str">
        <f>""</f>
        <v/>
      </c>
      <c r="H2491" s="1" t="str">
        <f t="shared" si="54"/>
        <v>TASC - FSA  FEES</v>
      </c>
    </row>
    <row r="2492" spans="5:8" x14ac:dyDescent="0.25">
      <c r="E2492" s="1" t="str">
        <f>""</f>
        <v/>
      </c>
      <c r="F2492" s="1" t="str">
        <f>""</f>
        <v/>
      </c>
      <c r="H2492" s="1" t="str">
        <f t="shared" si="54"/>
        <v>TASC - FSA  FEES</v>
      </c>
    </row>
    <row r="2493" spans="5:8" x14ac:dyDescent="0.25">
      <c r="E2493" s="1" t="str">
        <f>""</f>
        <v/>
      </c>
      <c r="F2493" s="1" t="str">
        <f>""</f>
        <v/>
      </c>
      <c r="H2493" s="1" t="str">
        <f t="shared" si="54"/>
        <v>TASC - FSA  FEES</v>
      </c>
    </row>
    <row r="2494" spans="5:8" x14ac:dyDescent="0.25">
      <c r="E2494" s="1" t="str">
        <f>""</f>
        <v/>
      </c>
      <c r="F2494" s="1" t="str">
        <f>""</f>
        <v/>
      </c>
      <c r="H2494" s="1" t="str">
        <f t="shared" si="54"/>
        <v>TASC - FSA  FEES</v>
      </c>
    </row>
    <row r="2495" spans="5:8" x14ac:dyDescent="0.25">
      <c r="E2495" s="1" t="str">
        <f>""</f>
        <v/>
      </c>
      <c r="F2495" s="1" t="str">
        <f>""</f>
        <v/>
      </c>
      <c r="H2495" s="1" t="str">
        <f t="shared" si="54"/>
        <v>TASC - FSA  FEES</v>
      </c>
    </row>
    <row r="2496" spans="5:8" x14ac:dyDescent="0.25">
      <c r="E2496" s="1" t="str">
        <f>""</f>
        <v/>
      </c>
      <c r="F2496" s="1" t="str">
        <f>""</f>
        <v/>
      </c>
      <c r="H2496" s="1" t="str">
        <f t="shared" si="54"/>
        <v>TASC - FSA  FEES</v>
      </c>
    </row>
    <row r="2497" spans="5:8" x14ac:dyDescent="0.25">
      <c r="E2497" s="1" t="str">
        <f>""</f>
        <v/>
      </c>
      <c r="F2497" s="1" t="str">
        <f>""</f>
        <v/>
      </c>
      <c r="H2497" s="1" t="str">
        <f t="shared" si="54"/>
        <v>TASC - FSA  FEES</v>
      </c>
    </row>
    <row r="2498" spans="5:8" x14ac:dyDescent="0.25">
      <c r="E2498" s="1" t="str">
        <f>""</f>
        <v/>
      </c>
      <c r="F2498" s="1" t="str">
        <f>""</f>
        <v/>
      </c>
      <c r="H2498" s="1" t="str">
        <f t="shared" si="54"/>
        <v>TASC - FSA  FEES</v>
      </c>
    </row>
    <row r="2499" spans="5:8" x14ac:dyDescent="0.25">
      <c r="E2499" s="1" t="str">
        <f>""</f>
        <v/>
      </c>
      <c r="F2499" s="1" t="str">
        <f>""</f>
        <v/>
      </c>
      <c r="H2499" s="1" t="str">
        <f t="shared" si="54"/>
        <v>TASC - FSA  FEES</v>
      </c>
    </row>
    <row r="2500" spans="5:8" x14ac:dyDescent="0.25">
      <c r="E2500" s="1" t="str">
        <f>""</f>
        <v/>
      </c>
      <c r="F2500" s="1" t="str">
        <f>""</f>
        <v/>
      </c>
      <c r="H2500" s="1" t="str">
        <f t="shared" si="54"/>
        <v>TASC - FSA  FEES</v>
      </c>
    </row>
    <row r="2501" spans="5:8" x14ac:dyDescent="0.25">
      <c r="E2501" s="1" t="str">
        <f>""</f>
        <v/>
      </c>
      <c r="F2501" s="1" t="str">
        <f>""</f>
        <v/>
      </c>
      <c r="H2501" s="1" t="str">
        <f t="shared" si="54"/>
        <v>TASC - FSA  FEES</v>
      </c>
    </row>
    <row r="2502" spans="5:8" x14ac:dyDescent="0.25">
      <c r="E2502" s="1" t="str">
        <f>""</f>
        <v/>
      </c>
      <c r="F2502" s="1" t="str">
        <f>""</f>
        <v/>
      </c>
      <c r="H2502" s="1" t="str">
        <f t="shared" si="54"/>
        <v>TASC - FSA  FEES</v>
      </c>
    </row>
    <row r="2503" spans="5:8" x14ac:dyDescent="0.25">
      <c r="E2503" s="1" t="str">
        <f>""</f>
        <v/>
      </c>
      <c r="F2503" s="1" t="str">
        <f>""</f>
        <v/>
      </c>
      <c r="H2503" s="1" t="str">
        <f t="shared" si="54"/>
        <v>TASC - FSA  FEES</v>
      </c>
    </row>
    <row r="2504" spans="5:8" x14ac:dyDescent="0.25">
      <c r="E2504" s="1" t="str">
        <f>""</f>
        <v/>
      </c>
      <c r="F2504" s="1" t="str">
        <f>""</f>
        <v/>
      </c>
      <c r="H2504" s="1" t="str">
        <f t="shared" si="54"/>
        <v>TASC - FSA  FEES</v>
      </c>
    </row>
    <row r="2505" spans="5:8" x14ac:dyDescent="0.25">
      <c r="E2505" s="1" t="str">
        <f>"FSF201907230650"</f>
        <v>FSF201907230650</v>
      </c>
      <c r="F2505" s="1" t="str">
        <f>"TASC - FSA  FEES"</f>
        <v>TASC - FSA  FEES</v>
      </c>
      <c r="G2505" s="3">
        <v>12.6</v>
      </c>
      <c r="H2505" s="1" t="str">
        <f t="shared" si="54"/>
        <v>TASC - FSA  FEES</v>
      </c>
    </row>
    <row r="2506" spans="5:8" x14ac:dyDescent="0.25">
      <c r="E2506" s="1" t="str">
        <f>"HRF201907230648"</f>
        <v>HRF201907230648</v>
      </c>
      <c r="F2506" s="1" t="str">
        <f>"TASC - HRA FEES"</f>
        <v>TASC - HRA FEES</v>
      </c>
      <c r="G2506" s="3">
        <v>763.2</v>
      </c>
      <c r="H2506" s="1" t="str">
        <f t="shared" ref="H2506:H2537" si="55">"TASC - HRA FEES"</f>
        <v>TASC - HRA FEES</v>
      </c>
    </row>
    <row r="2507" spans="5:8" x14ac:dyDescent="0.25">
      <c r="E2507" s="1" t="str">
        <f>""</f>
        <v/>
      </c>
      <c r="F2507" s="1" t="str">
        <f>""</f>
        <v/>
      </c>
      <c r="H2507" s="1" t="str">
        <f t="shared" si="55"/>
        <v>TASC - HRA FEES</v>
      </c>
    </row>
    <row r="2508" spans="5:8" x14ac:dyDescent="0.25">
      <c r="E2508" s="1" t="str">
        <f>""</f>
        <v/>
      </c>
      <c r="F2508" s="1" t="str">
        <f>""</f>
        <v/>
      </c>
      <c r="H2508" s="1" t="str">
        <f t="shared" si="55"/>
        <v>TASC - HRA FEES</v>
      </c>
    </row>
    <row r="2509" spans="5:8" x14ac:dyDescent="0.25">
      <c r="E2509" s="1" t="str">
        <f>""</f>
        <v/>
      </c>
      <c r="F2509" s="1" t="str">
        <f>""</f>
        <v/>
      </c>
      <c r="H2509" s="1" t="str">
        <f t="shared" si="55"/>
        <v>TASC - HRA FEES</v>
      </c>
    </row>
    <row r="2510" spans="5:8" x14ac:dyDescent="0.25">
      <c r="E2510" s="1" t="str">
        <f>""</f>
        <v/>
      </c>
      <c r="F2510" s="1" t="str">
        <f>""</f>
        <v/>
      </c>
      <c r="H2510" s="1" t="str">
        <f t="shared" si="55"/>
        <v>TASC - HRA FEES</v>
      </c>
    </row>
    <row r="2511" spans="5:8" x14ac:dyDescent="0.25">
      <c r="E2511" s="1" t="str">
        <f>""</f>
        <v/>
      </c>
      <c r="F2511" s="1" t="str">
        <f>""</f>
        <v/>
      </c>
      <c r="H2511" s="1" t="str">
        <f t="shared" si="55"/>
        <v>TASC - HRA FEES</v>
      </c>
    </row>
    <row r="2512" spans="5:8" x14ac:dyDescent="0.25">
      <c r="E2512" s="1" t="str">
        <f>""</f>
        <v/>
      </c>
      <c r="F2512" s="1" t="str">
        <f>""</f>
        <v/>
      </c>
      <c r="H2512" s="1" t="str">
        <f t="shared" si="55"/>
        <v>TASC - HRA FEES</v>
      </c>
    </row>
    <row r="2513" spans="5:8" x14ac:dyDescent="0.25">
      <c r="E2513" s="1" t="str">
        <f>""</f>
        <v/>
      </c>
      <c r="F2513" s="1" t="str">
        <f>""</f>
        <v/>
      </c>
      <c r="H2513" s="1" t="str">
        <f t="shared" si="55"/>
        <v>TASC - HRA FEES</v>
      </c>
    </row>
    <row r="2514" spans="5:8" x14ac:dyDescent="0.25">
      <c r="E2514" s="1" t="str">
        <f>""</f>
        <v/>
      </c>
      <c r="F2514" s="1" t="str">
        <f>""</f>
        <v/>
      </c>
      <c r="H2514" s="1" t="str">
        <f t="shared" si="55"/>
        <v>TASC - HRA FEES</v>
      </c>
    </row>
    <row r="2515" spans="5:8" x14ac:dyDescent="0.25">
      <c r="E2515" s="1" t="str">
        <f>""</f>
        <v/>
      </c>
      <c r="F2515" s="1" t="str">
        <f>""</f>
        <v/>
      </c>
      <c r="H2515" s="1" t="str">
        <f t="shared" si="55"/>
        <v>TASC - HRA FEES</v>
      </c>
    </row>
    <row r="2516" spans="5:8" x14ac:dyDescent="0.25">
      <c r="E2516" s="1" t="str">
        <f>""</f>
        <v/>
      </c>
      <c r="F2516" s="1" t="str">
        <f>""</f>
        <v/>
      </c>
      <c r="H2516" s="1" t="str">
        <f t="shared" si="55"/>
        <v>TASC - HRA FEES</v>
      </c>
    </row>
    <row r="2517" spans="5:8" x14ac:dyDescent="0.25">
      <c r="E2517" s="1" t="str">
        <f>""</f>
        <v/>
      </c>
      <c r="F2517" s="1" t="str">
        <f>""</f>
        <v/>
      </c>
      <c r="H2517" s="1" t="str">
        <f t="shared" si="55"/>
        <v>TASC - HRA FEES</v>
      </c>
    </row>
    <row r="2518" spans="5:8" x14ac:dyDescent="0.25">
      <c r="E2518" s="1" t="str">
        <f>""</f>
        <v/>
      </c>
      <c r="F2518" s="1" t="str">
        <f>""</f>
        <v/>
      </c>
      <c r="H2518" s="1" t="str">
        <f t="shared" si="55"/>
        <v>TASC - HRA FEES</v>
      </c>
    </row>
    <row r="2519" spans="5:8" x14ac:dyDescent="0.25">
      <c r="E2519" s="1" t="str">
        <f>""</f>
        <v/>
      </c>
      <c r="F2519" s="1" t="str">
        <f>""</f>
        <v/>
      </c>
      <c r="H2519" s="1" t="str">
        <f t="shared" si="55"/>
        <v>TASC - HRA FEES</v>
      </c>
    </row>
    <row r="2520" spans="5:8" x14ac:dyDescent="0.25">
      <c r="E2520" s="1" t="str">
        <f>""</f>
        <v/>
      </c>
      <c r="F2520" s="1" t="str">
        <f>""</f>
        <v/>
      </c>
      <c r="H2520" s="1" t="str">
        <f t="shared" si="55"/>
        <v>TASC - HRA FEES</v>
      </c>
    </row>
    <row r="2521" spans="5:8" x14ac:dyDescent="0.25">
      <c r="E2521" s="1" t="str">
        <f>""</f>
        <v/>
      </c>
      <c r="F2521" s="1" t="str">
        <f>""</f>
        <v/>
      </c>
      <c r="H2521" s="1" t="str">
        <f t="shared" si="55"/>
        <v>TASC - HRA FEES</v>
      </c>
    </row>
    <row r="2522" spans="5:8" x14ac:dyDescent="0.25">
      <c r="E2522" s="1" t="str">
        <f>""</f>
        <v/>
      </c>
      <c r="F2522" s="1" t="str">
        <f>""</f>
        <v/>
      </c>
      <c r="H2522" s="1" t="str">
        <f t="shared" si="55"/>
        <v>TASC - HRA FEES</v>
      </c>
    </row>
    <row r="2523" spans="5:8" x14ac:dyDescent="0.25">
      <c r="E2523" s="1" t="str">
        <f>""</f>
        <v/>
      </c>
      <c r="F2523" s="1" t="str">
        <f>""</f>
        <v/>
      </c>
      <c r="H2523" s="1" t="str">
        <f t="shared" si="55"/>
        <v>TASC - HRA FEES</v>
      </c>
    </row>
    <row r="2524" spans="5:8" x14ac:dyDescent="0.25">
      <c r="E2524" s="1" t="str">
        <f>""</f>
        <v/>
      </c>
      <c r="F2524" s="1" t="str">
        <f>""</f>
        <v/>
      </c>
      <c r="H2524" s="1" t="str">
        <f t="shared" si="55"/>
        <v>TASC - HRA FEES</v>
      </c>
    </row>
    <row r="2525" spans="5:8" x14ac:dyDescent="0.25">
      <c r="E2525" s="1" t="str">
        <f>""</f>
        <v/>
      </c>
      <c r="F2525" s="1" t="str">
        <f>""</f>
        <v/>
      </c>
      <c r="H2525" s="1" t="str">
        <f t="shared" si="55"/>
        <v>TASC - HRA FEES</v>
      </c>
    </row>
    <row r="2526" spans="5:8" x14ac:dyDescent="0.25">
      <c r="E2526" s="1" t="str">
        <f>""</f>
        <v/>
      </c>
      <c r="F2526" s="1" t="str">
        <f>""</f>
        <v/>
      </c>
      <c r="H2526" s="1" t="str">
        <f t="shared" si="55"/>
        <v>TASC - HRA FEES</v>
      </c>
    </row>
    <row r="2527" spans="5:8" x14ac:dyDescent="0.25">
      <c r="E2527" s="1" t="str">
        <f>""</f>
        <v/>
      </c>
      <c r="F2527" s="1" t="str">
        <f>""</f>
        <v/>
      </c>
      <c r="H2527" s="1" t="str">
        <f t="shared" si="55"/>
        <v>TASC - HRA FEES</v>
      </c>
    </row>
    <row r="2528" spans="5:8" x14ac:dyDescent="0.25">
      <c r="E2528" s="1" t="str">
        <f>""</f>
        <v/>
      </c>
      <c r="F2528" s="1" t="str">
        <f>""</f>
        <v/>
      </c>
      <c r="H2528" s="1" t="str">
        <f t="shared" si="55"/>
        <v>TASC - HRA FEES</v>
      </c>
    </row>
    <row r="2529" spans="5:8" x14ac:dyDescent="0.25">
      <c r="E2529" s="1" t="str">
        <f>""</f>
        <v/>
      </c>
      <c r="F2529" s="1" t="str">
        <f>""</f>
        <v/>
      </c>
      <c r="H2529" s="1" t="str">
        <f t="shared" si="55"/>
        <v>TASC - HRA FEES</v>
      </c>
    </row>
    <row r="2530" spans="5:8" x14ac:dyDescent="0.25">
      <c r="E2530" s="1" t="str">
        <f>""</f>
        <v/>
      </c>
      <c r="F2530" s="1" t="str">
        <f>""</f>
        <v/>
      </c>
      <c r="H2530" s="1" t="str">
        <f t="shared" si="55"/>
        <v>TASC - HRA FEES</v>
      </c>
    </row>
    <row r="2531" spans="5:8" x14ac:dyDescent="0.25">
      <c r="E2531" s="1" t="str">
        <f>""</f>
        <v/>
      </c>
      <c r="F2531" s="1" t="str">
        <f>""</f>
        <v/>
      </c>
      <c r="H2531" s="1" t="str">
        <f t="shared" si="55"/>
        <v>TASC - HRA FEES</v>
      </c>
    </row>
    <row r="2532" spans="5:8" x14ac:dyDescent="0.25">
      <c r="E2532" s="1" t="str">
        <f>""</f>
        <v/>
      </c>
      <c r="F2532" s="1" t="str">
        <f>""</f>
        <v/>
      </c>
      <c r="H2532" s="1" t="str">
        <f t="shared" si="55"/>
        <v>TASC - HRA FEES</v>
      </c>
    </row>
    <row r="2533" spans="5:8" x14ac:dyDescent="0.25">
      <c r="E2533" s="1" t="str">
        <f>""</f>
        <v/>
      </c>
      <c r="F2533" s="1" t="str">
        <f>""</f>
        <v/>
      </c>
      <c r="H2533" s="1" t="str">
        <f t="shared" si="55"/>
        <v>TASC - HRA FEES</v>
      </c>
    </row>
    <row r="2534" spans="5:8" x14ac:dyDescent="0.25">
      <c r="E2534" s="1" t="str">
        <f>""</f>
        <v/>
      </c>
      <c r="F2534" s="1" t="str">
        <f>""</f>
        <v/>
      </c>
      <c r="H2534" s="1" t="str">
        <f t="shared" si="55"/>
        <v>TASC - HRA FEES</v>
      </c>
    </row>
    <row r="2535" spans="5:8" x14ac:dyDescent="0.25">
      <c r="E2535" s="1" t="str">
        <f>""</f>
        <v/>
      </c>
      <c r="F2535" s="1" t="str">
        <f>""</f>
        <v/>
      </c>
      <c r="H2535" s="1" t="str">
        <f t="shared" si="55"/>
        <v>TASC - HRA FEES</v>
      </c>
    </row>
    <row r="2536" spans="5:8" x14ac:dyDescent="0.25">
      <c r="E2536" s="1" t="str">
        <f>""</f>
        <v/>
      </c>
      <c r="F2536" s="1" t="str">
        <f>""</f>
        <v/>
      </c>
      <c r="H2536" s="1" t="str">
        <f t="shared" si="55"/>
        <v>TASC - HRA FEES</v>
      </c>
    </row>
    <row r="2537" spans="5:8" x14ac:dyDescent="0.25">
      <c r="E2537" s="1" t="str">
        <f>""</f>
        <v/>
      </c>
      <c r="F2537" s="1" t="str">
        <f>""</f>
        <v/>
      </c>
      <c r="H2537" s="1" t="str">
        <f t="shared" si="55"/>
        <v>TASC - HRA FEES</v>
      </c>
    </row>
    <row r="2538" spans="5:8" x14ac:dyDescent="0.25">
      <c r="E2538" s="1" t="str">
        <f>""</f>
        <v/>
      </c>
      <c r="F2538" s="1" t="str">
        <f>""</f>
        <v/>
      </c>
      <c r="H2538" s="1" t="str">
        <f t="shared" ref="H2538:H2555" si="56">"TASC - HRA FEES"</f>
        <v>TASC - HRA FEES</v>
      </c>
    </row>
    <row r="2539" spans="5:8" x14ac:dyDescent="0.25">
      <c r="E2539" s="1" t="str">
        <f>""</f>
        <v/>
      </c>
      <c r="F2539" s="1" t="str">
        <f>""</f>
        <v/>
      </c>
      <c r="H2539" s="1" t="str">
        <f t="shared" si="56"/>
        <v>TASC - HRA FEES</v>
      </c>
    </row>
    <row r="2540" spans="5:8" x14ac:dyDescent="0.25">
      <c r="E2540" s="1" t="str">
        <f>""</f>
        <v/>
      </c>
      <c r="F2540" s="1" t="str">
        <f>""</f>
        <v/>
      </c>
      <c r="H2540" s="1" t="str">
        <f t="shared" si="56"/>
        <v>TASC - HRA FEES</v>
      </c>
    </row>
    <row r="2541" spans="5:8" x14ac:dyDescent="0.25">
      <c r="E2541" s="1" t="str">
        <f>""</f>
        <v/>
      </c>
      <c r="F2541" s="1" t="str">
        <f>""</f>
        <v/>
      </c>
      <c r="H2541" s="1" t="str">
        <f t="shared" si="56"/>
        <v>TASC - HRA FEES</v>
      </c>
    </row>
    <row r="2542" spans="5:8" x14ac:dyDescent="0.25">
      <c r="E2542" s="1" t="str">
        <f>""</f>
        <v/>
      </c>
      <c r="F2542" s="1" t="str">
        <f>""</f>
        <v/>
      </c>
      <c r="H2542" s="1" t="str">
        <f t="shared" si="56"/>
        <v>TASC - HRA FEES</v>
      </c>
    </row>
    <row r="2543" spans="5:8" x14ac:dyDescent="0.25">
      <c r="E2543" s="1" t="str">
        <f>""</f>
        <v/>
      </c>
      <c r="F2543" s="1" t="str">
        <f>""</f>
        <v/>
      </c>
      <c r="H2543" s="1" t="str">
        <f t="shared" si="56"/>
        <v>TASC - HRA FEES</v>
      </c>
    </row>
    <row r="2544" spans="5:8" x14ac:dyDescent="0.25">
      <c r="E2544" s="1" t="str">
        <f>""</f>
        <v/>
      </c>
      <c r="F2544" s="1" t="str">
        <f>""</f>
        <v/>
      </c>
      <c r="H2544" s="1" t="str">
        <f t="shared" si="56"/>
        <v>TASC - HRA FEES</v>
      </c>
    </row>
    <row r="2545" spans="1:8" x14ac:dyDescent="0.25">
      <c r="E2545" s="1" t="str">
        <f>""</f>
        <v/>
      </c>
      <c r="F2545" s="1" t="str">
        <f>""</f>
        <v/>
      </c>
      <c r="H2545" s="1" t="str">
        <f t="shared" si="56"/>
        <v>TASC - HRA FEES</v>
      </c>
    </row>
    <row r="2546" spans="1:8" x14ac:dyDescent="0.25">
      <c r="E2546" s="1" t="str">
        <f>""</f>
        <v/>
      </c>
      <c r="F2546" s="1" t="str">
        <f>""</f>
        <v/>
      </c>
      <c r="H2546" s="1" t="str">
        <f t="shared" si="56"/>
        <v>TASC - HRA FEES</v>
      </c>
    </row>
    <row r="2547" spans="1:8" x14ac:dyDescent="0.25">
      <c r="E2547" s="1" t="str">
        <f>""</f>
        <v/>
      </c>
      <c r="F2547" s="1" t="str">
        <f>""</f>
        <v/>
      </c>
      <c r="H2547" s="1" t="str">
        <f t="shared" si="56"/>
        <v>TASC - HRA FEES</v>
      </c>
    </row>
    <row r="2548" spans="1:8" x14ac:dyDescent="0.25">
      <c r="E2548" s="1" t="str">
        <f>""</f>
        <v/>
      </c>
      <c r="F2548" s="1" t="str">
        <f>""</f>
        <v/>
      </c>
      <c r="H2548" s="1" t="str">
        <f t="shared" si="56"/>
        <v>TASC - HRA FEES</v>
      </c>
    </row>
    <row r="2549" spans="1:8" x14ac:dyDescent="0.25">
      <c r="E2549" s="1" t="str">
        <f>""</f>
        <v/>
      </c>
      <c r="F2549" s="1" t="str">
        <f>""</f>
        <v/>
      </c>
      <c r="H2549" s="1" t="str">
        <f t="shared" si="56"/>
        <v>TASC - HRA FEES</v>
      </c>
    </row>
    <row r="2550" spans="1:8" x14ac:dyDescent="0.25">
      <c r="E2550" s="1" t="str">
        <f>""</f>
        <v/>
      </c>
      <c r="F2550" s="1" t="str">
        <f>""</f>
        <v/>
      </c>
      <c r="H2550" s="1" t="str">
        <f t="shared" si="56"/>
        <v>TASC - HRA FEES</v>
      </c>
    </row>
    <row r="2551" spans="1:8" x14ac:dyDescent="0.25">
      <c r="E2551" s="1" t="str">
        <f>""</f>
        <v/>
      </c>
      <c r="F2551" s="1" t="str">
        <f>""</f>
        <v/>
      </c>
      <c r="H2551" s="1" t="str">
        <f t="shared" si="56"/>
        <v>TASC - HRA FEES</v>
      </c>
    </row>
    <row r="2552" spans="1:8" x14ac:dyDescent="0.25">
      <c r="E2552" s="1" t="str">
        <f>""</f>
        <v/>
      </c>
      <c r="F2552" s="1" t="str">
        <f>""</f>
        <v/>
      </c>
      <c r="H2552" s="1" t="str">
        <f t="shared" si="56"/>
        <v>TASC - HRA FEES</v>
      </c>
    </row>
    <row r="2553" spans="1:8" x14ac:dyDescent="0.25">
      <c r="E2553" s="1" t="str">
        <f>""</f>
        <v/>
      </c>
      <c r="F2553" s="1" t="str">
        <f>""</f>
        <v/>
      </c>
      <c r="H2553" s="1" t="str">
        <f t="shared" si="56"/>
        <v>TASC - HRA FEES</v>
      </c>
    </row>
    <row r="2554" spans="1:8" x14ac:dyDescent="0.25">
      <c r="E2554" s="1" t="str">
        <f>""</f>
        <v/>
      </c>
      <c r="F2554" s="1" t="str">
        <f>""</f>
        <v/>
      </c>
      <c r="H2554" s="1" t="str">
        <f t="shared" si="56"/>
        <v>TASC - HRA FEES</v>
      </c>
    </row>
    <row r="2555" spans="1:8" x14ac:dyDescent="0.25">
      <c r="E2555" s="1" t="str">
        <f>"HRF201907230650"</f>
        <v>HRF201907230650</v>
      </c>
      <c r="F2555" s="1" t="str">
        <f>"TASC - HRA FEES"</f>
        <v>TASC - HRA FEES</v>
      </c>
      <c r="G2555" s="3">
        <v>28.8</v>
      </c>
      <c r="H2555" s="1" t="str">
        <f t="shared" si="56"/>
        <v>TASC - HRA FEES</v>
      </c>
    </row>
    <row r="2556" spans="1:8" x14ac:dyDescent="0.25">
      <c r="A2556" s="1" t="s">
        <v>496</v>
      </c>
      <c r="B2556" s="1">
        <v>172</v>
      </c>
      <c r="C2556" s="3">
        <v>4255.16</v>
      </c>
      <c r="D2556" s="2">
        <v>43658</v>
      </c>
      <c r="E2556" s="1" t="str">
        <f>"C18201907090325"</f>
        <v>C18201907090325</v>
      </c>
      <c r="F2556" s="1" t="str">
        <f>"CAUSE# 0011635329"</f>
        <v>CAUSE# 0011635329</v>
      </c>
      <c r="G2556" s="3">
        <v>603.23</v>
      </c>
      <c r="H2556" s="1" t="str">
        <f>"CAUSE# 0011635329"</f>
        <v>CAUSE# 0011635329</v>
      </c>
    </row>
    <row r="2557" spans="1:8" x14ac:dyDescent="0.25">
      <c r="E2557" s="1" t="str">
        <f>"C2 201907090325"</f>
        <v>C2 201907090325</v>
      </c>
      <c r="F2557" s="1" t="str">
        <f>"0012982132CCL7445"</f>
        <v>0012982132CCL7445</v>
      </c>
      <c r="G2557" s="3">
        <v>692.31</v>
      </c>
      <c r="H2557" s="1" t="str">
        <f>"0012982132CCL7445"</f>
        <v>0012982132CCL7445</v>
      </c>
    </row>
    <row r="2558" spans="1:8" x14ac:dyDescent="0.25">
      <c r="E2558" s="1" t="str">
        <f>"C20201907090324"</f>
        <v>C20201907090324</v>
      </c>
      <c r="F2558" s="1" t="str">
        <f>"001003981107-12252"</f>
        <v>001003981107-12252</v>
      </c>
      <c r="G2558" s="3">
        <v>115.39</v>
      </c>
      <c r="H2558" s="1" t="str">
        <f>"001003981107-12252"</f>
        <v>001003981107-12252</v>
      </c>
    </row>
    <row r="2559" spans="1:8" x14ac:dyDescent="0.25">
      <c r="E2559" s="1" t="str">
        <f>"C42201907090324"</f>
        <v>C42201907090324</v>
      </c>
      <c r="F2559" s="1" t="str">
        <f>"001236769211-14410"</f>
        <v>001236769211-14410</v>
      </c>
      <c r="G2559" s="3">
        <v>230.31</v>
      </c>
      <c r="H2559" s="1" t="str">
        <f>"001236769211-14410"</f>
        <v>001236769211-14410</v>
      </c>
    </row>
    <row r="2560" spans="1:8" x14ac:dyDescent="0.25">
      <c r="E2560" s="1" t="str">
        <f>"C46201907090324"</f>
        <v>C46201907090324</v>
      </c>
      <c r="F2560" s="1" t="str">
        <f>"CAUSE# 11-14911"</f>
        <v>CAUSE# 11-14911</v>
      </c>
      <c r="G2560" s="3">
        <v>238.62</v>
      </c>
      <c r="H2560" s="1" t="str">
        <f>"CAUSE# 11-14911"</f>
        <v>CAUSE# 11-14911</v>
      </c>
    </row>
    <row r="2561" spans="1:8" x14ac:dyDescent="0.25">
      <c r="E2561" s="1" t="str">
        <f>"C53201907090324"</f>
        <v>C53201907090324</v>
      </c>
      <c r="F2561" s="1" t="str">
        <f>"0012453366"</f>
        <v>0012453366</v>
      </c>
      <c r="G2561" s="3">
        <v>138.46</v>
      </c>
      <c r="H2561" s="1" t="str">
        <f>"0012453366"</f>
        <v>0012453366</v>
      </c>
    </row>
    <row r="2562" spans="1:8" x14ac:dyDescent="0.25">
      <c r="E2562" s="1" t="str">
        <f>"C60201907090324"</f>
        <v>C60201907090324</v>
      </c>
      <c r="F2562" s="1" t="str">
        <f>"00130730762012V300"</f>
        <v>00130730762012V300</v>
      </c>
      <c r="G2562" s="3">
        <v>399.32</v>
      </c>
      <c r="H2562" s="1" t="str">
        <f>"00130730762012V300"</f>
        <v>00130730762012V300</v>
      </c>
    </row>
    <row r="2563" spans="1:8" x14ac:dyDescent="0.25">
      <c r="E2563" s="1" t="str">
        <f>"C62201907090324"</f>
        <v>C62201907090324</v>
      </c>
      <c r="F2563" s="1" t="str">
        <f>"# 0012128865"</f>
        <v># 0012128865</v>
      </c>
      <c r="G2563" s="3">
        <v>243.23</v>
      </c>
      <c r="H2563" s="1" t="str">
        <f>"# 0012128865"</f>
        <v># 0012128865</v>
      </c>
    </row>
    <row r="2564" spans="1:8" x14ac:dyDescent="0.25">
      <c r="E2564" s="1" t="str">
        <f>"C66201907090324"</f>
        <v>C66201907090324</v>
      </c>
      <c r="F2564" s="1" t="str">
        <f>"# 0012871801"</f>
        <v># 0012871801</v>
      </c>
      <c r="G2564" s="3">
        <v>90</v>
      </c>
      <c r="H2564" s="1" t="str">
        <f>"# 0012871801"</f>
        <v># 0012871801</v>
      </c>
    </row>
    <row r="2565" spans="1:8" x14ac:dyDescent="0.25">
      <c r="E2565" s="1" t="str">
        <f>"C67201907090324"</f>
        <v>C67201907090324</v>
      </c>
      <c r="F2565" s="1" t="str">
        <f>"13154657"</f>
        <v>13154657</v>
      </c>
      <c r="G2565" s="3">
        <v>101.99</v>
      </c>
      <c r="H2565" s="1" t="str">
        <f>"13154657"</f>
        <v>13154657</v>
      </c>
    </row>
    <row r="2566" spans="1:8" x14ac:dyDescent="0.25">
      <c r="E2566" s="1" t="str">
        <f>"C69201907090324"</f>
        <v>C69201907090324</v>
      </c>
      <c r="F2566" s="1" t="str">
        <f>"0012046911423672"</f>
        <v>0012046911423672</v>
      </c>
      <c r="G2566" s="3">
        <v>187.38</v>
      </c>
      <c r="H2566" s="1" t="str">
        <f>"0012046911423672"</f>
        <v>0012046911423672</v>
      </c>
    </row>
    <row r="2567" spans="1:8" x14ac:dyDescent="0.25">
      <c r="E2567" s="1" t="str">
        <f>"C70201907090324"</f>
        <v>C70201907090324</v>
      </c>
      <c r="F2567" s="1" t="str">
        <f>"00136881334235026"</f>
        <v>00136881334235026</v>
      </c>
      <c r="G2567" s="3">
        <v>257.45999999999998</v>
      </c>
      <c r="H2567" s="1" t="str">
        <f>"00136881334235026"</f>
        <v>00136881334235026</v>
      </c>
    </row>
    <row r="2568" spans="1:8" x14ac:dyDescent="0.25">
      <c r="E2568" s="1" t="str">
        <f>"C71201907090324"</f>
        <v>C71201907090324</v>
      </c>
      <c r="F2568" s="1" t="str">
        <f>"00137390532018V215"</f>
        <v>00137390532018V215</v>
      </c>
      <c r="G2568" s="3">
        <v>264</v>
      </c>
      <c r="H2568" s="1" t="str">
        <f>"00137390532018V215"</f>
        <v>00137390532018V215</v>
      </c>
    </row>
    <row r="2569" spans="1:8" x14ac:dyDescent="0.25">
      <c r="E2569" s="1" t="str">
        <f>"C72201907090324"</f>
        <v>C72201907090324</v>
      </c>
      <c r="F2569" s="1" t="str">
        <f>"0012797601C20130529B"</f>
        <v>0012797601C20130529B</v>
      </c>
      <c r="G2569" s="3">
        <v>241.85</v>
      </c>
      <c r="H2569" s="1" t="str">
        <f>"0012797601C20130529B"</f>
        <v>0012797601C20130529B</v>
      </c>
    </row>
    <row r="2570" spans="1:8" x14ac:dyDescent="0.25">
      <c r="E2570" s="1" t="str">
        <f>"C78201907090324"</f>
        <v>C78201907090324</v>
      </c>
      <c r="F2570" s="1" t="str">
        <f>"00105115972005106221"</f>
        <v>00105115972005106221</v>
      </c>
      <c r="G2570" s="3">
        <v>144.68</v>
      </c>
      <c r="H2570" s="1" t="str">
        <f>"00105115972005106221"</f>
        <v>00105115972005106221</v>
      </c>
    </row>
    <row r="2571" spans="1:8" x14ac:dyDescent="0.25">
      <c r="E2571" s="1" t="str">
        <f>"C79201907090324"</f>
        <v>C79201907090324</v>
      </c>
      <c r="F2571" s="1" t="str">
        <f>"0013045733S146091FLB"</f>
        <v>0013045733S146091FLB</v>
      </c>
      <c r="G2571" s="3">
        <v>197.08</v>
      </c>
      <c r="H2571" s="1" t="str">
        <f>"0013045733S146091FLB"</f>
        <v>0013045733S146091FLB</v>
      </c>
    </row>
    <row r="2572" spans="1:8" x14ac:dyDescent="0.25">
      <c r="E2572" s="1" t="str">
        <f>"C81201907090324"</f>
        <v>C81201907090324</v>
      </c>
      <c r="F2572" s="1" t="str">
        <f>"00123916889200232472"</f>
        <v>00123916889200232472</v>
      </c>
      <c r="G2572" s="3">
        <v>109.85</v>
      </c>
      <c r="H2572" s="1" t="str">
        <f>"00123916889200232472"</f>
        <v>00123916889200232472</v>
      </c>
    </row>
    <row r="2573" spans="1:8" x14ac:dyDescent="0.25">
      <c r="A2573" s="1" t="s">
        <v>496</v>
      </c>
      <c r="B2573" s="1">
        <v>181</v>
      </c>
      <c r="C2573" s="3">
        <v>4255.16</v>
      </c>
      <c r="D2573" s="2">
        <v>43672</v>
      </c>
      <c r="E2573" s="1" t="str">
        <f>"C18201907230650"</f>
        <v>C18201907230650</v>
      </c>
      <c r="F2573" s="1" t="str">
        <f>"CAUSE# 0011635329"</f>
        <v>CAUSE# 0011635329</v>
      </c>
      <c r="G2573" s="3">
        <v>603.23</v>
      </c>
      <c r="H2573" s="1" t="str">
        <f>"CAUSE# 0011635329"</f>
        <v>CAUSE# 0011635329</v>
      </c>
    </row>
    <row r="2574" spans="1:8" x14ac:dyDescent="0.25">
      <c r="E2574" s="1" t="str">
        <f>"C2 201907230650"</f>
        <v>C2 201907230650</v>
      </c>
      <c r="F2574" s="1" t="str">
        <f>"0012982132CCL7445"</f>
        <v>0012982132CCL7445</v>
      </c>
      <c r="G2574" s="3">
        <v>692.31</v>
      </c>
      <c r="H2574" s="1" t="str">
        <f>"0012982132CCL7445"</f>
        <v>0012982132CCL7445</v>
      </c>
    </row>
    <row r="2575" spans="1:8" x14ac:dyDescent="0.25">
      <c r="E2575" s="1" t="str">
        <f>"C20201907230648"</f>
        <v>C20201907230648</v>
      </c>
      <c r="F2575" s="1" t="str">
        <f>"001003981107-12252"</f>
        <v>001003981107-12252</v>
      </c>
      <c r="G2575" s="3">
        <v>115.39</v>
      </c>
      <c r="H2575" s="1" t="str">
        <f>"001003981107-12252"</f>
        <v>001003981107-12252</v>
      </c>
    </row>
    <row r="2576" spans="1:8" x14ac:dyDescent="0.25">
      <c r="E2576" s="1" t="str">
        <f>"C42201907230648"</f>
        <v>C42201907230648</v>
      </c>
      <c r="F2576" s="1" t="str">
        <f>"001236769211-14410"</f>
        <v>001236769211-14410</v>
      </c>
      <c r="G2576" s="3">
        <v>230.31</v>
      </c>
      <c r="H2576" s="1" t="str">
        <f>"001236769211-14410"</f>
        <v>001236769211-14410</v>
      </c>
    </row>
    <row r="2577" spans="1:8" x14ac:dyDescent="0.25">
      <c r="E2577" s="1" t="str">
        <f>"C46201907230648"</f>
        <v>C46201907230648</v>
      </c>
      <c r="F2577" s="1" t="str">
        <f>"CAUSE# 11-14911"</f>
        <v>CAUSE# 11-14911</v>
      </c>
      <c r="G2577" s="3">
        <v>238.62</v>
      </c>
      <c r="H2577" s="1" t="str">
        <f>"CAUSE# 11-14911"</f>
        <v>CAUSE# 11-14911</v>
      </c>
    </row>
    <row r="2578" spans="1:8" x14ac:dyDescent="0.25">
      <c r="E2578" s="1" t="str">
        <f>"C53201907230648"</f>
        <v>C53201907230648</v>
      </c>
      <c r="F2578" s="1" t="str">
        <f>"0012453366"</f>
        <v>0012453366</v>
      </c>
      <c r="G2578" s="3">
        <v>138.46</v>
      </c>
      <c r="H2578" s="1" t="str">
        <f>"0012453366"</f>
        <v>0012453366</v>
      </c>
    </row>
    <row r="2579" spans="1:8" x14ac:dyDescent="0.25">
      <c r="E2579" s="1" t="str">
        <f>"C60201907230648"</f>
        <v>C60201907230648</v>
      </c>
      <c r="F2579" s="1" t="str">
        <f>"00130730762012V300"</f>
        <v>00130730762012V300</v>
      </c>
      <c r="G2579" s="3">
        <v>399.32</v>
      </c>
      <c r="H2579" s="1" t="str">
        <f>"00130730762012V300"</f>
        <v>00130730762012V300</v>
      </c>
    </row>
    <row r="2580" spans="1:8" x14ac:dyDescent="0.25">
      <c r="E2580" s="1" t="str">
        <f>"C62201907230648"</f>
        <v>C62201907230648</v>
      </c>
      <c r="F2580" s="1" t="str">
        <f>"# 0012128865"</f>
        <v># 0012128865</v>
      </c>
      <c r="G2580" s="3">
        <v>243.23</v>
      </c>
      <c r="H2580" s="1" t="str">
        <f>"# 0012128865"</f>
        <v># 0012128865</v>
      </c>
    </row>
    <row r="2581" spans="1:8" x14ac:dyDescent="0.25">
      <c r="E2581" s="1" t="str">
        <f>"C66201907230648"</f>
        <v>C66201907230648</v>
      </c>
      <c r="F2581" s="1" t="str">
        <f>"# 0012871801"</f>
        <v># 0012871801</v>
      </c>
      <c r="G2581" s="3">
        <v>90</v>
      </c>
      <c r="H2581" s="1" t="str">
        <f>"# 0012871801"</f>
        <v># 0012871801</v>
      </c>
    </row>
    <row r="2582" spans="1:8" x14ac:dyDescent="0.25">
      <c r="E2582" s="1" t="str">
        <f>"C67201907230648"</f>
        <v>C67201907230648</v>
      </c>
      <c r="F2582" s="1" t="str">
        <f>"13154657"</f>
        <v>13154657</v>
      </c>
      <c r="G2582" s="3">
        <v>101.99</v>
      </c>
      <c r="H2582" s="1" t="str">
        <f>"13154657"</f>
        <v>13154657</v>
      </c>
    </row>
    <row r="2583" spans="1:8" x14ac:dyDescent="0.25">
      <c r="E2583" s="1" t="str">
        <f>"C69201907230648"</f>
        <v>C69201907230648</v>
      </c>
      <c r="F2583" s="1" t="str">
        <f>"0012046911423672"</f>
        <v>0012046911423672</v>
      </c>
      <c r="G2583" s="3">
        <v>187.38</v>
      </c>
      <c r="H2583" s="1" t="str">
        <f>"0012046911423672"</f>
        <v>0012046911423672</v>
      </c>
    </row>
    <row r="2584" spans="1:8" x14ac:dyDescent="0.25">
      <c r="E2584" s="1" t="str">
        <f>"C70201907230648"</f>
        <v>C70201907230648</v>
      </c>
      <c r="F2584" s="1" t="str">
        <f>"00136881334235026"</f>
        <v>00136881334235026</v>
      </c>
      <c r="G2584" s="3">
        <v>257.45999999999998</v>
      </c>
      <c r="H2584" s="1" t="str">
        <f>"00136881334235026"</f>
        <v>00136881334235026</v>
      </c>
    </row>
    <row r="2585" spans="1:8" x14ac:dyDescent="0.25">
      <c r="E2585" s="1" t="str">
        <f>"C71201907230648"</f>
        <v>C71201907230648</v>
      </c>
      <c r="F2585" s="1" t="str">
        <f>"00137390532018V215"</f>
        <v>00137390532018V215</v>
      </c>
      <c r="G2585" s="3">
        <v>264</v>
      </c>
      <c r="H2585" s="1" t="str">
        <f>"00137390532018V215"</f>
        <v>00137390532018V215</v>
      </c>
    </row>
    <row r="2586" spans="1:8" x14ac:dyDescent="0.25">
      <c r="E2586" s="1" t="str">
        <f>"C72201907230648"</f>
        <v>C72201907230648</v>
      </c>
      <c r="F2586" s="1" t="str">
        <f>"0012797601C20130529B"</f>
        <v>0012797601C20130529B</v>
      </c>
      <c r="G2586" s="3">
        <v>241.85</v>
      </c>
      <c r="H2586" s="1" t="str">
        <f>"0012797601C20130529B"</f>
        <v>0012797601C20130529B</v>
      </c>
    </row>
    <row r="2587" spans="1:8" x14ac:dyDescent="0.25">
      <c r="E2587" s="1" t="str">
        <f>"C78201907230648"</f>
        <v>C78201907230648</v>
      </c>
      <c r="F2587" s="1" t="str">
        <f>"00105115972005106221"</f>
        <v>00105115972005106221</v>
      </c>
      <c r="G2587" s="3">
        <v>144.68</v>
      </c>
      <c r="H2587" s="1" t="str">
        <f>"00105115972005106221"</f>
        <v>00105115972005106221</v>
      </c>
    </row>
    <row r="2588" spans="1:8" x14ac:dyDescent="0.25">
      <c r="E2588" s="1" t="str">
        <f>"C79201907230648"</f>
        <v>C79201907230648</v>
      </c>
      <c r="F2588" s="1" t="str">
        <f>"0013045733S146091FLB"</f>
        <v>0013045733S146091FLB</v>
      </c>
      <c r="G2588" s="3">
        <v>197.08</v>
      </c>
      <c r="H2588" s="1" t="str">
        <f>"0013045733S146091FLB"</f>
        <v>0013045733S146091FLB</v>
      </c>
    </row>
    <row r="2589" spans="1:8" x14ac:dyDescent="0.25">
      <c r="E2589" s="1" t="str">
        <f>"C81201907230648"</f>
        <v>C81201907230648</v>
      </c>
      <c r="F2589" s="1" t="str">
        <f>"00123916889200232472"</f>
        <v>00123916889200232472</v>
      </c>
      <c r="G2589" s="3">
        <v>109.85</v>
      </c>
      <c r="H2589" s="1" t="str">
        <f>"00123916889200232472"</f>
        <v>00123916889200232472</v>
      </c>
    </row>
    <row r="2590" spans="1:8" x14ac:dyDescent="0.25">
      <c r="A2590" s="1" t="s">
        <v>497</v>
      </c>
      <c r="B2590" s="1">
        <v>183</v>
      </c>
      <c r="C2590" s="3">
        <v>338537.42</v>
      </c>
      <c r="D2590" s="2">
        <v>43672</v>
      </c>
      <c r="E2590" s="1" t="str">
        <f>"RET201907090324"</f>
        <v>RET201907090324</v>
      </c>
      <c r="F2590" s="1" t="str">
        <f>"TEXAS COUNTY &amp; DISTRICT RET"</f>
        <v>TEXAS COUNTY &amp; DISTRICT RET</v>
      </c>
      <c r="G2590" s="3">
        <v>154207.32</v>
      </c>
      <c r="H2590" s="1" t="str">
        <f t="shared" ref="H2590:H2621" si="57">"TEXAS COUNTY &amp; DISTRICT RET"</f>
        <v>TEXAS COUNTY &amp; DISTRICT RET</v>
      </c>
    </row>
    <row r="2591" spans="1:8" x14ac:dyDescent="0.25">
      <c r="E2591" s="1" t="str">
        <f>""</f>
        <v/>
      </c>
      <c r="F2591" s="1" t="str">
        <f>""</f>
        <v/>
      </c>
      <c r="H2591" s="1" t="str">
        <f t="shared" si="57"/>
        <v>TEXAS COUNTY &amp; DISTRICT RET</v>
      </c>
    </row>
    <row r="2592" spans="1:8" x14ac:dyDescent="0.25">
      <c r="E2592" s="1" t="str">
        <f>""</f>
        <v/>
      </c>
      <c r="F2592" s="1" t="str">
        <f>""</f>
        <v/>
      </c>
      <c r="H2592" s="1" t="str">
        <f t="shared" si="57"/>
        <v>TEXAS COUNTY &amp; DISTRICT RET</v>
      </c>
    </row>
    <row r="2593" spans="5:8" x14ac:dyDescent="0.25">
      <c r="E2593" s="1" t="str">
        <f>""</f>
        <v/>
      </c>
      <c r="F2593" s="1" t="str">
        <f>""</f>
        <v/>
      </c>
      <c r="H2593" s="1" t="str">
        <f t="shared" si="57"/>
        <v>TEXAS COUNTY &amp; DISTRICT RET</v>
      </c>
    </row>
    <row r="2594" spans="5:8" x14ac:dyDescent="0.25">
      <c r="E2594" s="1" t="str">
        <f>""</f>
        <v/>
      </c>
      <c r="F2594" s="1" t="str">
        <f>""</f>
        <v/>
      </c>
      <c r="H2594" s="1" t="str">
        <f t="shared" si="57"/>
        <v>TEXAS COUNTY &amp; DISTRICT RET</v>
      </c>
    </row>
    <row r="2595" spans="5:8" x14ac:dyDescent="0.25">
      <c r="E2595" s="1" t="str">
        <f>""</f>
        <v/>
      </c>
      <c r="F2595" s="1" t="str">
        <f>""</f>
        <v/>
      </c>
      <c r="H2595" s="1" t="str">
        <f t="shared" si="57"/>
        <v>TEXAS COUNTY &amp; DISTRICT RET</v>
      </c>
    </row>
    <row r="2596" spans="5:8" x14ac:dyDescent="0.25">
      <c r="E2596" s="1" t="str">
        <f>""</f>
        <v/>
      </c>
      <c r="F2596" s="1" t="str">
        <f>""</f>
        <v/>
      </c>
      <c r="H2596" s="1" t="str">
        <f t="shared" si="57"/>
        <v>TEXAS COUNTY &amp; DISTRICT RET</v>
      </c>
    </row>
    <row r="2597" spans="5:8" x14ac:dyDescent="0.25">
      <c r="E2597" s="1" t="str">
        <f>""</f>
        <v/>
      </c>
      <c r="F2597" s="1" t="str">
        <f>""</f>
        <v/>
      </c>
      <c r="H2597" s="1" t="str">
        <f t="shared" si="57"/>
        <v>TEXAS COUNTY &amp; DISTRICT RET</v>
      </c>
    </row>
    <row r="2598" spans="5:8" x14ac:dyDescent="0.25">
      <c r="E2598" s="1" t="str">
        <f>""</f>
        <v/>
      </c>
      <c r="F2598" s="1" t="str">
        <f>""</f>
        <v/>
      </c>
      <c r="H2598" s="1" t="str">
        <f t="shared" si="57"/>
        <v>TEXAS COUNTY &amp; DISTRICT RET</v>
      </c>
    </row>
    <row r="2599" spans="5:8" x14ac:dyDescent="0.25">
      <c r="E2599" s="1" t="str">
        <f>""</f>
        <v/>
      </c>
      <c r="F2599" s="1" t="str">
        <f>""</f>
        <v/>
      </c>
      <c r="H2599" s="1" t="str">
        <f t="shared" si="57"/>
        <v>TEXAS COUNTY &amp; DISTRICT RET</v>
      </c>
    </row>
    <row r="2600" spans="5:8" x14ac:dyDescent="0.25">
      <c r="E2600" s="1" t="str">
        <f>""</f>
        <v/>
      </c>
      <c r="F2600" s="1" t="str">
        <f>""</f>
        <v/>
      </c>
      <c r="H2600" s="1" t="str">
        <f t="shared" si="57"/>
        <v>TEXAS COUNTY &amp; DISTRICT RET</v>
      </c>
    </row>
    <row r="2601" spans="5:8" x14ac:dyDescent="0.25">
      <c r="E2601" s="1" t="str">
        <f>""</f>
        <v/>
      </c>
      <c r="F2601" s="1" t="str">
        <f>""</f>
        <v/>
      </c>
      <c r="H2601" s="1" t="str">
        <f t="shared" si="57"/>
        <v>TEXAS COUNTY &amp; DISTRICT RET</v>
      </c>
    </row>
    <row r="2602" spans="5:8" x14ac:dyDescent="0.25">
      <c r="E2602" s="1" t="str">
        <f>""</f>
        <v/>
      </c>
      <c r="F2602" s="1" t="str">
        <f>""</f>
        <v/>
      </c>
      <c r="H2602" s="1" t="str">
        <f t="shared" si="57"/>
        <v>TEXAS COUNTY &amp; DISTRICT RET</v>
      </c>
    </row>
    <row r="2603" spans="5:8" x14ac:dyDescent="0.25">
      <c r="E2603" s="1" t="str">
        <f>""</f>
        <v/>
      </c>
      <c r="F2603" s="1" t="str">
        <f>""</f>
        <v/>
      </c>
      <c r="H2603" s="1" t="str">
        <f t="shared" si="57"/>
        <v>TEXAS COUNTY &amp; DISTRICT RET</v>
      </c>
    </row>
    <row r="2604" spans="5:8" x14ac:dyDescent="0.25">
      <c r="E2604" s="1" t="str">
        <f>""</f>
        <v/>
      </c>
      <c r="F2604" s="1" t="str">
        <f>""</f>
        <v/>
      </c>
      <c r="H2604" s="1" t="str">
        <f t="shared" si="57"/>
        <v>TEXAS COUNTY &amp; DISTRICT RET</v>
      </c>
    </row>
    <row r="2605" spans="5:8" x14ac:dyDescent="0.25">
      <c r="E2605" s="1" t="str">
        <f>""</f>
        <v/>
      </c>
      <c r="F2605" s="1" t="str">
        <f>""</f>
        <v/>
      </c>
      <c r="H2605" s="1" t="str">
        <f t="shared" si="57"/>
        <v>TEXAS COUNTY &amp; DISTRICT RET</v>
      </c>
    </row>
    <row r="2606" spans="5:8" x14ac:dyDescent="0.25">
      <c r="E2606" s="1" t="str">
        <f>""</f>
        <v/>
      </c>
      <c r="F2606" s="1" t="str">
        <f>""</f>
        <v/>
      </c>
      <c r="H2606" s="1" t="str">
        <f t="shared" si="57"/>
        <v>TEXAS COUNTY &amp; DISTRICT RET</v>
      </c>
    </row>
    <row r="2607" spans="5:8" x14ac:dyDescent="0.25">
      <c r="E2607" s="1" t="str">
        <f>""</f>
        <v/>
      </c>
      <c r="F2607" s="1" t="str">
        <f>""</f>
        <v/>
      </c>
      <c r="H2607" s="1" t="str">
        <f t="shared" si="57"/>
        <v>TEXAS COUNTY &amp; DISTRICT RET</v>
      </c>
    </row>
    <row r="2608" spans="5:8" x14ac:dyDescent="0.25">
      <c r="E2608" s="1" t="str">
        <f>""</f>
        <v/>
      </c>
      <c r="F2608" s="1" t="str">
        <f>""</f>
        <v/>
      </c>
      <c r="H2608" s="1" t="str">
        <f t="shared" si="57"/>
        <v>TEXAS COUNTY &amp; DISTRICT RET</v>
      </c>
    </row>
    <row r="2609" spans="5:8" x14ac:dyDescent="0.25">
      <c r="E2609" s="1" t="str">
        <f>""</f>
        <v/>
      </c>
      <c r="F2609" s="1" t="str">
        <f>""</f>
        <v/>
      </c>
      <c r="H2609" s="1" t="str">
        <f t="shared" si="57"/>
        <v>TEXAS COUNTY &amp; DISTRICT RET</v>
      </c>
    </row>
    <row r="2610" spans="5:8" x14ac:dyDescent="0.25">
      <c r="E2610" s="1" t="str">
        <f>""</f>
        <v/>
      </c>
      <c r="F2610" s="1" t="str">
        <f>""</f>
        <v/>
      </c>
      <c r="H2610" s="1" t="str">
        <f t="shared" si="57"/>
        <v>TEXAS COUNTY &amp; DISTRICT RET</v>
      </c>
    </row>
    <row r="2611" spans="5:8" x14ac:dyDescent="0.25">
      <c r="E2611" s="1" t="str">
        <f>""</f>
        <v/>
      </c>
      <c r="F2611" s="1" t="str">
        <f>""</f>
        <v/>
      </c>
      <c r="H2611" s="1" t="str">
        <f t="shared" si="57"/>
        <v>TEXAS COUNTY &amp; DISTRICT RET</v>
      </c>
    </row>
    <row r="2612" spans="5:8" x14ac:dyDescent="0.25">
      <c r="E2612" s="1" t="str">
        <f>""</f>
        <v/>
      </c>
      <c r="F2612" s="1" t="str">
        <f>""</f>
        <v/>
      </c>
      <c r="H2612" s="1" t="str">
        <f t="shared" si="57"/>
        <v>TEXAS COUNTY &amp; DISTRICT RET</v>
      </c>
    </row>
    <row r="2613" spans="5:8" x14ac:dyDescent="0.25">
      <c r="E2613" s="1" t="str">
        <f>""</f>
        <v/>
      </c>
      <c r="F2613" s="1" t="str">
        <f>""</f>
        <v/>
      </c>
      <c r="H2613" s="1" t="str">
        <f t="shared" si="57"/>
        <v>TEXAS COUNTY &amp; DISTRICT RET</v>
      </c>
    </row>
    <row r="2614" spans="5:8" x14ac:dyDescent="0.25">
      <c r="E2614" s="1" t="str">
        <f>""</f>
        <v/>
      </c>
      <c r="F2614" s="1" t="str">
        <f>""</f>
        <v/>
      </c>
      <c r="H2614" s="1" t="str">
        <f t="shared" si="57"/>
        <v>TEXAS COUNTY &amp; DISTRICT RET</v>
      </c>
    </row>
    <row r="2615" spans="5:8" x14ac:dyDescent="0.25">
      <c r="E2615" s="1" t="str">
        <f>""</f>
        <v/>
      </c>
      <c r="F2615" s="1" t="str">
        <f>""</f>
        <v/>
      </c>
      <c r="H2615" s="1" t="str">
        <f t="shared" si="57"/>
        <v>TEXAS COUNTY &amp; DISTRICT RET</v>
      </c>
    </row>
    <row r="2616" spans="5:8" x14ac:dyDescent="0.25">
      <c r="E2616" s="1" t="str">
        <f>""</f>
        <v/>
      </c>
      <c r="F2616" s="1" t="str">
        <f>""</f>
        <v/>
      </c>
      <c r="H2616" s="1" t="str">
        <f t="shared" si="57"/>
        <v>TEXAS COUNTY &amp; DISTRICT RET</v>
      </c>
    </row>
    <row r="2617" spans="5:8" x14ac:dyDescent="0.25">
      <c r="E2617" s="1" t="str">
        <f>""</f>
        <v/>
      </c>
      <c r="F2617" s="1" t="str">
        <f>""</f>
        <v/>
      </c>
      <c r="H2617" s="1" t="str">
        <f t="shared" si="57"/>
        <v>TEXAS COUNTY &amp; DISTRICT RET</v>
      </c>
    </row>
    <row r="2618" spans="5:8" x14ac:dyDescent="0.25">
      <c r="E2618" s="1" t="str">
        <f>""</f>
        <v/>
      </c>
      <c r="F2618" s="1" t="str">
        <f>""</f>
        <v/>
      </c>
      <c r="H2618" s="1" t="str">
        <f t="shared" si="57"/>
        <v>TEXAS COUNTY &amp; DISTRICT RET</v>
      </c>
    </row>
    <row r="2619" spans="5:8" x14ac:dyDescent="0.25">
      <c r="E2619" s="1" t="str">
        <f>""</f>
        <v/>
      </c>
      <c r="F2619" s="1" t="str">
        <f>""</f>
        <v/>
      </c>
      <c r="H2619" s="1" t="str">
        <f t="shared" si="57"/>
        <v>TEXAS COUNTY &amp; DISTRICT RET</v>
      </c>
    </row>
    <row r="2620" spans="5:8" x14ac:dyDescent="0.25">
      <c r="E2620" s="1" t="str">
        <f>""</f>
        <v/>
      </c>
      <c r="F2620" s="1" t="str">
        <f>""</f>
        <v/>
      </c>
      <c r="H2620" s="1" t="str">
        <f t="shared" si="57"/>
        <v>TEXAS COUNTY &amp; DISTRICT RET</v>
      </c>
    </row>
    <row r="2621" spans="5:8" x14ac:dyDescent="0.25">
      <c r="E2621" s="1" t="str">
        <f>""</f>
        <v/>
      </c>
      <c r="F2621" s="1" t="str">
        <f>""</f>
        <v/>
      </c>
      <c r="H2621" s="1" t="str">
        <f t="shared" si="57"/>
        <v>TEXAS COUNTY &amp; DISTRICT RET</v>
      </c>
    </row>
    <row r="2622" spans="5:8" x14ac:dyDescent="0.25">
      <c r="E2622" s="1" t="str">
        <f>""</f>
        <v/>
      </c>
      <c r="F2622" s="1" t="str">
        <f>""</f>
        <v/>
      </c>
      <c r="H2622" s="1" t="str">
        <f t="shared" ref="H2622:H2640" si="58">"TEXAS COUNTY &amp; DISTRICT RET"</f>
        <v>TEXAS COUNTY &amp; DISTRICT RET</v>
      </c>
    </row>
    <row r="2623" spans="5:8" x14ac:dyDescent="0.25">
      <c r="E2623" s="1" t="str">
        <f>""</f>
        <v/>
      </c>
      <c r="F2623" s="1" t="str">
        <f>""</f>
        <v/>
      </c>
      <c r="H2623" s="1" t="str">
        <f t="shared" si="58"/>
        <v>TEXAS COUNTY &amp; DISTRICT RET</v>
      </c>
    </row>
    <row r="2624" spans="5:8" x14ac:dyDescent="0.25">
      <c r="E2624" s="1" t="str">
        <f>""</f>
        <v/>
      </c>
      <c r="F2624" s="1" t="str">
        <f>""</f>
        <v/>
      </c>
      <c r="H2624" s="1" t="str">
        <f t="shared" si="58"/>
        <v>TEXAS COUNTY &amp; DISTRICT RET</v>
      </c>
    </row>
    <row r="2625" spans="5:8" x14ac:dyDescent="0.25">
      <c r="E2625" s="1" t="str">
        <f>""</f>
        <v/>
      </c>
      <c r="F2625" s="1" t="str">
        <f>""</f>
        <v/>
      </c>
      <c r="H2625" s="1" t="str">
        <f t="shared" si="58"/>
        <v>TEXAS COUNTY &amp; DISTRICT RET</v>
      </c>
    </row>
    <row r="2626" spans="5:8" x14ac:dyDescent="0.25">
      <c r="E2626" s="1" t="str">
        <f>""</f>
        <v/>
      </c>
      <c r="F2626" s="1" t="str">
        <f>""</f>
        <v/>
      </c>
      <c r="H2626" s="1" t="str">
        <f t="shared" si="58"/>
        <v>TEXAS COUNTY &amp; DISTRICT RET</v>
      </c>
    </row>
    <row r="2627" spans="5:8" x14ac:dyDescent="0.25">
      <c r="E2627" s="1" t="str">
        <f>""</f>
        <v/>
      </c>
      <c r="F2627" s="1" t="str">
        <f>""</f>
        <v/>
      </c>
      <c r="H2627" s="1" t="str">
        <f t="shared" si="58"/>
        <v>TEXAS COUNTY &amp; DISTRICT RET</v>
      </c>
    </row>
    <row r="2628" spans="5:8" x14ac:dyDescent="0.25">
      <c r="E2628" s="1" t="str">
        <f>""</f>
        <v/>
      </c>
      <c r="F2628" s="1" t="str">
        <f>""</f>
        <v/>
      </c>
      <c r="H2628" s="1" t="str">
        <f t="shared" si="58"/>
        <v>TEXAS COUNTY &amp; DISTRICT RET</v>
      </c>
    </row>
    <row r="2629" spans="5:8" x14ac:dyDescent="0.25">
      <c r="E2629" s="1" t="str">
        <f>""</f>
        <v/>
      </c>
      <c r="F2629" s="1" t="str">
        <f>""</f>
        <v/>
      </c>
      <c r="H2629" s="1" t="str">
        <f t="shared" si="58"/>
        <v>TEXAS COUNTY &amp; DISTRICT RET</v>
      </c>
    </row>
    <row r="2630" spans="5:8" x14ac:dyDescent="0.25">
      <c r="E2630" s="1" t="str">
        <f>""</f>
        <v/>
      </c>
      <c r="F2630" s="1" t="str">
        <f>""</f>
        <v/>
      </c>
      <c r="H2630" s="1" t="str">
        <f t="shared" si="58"/>
        <v>TEXAS COUNTY &amp; DISTRICT RET</v>
      </c>
    </row>
    <row r="2631" spans="5:8" x14ac:dyDescent="0.25">
      <c r="E2631" s="1" t="str">
        <f>""</f>
        <v/>
      </c>
      <c r="F2631" s="1" t="str">
        <f>""</f>
        <v/>
      </c>
      <c r="H2631" s="1" t="str">
        <f t="shared" si="58"/>
        <v>TEXAS COUNTY &amp; DISTRICT RET</v>
      </c>
    </row>
    <row r="2632" spans="5:8" x14ac:dyDescent="0.25">
      <c r="E2632" s="1" t="str">
        <f>""</f>
        <v/>
      </c>
      <c r="F2632" s="1" t="str">
        <f>""</f>
        <v/>
      </c>
      <c r="H2632" s="1" t="str">
        <f t="shared" si="58"/>
        <v>TEXAS COUNTY &amp; DISTRICT RET</v>
      </c>
    </row>
    <row r="2633" spans="5:8" x14ac:dyDescent="0.25">
      <c r="E2633" s="1" t="str">
        <f>""</f>
        <v/>
      </c>
      <c r="F2633" s="1" t="str">
        <f>""</f>
        <v/>
      </c>
      <c r="H2633" s="1" t="str">
        <f t="shared" si="58"/>
        <v>TEXAS COUNTY &amp; DISTRICT RET</v>
      </c>
    </row>
    <row r="2634" spans="5:8" x14ac:dyDescent="0.25">
      <c r="E2634" s="1" t="str">
        <f>""</f>
        <v/>
      </c>
      <c r="F2634" s="1" t="str">
        <f>""</f>
        <v/>
      </c>
      <c r="H2634" s="1" t="str">
        <f t="shared" si="58"/>
        <v>TEXAS COUNTY &amp; DISTRICT RET</v>
      </c>
    </row>
    <row r="2635" spans="5:8" x14ac:dyDescent="0.25">
      <c r="E2635" s="1" t="str">
        <f>""</f>
        <v/>
      </c>
      <c r="F2635" s="1" t="str">
        <f>""</f>
        <v/>
      </c>
      <c r="H2635" s="1" t="str">
        <f t="shared" si="58"/>
        <v>TEXAS COUNTY &amp; DISTRICT RET</v>
      </c>
    </row>
    <row r="2636" spans="5:8" x14ac:dyDescent="0.25">
      <c r="E2636" s="1" t="str">
        <f>""</f>
        <v/>
      </c>
      <c r="F2636" s="1" t="str">
        <f>""</f>
        <v/>
      </c>
      <c r="H2636" s="1" t="str">
        <f t="shared" si="58"/>
        <v>TEXAS COUNTY &amp; DISTRICT RET</v>
      </c>
    </row>
    <row r="2637" spans="5:8" x14ac:dyDescent="0.25">
      <c r="E2637" s="1" t="str">
        <f>""</f>
        <v/>
      </c>
      <c r="F2637" s="1" t="str">
        <f>""</f>
        <v/>
      </c>
      <c r="H2637" s="1" t="str">
        <f t="shared" si="58"/>
        <v>TEXAS COUNTY &amp; DISTRICT RET</v>
      </c>
    </row>
    <row r="2638" spans="5:8" x14ac:dyDescent="0.25">
      <c r="E2638" s="1" t="str">
        <f>""</f>
        <v/>
      </c>
      <c r="F2638" s="1" t="str">
        <f>""</f>
        <v/>
      </c>
      <c r="H2638" s="1" t="str">
        <f t="shared" si="58"/>
        <v>TEXAS COUNTY &amp; DISTRICT RET</v>
      </c>
    </row>
    <row r="2639" spans="5:8" x14ac:dyDescent="0.25">
      <c r="E2639" s="1" t="str">
        <f>""</f>
        <v/>
      </c>
      <c r="F2639" s="1" t="str">
        <f>""</f>
        <v/>
      </c>
      <c r="H2639" s="1" t="str">
        <f t="shared" si="58"/>
        <v>TEXAS COUNTY &amp; DISTRICT RET</v>
      </c>
    </row>
    <row r="2640" spans="5:8" x14ac:dyDescent="0.25">
      <c r="E2640" s="1" t="str">
        <f>""</f>
        <v/>
      </c>
      <c r="F2640" s="1" t="str">
        <f>""</f>
        <v/>
      </c>
      <c r="H2640" s="1" t="str">
        <f t="shared" si="58"/>
        <v>TEXAS COUNTY &amp; DISTRICT RET</v>
      </c>
    </row>
    <row r="2641" spans="5:8" x14ac:dyDescent="0.25">
      <c r="E2641" s="1" t="str">
        <f>"RET201907090325"</f>
        <v>RET201907090325</v>
      </c>
      <c r="F2641" s="1" t="str">
        <f>"TEXAS COUNTY  DISTRICT RET"</f>
        <v>TEXAS COUNTY  DISTRICT RET</v>
      </c>
      <c r="G2641" s="3">
        <v>5842.85</v>
      </c>
      <c r="H2641" s="1" t="str">
        <f>"TEXAS COUNTY  DISTRICT RET"</f>
        <v>TEXAS COUNTY  DISTRICT RET</v>
      </c>
    </row>
    <row r="2642" spans="5:8" x14ac:dyDescent="0.25">
      <c r="E2642" s="1" t="str">
        <f>""</f>
        <v/>
      </c>
      <c r="F2642" s="1" t="str">
        <f>""</f>
        <v/>
      </c>
      <c r="H2642" s="1" t="str">
        <f>"TEXAS COUNTY  DISTRICT RET"</f>
        <v>TEXAS COUNTY  DISTRICT RET</v>
      </c>
    </row>
    <row r="2643" spans="5:8" x14ac:dyDescent="0.25">
      <c r="E2643" s="1" t="str">
        <f>"RET201907090326"</f>
        <v>RET201907090326</v>
      </c>
      <c r="F2643" s="1" t="str">
        <f>"TEXAS COUNTY &amp; DISTRICT RET"</f>
        <v>TEXAS COUNTY &amp; DISTRICT RET</v>
      </c>
      <c r="G2643" s="3">
        <v>7476.48</v>
      </c>
      <c r="H2643" s="1" t="str">
        <f t="shared" ref="H2643:H2674" si="59">"TEXAS COUNTY &amp; DISTRICT RET"</f>
        <v>TEXAS COUNTY &amp; DISTRICT RET</v>
      </c>
    </row>
    <row r="2644" spans="5:8" x14ac:dyDescent="0.25">
      <c r="E2644" s="1" t="str">
        <f>""</f>
        <v/>
      </c>
      <c r="F2644" s="1" t="str">
        <f>""</f>
        <v/>
      </c>
      <c r="H2644" s="1" t="str">
        <f t="shared" si="59"/>
        <v>TEXAS COUNTY &amp; DISTRICT RET</v>
      </c>
    </row>
    <row r="2645" spans="5:8" x14ac:dyDescent="0.25">
      <c r="E2645" s="1" t="str">
        <f>"RET201907230648"</f>
        <v>RET201907230648</v>
      </c>
      <c r="F2645" s="1" t="str">
        <f>"TEXAS COUNTY &amp; DISTRICT RET"</f>
        <v>TEXAS COUNTY &amp; DISTRICT RET</v>
      </c>
      <c r="G2645" s="3">
        <v>157532.9</v>
      </c>
      <c r="H2645" s="1" t="str">
        <f t="shared" si="59"/>
        <v>TEXAS COUNTY &amp; DISTRICT RET</v>
      </c>
    </row>
    <row r="2646" spans="5:8" x14ac:dyDescent="0.25">
      <c r="E2646" s="1" t="str">
        <f>""</f>
        <v/>
      </c>
      <c r="F2646" s="1" t="str">
        <f>""</f>
        <v/>
      </c>
      <c r="H2646" s="1" t="str">
        <f t="shared" si="59"/>
        <v>TEXAS COUNTY &amp; DISTRICT RET</v>
      </c>
    </row>
    <row r="2647" spans="5:8" x14ac:dyDescent="0.25">
      <c r="E2647" s="1" t="str">
        <f>""</f>
        <v/>
      </c>
      <c r="F2647" s="1" t="str">
        <f>""</f>
        <v/>
      </c>
      <c r="H2647" s="1" t="str">
        <f t="shared" si="59"/>
        <v>TEXAS COUNTY &amp; DISTRICT RET</v>
      </c>
    </row>
    <row r="2648" spans="5:8" x14ac:dyDescent="0.25">
      <c r="E2648" s="1" t="str">
        <f>""</f>
        <v/>
      </c>
      <c r="F2648" s="1" t="str">
        <f>""</f>
        <v/>
      </c>
      <c r="H2648" s="1" t="str">
        <f t="shared" si="59"/>
        <v>TEXAS COUNTY &amp; DISTRICT RET</v>
      </c>
    </row>
    <row r="2649" spans="5:8" x14ac:dyDescent="0.25">
      <c r="E2649" s="1" t="str">
        <f>""</f>
        <v/>
      </c>
      <c r="F2649" s="1" t="str">
        <f>""</f>
        <v/>
      </c>
      <c r="H2649" s="1" t="str">
        <f t="shared" si="59"/>
        <v>TEXAS COUNTY &amp; DISTRICT RET</v>
      </c>
    </row>
    <row r="2650" spans="5:8" x14ac:dyDescent="0.25">
      <c r="E2650" s="1" t="str">
        <f>""</f>
        <v/>
      </c>
      <c r="F2650" s="1" t="str">
        <f>""</f>
        <v/>
      </c>
      <c r="H2650" s="1" t="str">
        <f t="shared" si="59"/>
        <v>TEXAS COUNTY &amp; DISTRICT RET</v>
      </c>
    </row>
    <row r="2651" spans="5:8" x14ac:dyDescent="0.25">
      <c r="E2651" s="1" t="str">
        <f>""</f>
        <v/>
      </c>
      <c r="F2651" s="1" t="str">
        <f>""</f>
        <v/>
      </c>
      <c r="H2651" s="1" t="str">
        <f t="shared" si="59"/>
        <v>TEXAS COUNTY &amp; DISTRICT RET</v>
      </c>
    </row>
    <row r="2652" spans="5:8" x14ac:dyDescent="0.25">
      <c r="E2652" s="1" t="str">
        <f>""</f>
        <v/>
      </c>
      <c r="F2652" s="1" t="str">
        <f>""</f>
        <v/>
      </c>
      <c r="H2652" s="1" t="str">
        <f t="shared" si="59"/>
        <v>TEXAS COUNTY &amp; DISTRICT RET</v>
      </c>
    </row>
    <row r="2653" spans="5:8" x14ac:dyDescent="0.25">
      <c r="E2653" s="1" t="str">
        <f>""</f>
        <v/>
      </c>
      <c r="F2653" s="1" t="str">
        <f>""</f>
        <v/>
      </c>
      <c r="H2653" s="1" t="str">
        <f t="shared" si="59"/>
        <v>TEXAS COUNTY &amp; DISTRICT RET</v>
      </c>
    </row>
    <row r="2654" spans="5:8" x14ac:dyDescent="0.25">
      <c r="E2654" s="1" t="str">
        <f>""</f>
        <v/>
      </c>
      <c r="F2654" s="1" t="str">
        <f>""</f>
        <v/>
      </c>
      <c r="H2654" s="1" t="str">
        <f t="shared" si="59"/>
        <v>TEXAS COUNTY &amp; DISTRICT RET</v>
      </c>
    </row>
    <row r="2655" spans="5:8" x14ac:dyDescent="0.25">
      <c r="E2655" s="1" t="str">
        <f>""</f>
        <v/>
      </c>
      <c r="F2655" s="1" t="str">
        <f>""</f>
        <v/>
      </c>
      <c r="H2655" s="1" t="str">
        <f t="shared" si="59"/>
        <v>TEXAS COUNTY &amp; DISTRICT RET</v>
      </c>
    </row>
    <row r="2656" spans="5:8" x14ac:dyDescent="0.25">
      <c r="E2656" s="1" t="str">
        <f>""</f>
        <v/>
      </c>
      <c r="F2656" s="1" t="str">
        <f>""</f>
        <v/>
      </c>
      <c r="H2656" s="1" t="str">
        <f t="shared" si="59"/>
        <v>TEXAS COUNTY &amp; DISTRICT RET</v>
      </c>
    </row>
    <row r="2657" spans="5:8" x14ac:dyDescent="0.25">
      <c r="E2657" s="1" t="str">
        <f>""</f>
        <v/>
      </c>
      <c r="F2657" s="1" t="str">
        <f>""</f>
        <v/>
      </c>
      <c r="H2657" s="1" t="str">
        <f t="shared" si="59"/>
        <v>TEXAS COUNTY &amp; DISTRICT RET</v>
      </c>
    </row>
    <row r="2658" spans="5:8" x14ac:dyDescent="0.25">
      <c r="E2658" s="1" t="str">
        <f>""</f>
        <v/>
      </c>
      <c r="F2658" s="1" t="str">
        <f>""</f>
        <v/>
      </c>
      <c r="H2658" s="1" t="str">
        <f t="shared" si="59"/>
        <v>TEXAS COUNTY &amp; DISTRICT RET</v>
      </c>
    </row>
    <row r="2659" spans="5:8" x14ac:dyDescent="0.25">
      <c r="E2659" s="1" t="str">
        <f>""</f>
        <v/>
      </c>
      <c r="F2659" s="1" t="str">
        <f>""</f>
        <v/>
      </c>
      <c r="H2659" s="1" t="str">
        <f t="shared" si="59"/>
        <v>TEXAS COUNTY &amp; DISTRICT RET</v>
      </c>
    </row>
    <row r="2660" spans="5:8" x14ac:dyDescent="0.25">
      <c r="E2660" s="1" t="str">
        <f>""</f>
        <v/>
      </c>
      <c r="F2660" s="1" t="str">
        <f>""</f>
        <v/>
      </c>
      <c r="H2660" s="1" t="str">
        <f t="shared" si="59"/>
        <v>TEXAS COUNTY &amp; DISTRICT RET</v>
      </c>
    </row>
    <row r="2661" spans="5:8" x14ac:dyDescent="0.25">
      <c r="E2661" s="1" t="str">
        <f>""</f>
        <v/>
      </c>
      <c r="F2661" s="1" t="str">
        <f>""</f>
        <v/>
      </c>
      <c r="H2661" s="1" t="str">
        <f t="shared" si="59"/>
        <v>TEXAS COUNTY &amp; DISTRICT RET</v>
      </c>
    </row>
    <row r="2662" spans="5:8" x14ac:dyDescent="0.25">
      <c r="E2662" s="1" t="str">
        <f>""</f>
        <v/>
      </c>
      <c r="F2662" s="1" t="str">
        <f>""</f>
        <v/>
      </c>
      <c r="H2662" s="1" t="str">
        <f t="shared" si="59"/>
        <v>TEXAS COUNTY &amp; DISTRICT RET</v>
      </c>
    </row>
    <row r="2663" spans="5:8" x14ac:dyDescent="0.25">
      <c r="E2663" s="1" t="str">
        <f>""</f>
        <v/>
      </c>
      <c r="F2663" s="1" t="str">
        <f>""</f>
        <v/>
      </c>
      <c r="H2663" s="1" t="str">
        <f t="shared" si="59"/>
        <v>TEXAS COUNTY &amp; DISTRICT RET</v>
      </c>
    </row>
    <row r="2664" spans="5:8" x14ac:dyDescent="0.25">
      <c r="E2664" s="1" t="str">
        <f>""</f>
        <v/>
      </c>
      <c r="F2664" s="1" t="str">
        <f>""</f>
        <v/>
      </c>
      <c r="H2664" s="1" t="str">
        <f t="shared" si="59"/>
        <v>TEXAS COUNTY &amp; DISTRICT RET</v>
      </c>
    </row>
    <row r="2665" spans="5:8" x14ac:dyDescent="0.25">
      <c r="E2665" s="1" t="str">
        <f>""</f>
        <v/>
      </c>
      <c r="F2665" s="1" t="str">
        <f>""</f>
        <v/>
      </c>
      <c r="H2665" s="1" t="str">
        <f t="shared" si="59"/>
        <v>TEXAS COUNTY &amp; DISTRICT RET</v>
      </c>
    </row>
    <row r="2666" spans="5:8" x14ac:dyDescent="0.25">
      <c r="E2666" s="1" t="str">
        <f>""</f>
        <v/>
      </c>
      <c r="F2666" s="1" t="str">
        <f>""</f>
        <v/>
      </c>
      <c r="H2666" s="1" t="str">
        <f t="shared" si="59"/>
        <v>TEXAS COUNTY &amp; DISTRICT RET</v>
      </c>
    </row>
    <row r="2667" spans="5:8" x14ac:dyDescent="0.25">
      <c r="E2667" s="1" t="str">
        <f>""</f>
        <v/>
      </c>
      <c r="F2667" s="1" t="str">
        <f>""</f>
        <v/>
      </c>
      <c r="H2667" s="1" t="str">
        <f t="shared" si="59"/>
        <v>TEXAS COUNTY &amp; DISTRICT RET</v>
      </c>
    </row>
    <row r="2668" spans="5:8" x14ac:dyDescent="0.25">
      <c r="E2668" s="1" t="str">
        <f>""</f>
        <v/>
      </c>
      <c r="F2668" s="1" t="str">
        <f>""</f>
        <v/>
      </c>
      <c r="H2668" s="1" t="str">
        <f t="shared" si="59"/>
        <v>TEXAS COUNTY &amp; DISTRICT RET</v>
      </c>
    </row>
    <row r="2669" spans="5:8" x14ac:dyDescent="0.25">
      <c r="E2669" s="1" t="str">
        <f>""</f>
        <v/>
      </c>
      <c r="F2669" s="1" t="str">
        <f>""</f>
        <v/>
      </c>
      <c r="H2669" s="1" t="str">
        <f t="shared" si="59"/>
        <v>TEXAS COUNTY &amp; DISTRICT RET</v>
      </c>
    </row>
    <row r="2670" spans="5:8" x14ac:dyDescent="0.25">
      <c r="E2670" s="1" t="str">
        <f>""</f>
        <v/>
      </c>
      <c r="F2670" s="1" t="str">
        <f>""</f>
        <v/>
      </c>
      <c r="H2670" s="1" t="str">
        <f t="shared" si="59"/>
        <v>TEXAS COUNTY &amp; DISTRICT RET</v>
      </c>
    </row>
    <row r="2671" spans="5:8" x14ac:dyDescent="0.25">
      <c r="E2671" s="1" t="str">
        <f>""</f>
        <v/>
      </c>
      <c r="F2671" s="1" t="str">
        <f>""</f>
        <v/>
      </c>
      <c r="H2671" s="1" t="str">
        <f t="shared" si="59"/>
        <v>TEXAS COUNTY &amp; DISTRICT RET</v>
      </c>
    </row>
    <row r="2672" spans="5:8" x14ac:dyDescent="0.25">
      <c r="E2672" s="1" t="str">
        <f>""</f>
        <v/>
      </c>
      <c r="F2672" s="1" t="str">
        <f>""</f>
        <v/>
      </c>
      <c r="H2672" s="1" t="str">
        <f t="shared" si="59"/>
        <v>TEXAS COUNTY &amp; DISTRICT RET</v>
      </c>
    </row>
    <row r="2673" spans="5:8" x14ac:dyDescent="0.25">
      <c r="E2673" s="1" t="str">
        <f>""</f>
        <v/>
      </c>
      <c r="F2673" s="1" t="str">
        <f>""</f>
        <v/>
      </c>
      <c r="H2673" s="1" t="str">
        <f t="shared" si="59"/>
        <v>TEXAS COUNTY &amp; DISTRICT RET</v>
      </c>
    </row>
    <row r="2674" spans="5:8" x14ac:dyDescent="0.25">
      <c r="E2674" s="1" t="str">
        <f>""</f>
        <v/>
      </c>
      <c r="F2674" s="1" t="str">
        <f>""</f>
        <v/>
      </c>
      <c r="H2674" s="1" t="str">
        <f t="shared" si="59"/>
        <v>TEXAS COUNTY &amp; DISTRICT RET</v>
      </c>
    </row>
    <row r="2675" spans="5:8" x14ac:dyDescent="0.25">
      <c r="E2675" s="1" t="str">
        <f>""</f>
        <v/>
      </c>
      <c r="F2675" s="1" t="str">
        <f>""</f>
        <v/>
      </c>
      <c r="H2675" s="1" t="str">
        <f t="shared" ref="H2675:H2695" si="60">"TEXAS COUNTY &amp; DISTRICT RET"</f>
        <v>TEXAS COUNTY &amp; DISTRICT RET</v>
      </c>
    </row>
    <row r="2676" spans="5:8" x14ac:dyDescent="0.25">
      <c r="E2676" s="1" t="str">
        <f>""</f>
        <v/>
      </c>
      <c r="F2676" s="1" t="str">
        <f>""</f>
        <v/>
      </c>
      <c r="H2676" s="1" t="str">
        <f t="shared" si="60"/>
        <v>TEXAS COUNTY &amp; DISTRICT RET</v>
      </c>
    </row>
    <row r="2677" spans="5:8" x14ac:dyDescent="0.25">
      <c r="E2677" s="1" t="str">
        <f>""</f>
        <v/>
      </c>
      <c r="F2677" s="1" t="str">
        <f>""</f>
        <v/>
      </c>
      <c r="H2677" s="1" t="str">
        <f t="shared" si="60"/>
        <v>TEXAS COUNTY &amp; DISTRICT RET</v>
      </c>
    </row>
    <row r="2678" spans="5:8" x14ac:dyDescent="0.25">
      <c r="E2678" s="1" t="str">
        <f>""</f>
        <v/>
      </c>
      <c r="F2678" s="1" t="str">
        <f>""</f>
        <v/>
      </c>
      <c r="H2678" s="1" t="str">
        <f t="shared" si="60"/>
        <v>TEXAS COUNTY &amp; DISTRICT RET</v>
      </c>
    </row>
    <row r="2679" spans="5:8" x14ac:dyDescent="0.25">
      <c r="E2679" s="1" t="str">
        <f>""</f>
        <v/>
      </c>
      <c r="F2679" s="1" t="str">
        <f>""</f>
        <v/>
      </c>
      <c r="H2679" s="1" t="str">
        <f t="shared" si="60"/>
        <v>TEXAS COUNTY &amp; DISTRICT RET</v>
      </c>
    </row>
    <row r="2680" spans="5:8" x14ac:dyDescent="0.25">
      <c r="E2680" s="1" t="str">
        <f>""</f>
        <v/>
      </c>
      <c r="F2680" s="1" t="str">
        <f>""</f>
        <v/>
      </c>
      <c r="H2680" s="1" t="str">
        <f t="shared" si="60"/>
        <v>TEXAS COUNTY &amp; DISTRICT RET</v>
      </c>
    </row>
    <row r="2681" spans="5:8" x14ac:dyDescent="0.25">
      <c r="E2681" s="1" t="str">
        <f>""</f>
        <v/>
      </c>
      <c r="F2681" s="1" t="str">
        <f>""</f>
        <v/>
      </c>
      <c r="H2681" s="1" t="str">
        <f t="shared" si="60"/>
        <v>TEXAS COUNTY &amp; DISTRICT RET</v>
      </c>
    </row>
    <row r="2682" spans="5:8" x14ac:dyDescent="0.25">
      <c r="E2682" s="1" t="str">
        <f>""</f>
        <v/>
      </c>
      <c r="F2682" s="1" t="str">
        <f>""</f>
        <v/>
      </c>
      <c r="H2682" s="1" t="str">
        <f t="shared" si="60"/>
        <v>TEXAS COUNTY &amp; DISTRICT RET</v>
      </c>
    </row>
    <row r="2683" spans="5:8" x14ac:dyDescent="0.25">
      <c r="E2683" s="1" t="str">
        <f>""</f>
        <v/>
      </c>
      <c r="F2683" s="1" t="str">
        <f>""</f>
        <v/>
      </c>
      <c r="H2683" s="1" t="str">
        <f t="shared" si="60"/>
        <v>TEXAS COUNTY &amp; DISTRICT RET</v>
      </c>
    </row>
    <row r="2684" spans="5:8" x14ac:dyDescent="0.25">
      <c r="E2684" s="1" t="str">
        <f>""</f>
        <v/>
      </c>
      <c r="F2684" s="1" t="str">
        <f>""</f>
        <v/>
      </c>
      <c r="H2684" s="1" t="str">
        <f t="shared" si="60"/>
        <v>TEXAS COUNTY &amp; DISTRICT RET</v>
      </c>
    </row>
    <row r="2685" spans="5:8" x14ac:dyDescent="0.25">
      <c r="E2685" s="1" t="str">
        <f>""</f>
        <v/>
      </c>
      <c r="F2685" s="1" t="str">
        <f>""</f>
        <v/>
      </c>
      <c r="H2685" s="1" t="str">
        <f t="shared" si="60"/>
        <v>TEXAS COUNTY &amp; DISTRICT RET</v>
      </c>
    </row>
    <row r="2686" spans="5:8" x14ac:dyDescent="0.25">
      <c r="E2686" s="1" t="str">
        <f>""</f>
        <v/>
      </c>
      <c r="F2686" s="1" t="str">
        <f>""</f>
        <v/>
      </c>
      <c r="H2686" s="1" t="str">
        <f t="shared" si="60"/>
        <v>TEXAS COUNTY &amp; DISTRICT RET</v>
      </c>
    </row>
    <row r="2687" spans="5:8" x14ac:dyDescent="0.25">
      <c r="E2687" s="1" t="str">
        <f>""</f>
        <v/>
      </c>
      <c r="F2687" s="1" t="str">
        <f>""</f>
        <v/>
      </c>
      <c r="H2687" s="1" t="str">
        <f t="shared" si="60"/>
        <v>TEXAS COUNTY &amp; DISTRICT RET</v>
      </c>
    </row>
    <row r="2688" spans="5:8" x14ac:dyDescent="0.25">
      <c r="E2688" s="1" t="str">
        <f>""</f>
        <v/>
      </c>
      <c r="F2688" s="1" t="str">
        <f>""</f>
        <v/>
      </c>
      <c r="H2688" s="1" t="str">
        <f t="shared" si="60"/>
        <v>TEXAS COUNTY &amp; DISTRICT RET</v>
      </c>
    </row>
    <row r="2689" spans="1:8" x14ac:dyDescent="0.25">
      <c r="E2689" s="1" t="str">
        <f>""</f>
        <v/>
      </c>
      <c r="F2689" s="1" t="str">
        <f>""</f>
        <v/>
      </c>
      <c r="H2689" s="1" t="str">
        <f t="shared" si="60"/>
        <v>TEXAS COUNTY &amp; DISTRICT RET</v>
      </c>
    </row>
    <row r="2690" spans="1:8" x14ac:dyDescent="0.25">
      <c r="E2690" s="1" t="str">
        <f>""</f>
        <v/>
      </c>
      <c r="F2690" s="1" t="str">
        <f>""</f>
        <v/>
      </c>
      <c r="H2690" s="1" t="str">
        <f t="shared" si="60"/>
        <v>TEXAS COUNTY &amp; DISTRICT RET</v>
      </c>
    </row>
    <row r="2691" spans="1:8" x14ac:dyDescent="0.25">
      <c r="E2691" s="1" t="str">
        <f>""</f>
        <v/>
      </c>
      <c r="F2691" s="1" t="str">
        <f>""</f>
        <v/>
      </c>
      <c r="H2691" s="1" t="str">
        <f t="shared" si="60"/>
        <v>TEXAS COUNTY &amp; DISTRICT RET</v>
      </c>
    </row>
    <row r="2692" spans="1:8" x14ac:dyDescent="0.25">
      <c r="E2692" s="1" t="str">
        <f>""</f>
        <v/>
      </c>
      <c r="F2692" s="1" t="str">
        <f>""</f>
        <v/>
      </c>
      <c r="H2692" s="1" t="str">
        <f t="shared" si="60"/>
        <v>TEXAS COUNTY &amp; DISTRICT RET</v>
      </c>
    </row>
    <row r="2693" spans="1:8" x14ac:dyDescent="0.25">
      <c r="E2693" s="1" t="str">
        <f>""</f>
        <v/>
      </c>
      <c r="F2693" s="1" t="str">
        <f>""</f>
        <v/>
      </c>
      <c r="H2693" s="1" t="str">
        <f t="shared" si="60"/>
        <v>TEXAS COUNTY &amp; DISTRICT RET</v>
      </c>
    </row>
    <row r="2694" spans="1:8" x14ac:dyDescent="0.25">
      <c r="E2694" s="1" t="str">
        <f>""</f>
        <v/>
      </c>
      <c r="F2694" s="1" t="str">
        <f>""</f>
        <v/>
      </c>
      <c r="H2694" s="1" t="str">
        <f t="shared" si="60"/>
        <v>TEXAS COUNTY &amp; DISTRICT RET</v>
      </c>
    </row>
    <row r="2695" spans="1:8" x14ac:dyDescent="0.25">
      <c r="E2695" s="1" t="str">
        <f>""</f>
        <v/>
      </c>
      <c r="F2695" s="1" t="str">
        <f>""</f>
        <v/>
      </c>
      <c r="H2695" s="1" t="str">
        <f t="shared" si="60"/>
        <v>TEXAS COUNTY &amp; DISTRICT RET</v>
      </c>
    </row>
    <row r="2696" spans="1:8" x14ac:dyDescent="0.25">
      <c r="E2696" s="1" t="str">
        <f>"RET201907230650"</f>
        <v>RET201907230650</v>
      </c>
      <c r="F2696" s="1" t="str">
        <f>"TEXAS COUNTY  DISTRICT RET"</f>
        <v>TEXAS COUNTY  DISTRICT RET</v>
      </c>
      <c r="G2696" s="3">
        <v>5850.9</v>
      </c>
      <c r="H2696" s="1" t="str">
        <f>"TEXAS COUNTY  DISTRICT RET"</f>
        <v>TEXAS COUNTY  DISTRICT RET</v>
      </c>
    </row>
    <row r="2697" spans="1:8" x14ac:dyDescent="0.25">
      <c r="E2697" s="1" t="str">
        <f>""</f>
        <v/>
      </c>
      <c r="F2697" s="1" t="str">
        <f>""</f>
        <v/>
      </c>
      <c r="H2697" s="1" t="str">
        <f>"TEXAS COUNTY  DISTRICT RET"</f>
        <v>TEXAS COUNTY  DISTRICT RET</v>
      </c>
    </row>
    <row r="2698" spans="1:8" x14ac:dyDescent="0.25">
      <c r="E2698" s="1" t="str">
        <f>"RET201907230653"</f>
        <v>RET201907230653</v>
      </c>
      <c r="F2698" s="1" t="str">
        <f>"TEXAS COUNTY &amp; DISTRICT RET"</f>
        <v>TEXAS COUNTY &amp; DISTRICT RET</v>
      </c>
      <c r="G2698" s="3">
        <v>7626.97</v>
      </c>
      <c r="H2698" s="1" t="str">
        <f>"TEXAS COUNTY &amp; DISTRICT RET"</f>
        <v>TEXAS COUNTY &amp; DISTRICT RET</v>
      </c>
    </row>
    <row r="2699" spans="1:8" x14ac:dyDescent="0.25">
      <c r="E2699" s="1" t="str">
        <f>""</f>
        <v/>
      </c>
      <c r="F2699" s="1" t="str">
        <f>""</f>
        <v/>
      </c>
      <c r="H2699" s="1" t="str">
        <f>"TEXAS COUNTY &amp; DISTRICT RET"</f>
        <v>TEXAS COUNTY &amp; DISTRICT RET</v>
      </c>
    </row>
    <row r="2700" spans="1:8" x14ac:dyDescent="0.25">
      <c r="A2700" s="1" t="s">
        <v>498</v>
      </c>
      <c r="B2700" s="1">
        <v>47561</v>
      </c>
      <c r="C2700" s="3">
        <v>1280</v>
      </c>
      <c r="D2700" s="2">
        <v>43671</v>
      </c>
      <c r="E2700" s="1" t="str">
        <f>"LEG201907090324"</f>
        <v>LEG201907090324</v>
      </c>
      <c r="F2700" s="1" t="str">
        <f>"TEXAS LEGAL PROTECTION PLAN"</f>
        <v>TEXAS LEGAL PROTECTION PLAN</v>
      </c>
      <c r="G2700" s="3">
        <v>640</v>
      </c>
      <c r="H2700" s="1" t="str">
        <f>"TEXAS LEGAL PROTECTION PLAN"</f>
        <v>TEXAS LEGAL PROTECTION PLAN</v>
      </c>
    </row>
    <row r="2701" spans="1:8" x14ac:dyDescent="0.25">
      <c r="E2701" s="1" t="str">
        <f>"LEG201907230648"</f>
        <v>LEG201907230648</v>
      </c>
      <c r="F2701" s="1" t="str">
        <f>"TEXAS LEGAL PROTECTION PLAN"</f>
        <v>TEXAS LEGAL PROTECTION PLAN</v>
      </c>
      <c r="G2701" s="3">
        <v>640</v>
      </c>
      <c r="H2701" s="1" t="str">
        <f>"TEXAS LEGAL PROTECTION PLAN"</f>
        <v>TEXAS LEGAL PROTECTION PLAN</v>
      </c>
    </row>
    <row r="2702" spans="1:8" x14ac:dyDescent="0.25">
      <c r="A2702" s="1" t="s">
        <v>499</v>
      </c>
      <c r="B2702" s="1">
        <v>47545</v>
      </c>
      <c r="C2702" s="3">
        <v>212.65</v>
      </c>
      <c r="D2702" s="2">
        <v>43658</v>
      </c>
      <c r="E2702" s="1" t="str">
        <f>"SL9201907090324"</f>
        <v>SL9201907090324</v>
      </c>
      <c r="F2702" s="1" t="str">
        <f>"STUDENT LOAN"</f>
        <v>STUDENT LOAN</v>
      </c>
      <c r="G2702" s="3">
        <v>212.65</v>
      </c>
      <c r="H2702" s="1" t="str">
        <f>"STUDENT LOAN"</f>
        <v>STUDENT LOAN</v>
      </c>
    </row>
    <row r="2703" spans="1:8" x14ac:dyDescent="0.25">
      <c r="A2703" s="1" t="s">
        <v>499</v>
      </c>
      <c r="B2703" s="1">
        <v>47560</v>
      </c>
      <c r="C2703" s="3">
        <v>212.65</v>
      </c>
      <c r="D2703" s="2">
        <v>43672</v>
      </c>
      <c r="E2703" s="1" t="str">
        <f>"SL9201907230648"</f>
        <v>SL9201907230648</v>
      </c>
      <c r="F2703" s="1" t="str">
        <f>"STUDENT LOAN"</f>
        <v>STUDENT LOAN</v>
      </c>
      <c r="G2703" s="3">
        <v>212.65</v>
      </c>
      <c r="H2703" s="1" t="str">
        <f>"STUDENT LOAN"</f>
        <v>STUDENT LOAN</v>
      </c>
    </row>
    <row r="2704" spans="1:8" x14ac:dyDescent="0.25">
      <c r="B2704" s="4" t="s">
        <v>500</v>
      </c>
      <c r="C2704" s="3">
        <f>SUM(C2:C2699)</f>
        <v>4797134.169999999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AP-CHK-RPT-20190805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2019-08-05T19:57:56Z</dcterms:created>
  <dcterms:modified xsi:type="dcterms:W3CDTF">2019-08-05T19:57:56Z</dcterms:modified>
</cp:coreProperties>
</file>