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ocuments from drive C\Laurie Files\"/>
    </mc:Choice>
  </mc:AlternateContent>
  <bookViews>
    <workbookView xWindow="0" yWindow="0" windowWidth="28800" windowHeight="12435"/>
  </bookViews>
  <sheets>
    <sheet name="AP-CHK-RPT-20190805" sheetId="1" r:id="rId1"/>
  </sheets>
  <calcPr calcId="0"/>
</workbook>
</file>

<file path=xl/calcChain.xml><?xml version="1.0" encoding="utf-8"?>
<calcChain xmlns="http://schemas.openxmlformats.org/spreadsheetml/2006/main">
  <c r="C2649" i="1" l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E47" i="1"/>
  <c r="F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G59" i="1"/>
  <c r="H59" i="1"/>
  <c r="I59" i="1"/>
  <c r="E60" i="1"/>
  <c r="F60" i="1"/>
  <c r="E61" i="1"/>
  <c r="F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G394" i="1"/>
  <c r="H394" i="1"/>
  <c r="I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G516" i="1"/>
  <c r="H516" i="1"/>
  <c r="I516" i="1"/>
  <c r="E517" i="1"/>
  <c r="F517" i="1"/>
  <c r="H517" i="1"/>
  <c r="E518" i="1"/>
  <c r="F518" i="1"/>
  <c r="H518" i="1"/>
  <c r="G519" i="1"/>
  <c r="H519" i="1"/>
  <c r="I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G572" i="1"/>
  <c r="H572" i="1"/>
  <c r="I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G697" i="1"/>
  <c r="H697" i="1"/>
  <c r="I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G834" i="1"/>
  <c r="H834" i="1"/>
  <c r="I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G1026" i="1"/>
  <c r="H1026" i="1"/>
  <c r="I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G1156" i="1"/>
  <c r="H1156" i="1"/>
  <c r="I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</calcChain>
</file>

<file path=xl/sharedStrings.xml><?xml version="1.0" encoding="utf-8"?>
<sst xmlns="http://schemas.openxmlformats.org/spreadsheetml/2006/main" count="550" uniqueCount="432">
  <si>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</si>
  <si>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</si>
  <si>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</si>
  <si>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</si>
  <si>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</si>
  <si>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</si>
  <si>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</si>
  <si>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</si>
  <si>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4MC ENTERPRISES  LLC</t>
  </si>
  <si>
    <t>973 MATERIALS  LLC</t>
  </si>
  <si>
    <t>A PLUS BAIL BONDS</t>
  </si>
  <si>
    <t>ARNOLD OIL COMPANY OF AUSTIN LP</t>
  </si>
  <si>
    <t>TIMOTHY HALL</t>
  </si>
  <si>
    <t>ACE MART RESTAURANT SUPPLY</t>
  </si>
  <si>
    <t>ACES A/C SUPPLY INC</t>
  </si>
  <si>
    <t>ADAM DAKOTA ROWINS</t>
  </si>
  <si>
    <t>ADAM MUERY</t>
  </si>
  <si>
    <t>ADENA LEWIS</t>
  </si>
  <si>
    <t>ALAN MOLINARI</t>
  </si>
  <si>
    <t>ALBERT A. MARTINEZ  JR.</t>
  </si>
  <si>
    <t>ALBERT NEAL PFEIFFER</t>
  </si>
  <si>
    <t>ALEJANDRO RODRIGUEZ</t>
  </si>
  <si>
    <t>ALLIED INSURANCE</t>
  </si>
  <si>
    <t>="15</t>
  </si>
  <si>
    <t>835  03/20/19"</t>
  </si>
  <si>
    <t>ALTEX COMPUTERS &amp; ELECTRONICS</t>
  </si>
  <si>
    <t>ALWIN A. OESER</t>
  </si>
  <si>
    <t>S &amp; D PLUMBING-GIDDINGS LLC</t>
  </si>
  <si>
    <t>AMAZON CAPITAL SERVICES INC</t>
  </si>
  <si>
    <t>AMERICAN TIRE DISTRIBUTORS INC</t>
  </si>
  <si>
    <t>ANDERSON &amp; ANDERSON LAW FIRM PC</t>
  </si>
  <si>
    <t>ANDERSON MACHINERY AUSTIN INC</t>
  </si>
  <si>
    <t>ANNE HOOSE</t>
  </si>
  <si>
    <t>C APPLEMAN ENT INC</t>
  </si>
  <si>
    <t>AQUA BEVERAGE COMPANY/OZARKA</t>
  </si>
  <si>
    <t>AQUA WATER SUPPLY CORPORATION</t>
  </si>
  <si>
    <t>ARA / ST.DAVID'S IMAGING  LP</t>
  </si>
  <si>
    <t>ARNOLD GONZALEZ</t>
  </si>
  <si>
    <t>ARSENAL ADVERTISING LLC</t>
  </si>
  <si>
    <t>ASSOCIATED SUPPLY COMPANY  INC.</t>
  </si>
  <si>
    <t>ASHLEY HERMANS</t>
  </si>
  <si>
    <t>AT &amp; T</t>
  </si>
  <si>
    <t>AT&amp;T</t>
  </si>
  <si>
    <t>AT&amp;T MOBILITY</t>
  </si>
  <si>
    <t>AT&amp;T MOBILITY-W&amp;M</t>
  </si>
  <si>
    <t>ATS IRRIGATION  INC.</t>
  </si>
  <si>
    <t>AUSTIN GASTROENTERLOGY</t>
  </si>
  <si>
    <t>AUSTIN KIDNEY ASSOCIATES  PA</t>
  </si>
  <si>
    <t>AUSTIN RADIOLOGICAL ASSOC</t>
  </si>
  <si>
    <t>AUTUMN J SMITH</t>
  </si>
  <si>
    <t>JIM ATTRA INC</t>
  </si>
  <si>
    <t>MICHAEL OLDHAM TIRE INC</t>
  </si>
  <si>
    <t>BASTROP COUNTY SHERIFF'S DEPT</t>
  </si>
  <si>
    <t>DANIEL L HEPKER</t>
  </si>
  <si>
    <t>BASTROP COUNTY CARES</t>
  </si>
  <si>
    <t>BASTROP COUNTY MEDICAL ASSOC PA</t>
  </si>
  <si>
    <t>BASTROP POLICE DEPT</t>
  </si>
  <si>
    <t>BASTROP PROVIDENCE  LLC</t>
  </si>
  <si>
    <t>BASTROP TREE SERVICE  INC</t>
  </si>
  <si>
    <t>BASTROP VETERINARY HOSPITAL  INC.</t>
  </si>
  <si>
    <t>BAYER CORPORATION</t>
  </si>
  <si>
    <t>DAVID H OUTON</t>
  </si>
  <si>
    <t>BEN E KEITH CO.</t>
  </si>
  <si>
    <t>MULTI SERVICE TECHNOLOGY SOLUTIONS  INC.</t>
  </si>
  <si>
    <t>B C FOOD GROUP  LLC</t>
  </si>
  <si>
    <t>BRIAN RUSEEL HARPER</t>
  </si>
  <si>
    <t>MAURINE MC LEAN</t>
  </si>
  <si>
    <t>BIMBO FOODS INC</t>
  </si>
  <si>
    <t>BLAS J. COY  JR.</t>
  </si>
  <si>
    <t>BLUEBONNET AREA CRIME STOPPERS PROGRAM</t>
  </si>
  <si>
    <t>BLUEBONNET ELECTRIC COOPERATIVE  INC.</t>
  </si>
  <si>
    <t>BLUEBONNET TRAILS MHMR</t>
  </si>
  <si>
    <t>BOB BARKER COMPANY  INC.</t>
  </si>
  <si>
    <t>BRAUNTEX MATERIALS INC</t>
  </si>
  <si>
    <t>LAW OFFICE OF BRYAN W. MCDANIEL  P.C.</t>
  </si>
  <si>
    <t>BRYAN REYES</t>
  </si>
  <si>
    <t>CAMERON SCHNEIDER</t>
  </si>
  <si>
    <t>CAPITOL BEARING SERVICE OF AUSTIN  INC.</t>
  </si>
  <si>
    <t>DAVID &amp; SUSAN MC ADAMS</t>
  </si>
  <si>
    <t>TIB-THE INDEPENDENT BANKERS BANK</t>
  </si>
  <si>
    <t>CAROLYN DILL</t>
  </si>
  <si>
    <t>LARRY D. LYNN</t>
  </si>
  <si>
    <t>CENTRAL TEXAS AUTOPSY</t>
  </si>
  <si>
    <t>CHARLES W CARVER</t>
  </si>
  <si>
    <t>CHARM-TEX</t>
  </si>
  <si>
    <t>CHESTNUT STREET BONDING COMPANY</t>
  </si>
  <si>
    <t>CHRIS MATT DILLON</t>
  </si>
  <si>
    <t>CHRISTINE P FILES</t>
  </si>
  <si>
    <t>CIMA SOFTWARE CORP</t>
  </si>
  <si>
    <t>CINTAS</t>
  </si>
  <si>
    <t>CINTAS CORPORATION</t>
  </si>
  <si>
    <t>CINTAS CORPORATION #86</t>
  </si>
  <si>
    <t>CITY OF BASTROP</t>
  </si>
  <si>
    <t>CITY OF CALDWELL</t>
  </si>
  <si>
    <t>CITY OF SMITHVILLE</t>
  </si>
  <si>
    <t>CLAY WANECK</t>
  </si>
  <si>
    <t>CLIFFORD POWER SYSTEMS INC</t>
  </si>
  <si>
    <t>CLINICAL PATHOLOGY LABORATORIES INC</t>
  </si>
  <si>
    <t>CMC GOVERNMENT SERVICES INC</t>
  </si>
  <si>
    <t>CMI  INC.</t>
  </si>
  <si>
    <t>JALAREM TRADING LLC</t>
  </si>
  <si>
    <t>GREENWICH INC</t>
  </si>
  <si>
    <t>COMMUNITY COFFEE COMPANY LLC</t>
  </si>
  <si>
    <t>COMMUNITY HEALTH CENTERS</t>
  </si>
  <si>
    <t>CONNIE SCHROEDER</t>
  </si>
  <si>
    <t>="13</t>
  </si>
  <si>
    <t>651  03/01/19"</t>
  </si>
  <si>
    <t>CONTECH ENGINEERED SOLUTIONS INC</t>
  </si>
  <si>
    <t>CONVERGENCE CABLING  INC.</t>
  </si>
  <si>
    <t>COUNTY OF BEXAR - SHERIFF</t>
  </si>
  <si>
    <t>FARBER INC</t>
  </si>
  <si>
    <t>CPI QUALIFIED PLAN CONSULTANTS  INC.</t>
  </si>
  <si>
    <t>CYDNEY CRIDER</t>
  </si>
  <si>
    <t>DALLAS COUNTY CONSTABLE PCT 1</t>
  </si>
  <si>
    <t>DAN HAYES</t>
  </si>
  <si>
    <t>DARRELL URBAN</t>
  </si>
  <si>
    <t>DAVE ERNST MUNDINE</t>
  </si>
  <si>
    <t>DAVID B BROOKS</t>
  </si>
  <si>
    <t>DAVID C. FOLKERS  M.D.</t>
  </si>
  <si>
    <t>DAVID GONZALEZ</t>
  </si>
  <si>
    <t>DAVID M COLLINS</t>
  </si>
  <si>
    <t>DAVIS &amp; STANTON  INC.</t>
  </si>
  <si>
    <t>DELL</t>
  </si>
  <si>
    <t>DENTRUST DENTAL TX PC</t>
  </si>
  <si>
    <t>DESARI BREARE</t>
  </si>
  <si>
    <t>DEPARTMENT OF INFORMATION RESOURCES</t>
  </si>
  <si>
    <t>DISCOUNT DOOR &amp; METAL  LLC</t>
  </si>
  <si>
    <t>THE REINALT - THOMAS CORPORATION</t>
  </si>
  <si>
    <t>DON YOUNG</t>
  </si>
  <si>
    <t>DOUBLE D INTERNATIONAL FOOD CO.  INC.</t>
  </si>
  <si>
    <t>DOUBLE TUFF TRUCK TARPS INC</t>
  </si>
  <si>
    <t>DUNNE &amp; JUAREZ L.L.C.</t>
  </si>
  <si>
    <t>ECOLAB INC</t>
  </si>
  <si>
    <t>KATHRYN A. PEACE</t>
  </si>
  <si>
    <t>ELECTION SYSTEMS &amp; SOFTWARE INC</t>
  </si>
  <si>
    <t>ELENA MIKUSHEVA</t>
  </si>
  <si>
    <t>BLACKLANDS PUBLICATIONS INC</t>
  </si>
  <si>
    <t>RALPH DAVID GLASS</t>
  </si>
  <si>
    <t>ELGIN POLICE DEPARTMENT</t>
  </si>
  <si>
    <t>ELGIN REINVESTMENT ZONE # 1</t>
  </si>
  <si>
    <t>CITY OF ELGIN UTILITIES</t>
  </si>
  <si>
    <t>ELLIOTT ELECTRIC SUPPLY INC</t>
  </si>
  <si>
    <t>ERGON ASPHALT &amp; EMULSIONS INC</t>
  </si>
  <si>
    <t>ERIN NICKEL</t>
  </si>
  <si>
    <t>EUGENE C BLOMSTROM</t>
  </si>
  <si>
    <t>EWEAC</t>
  </si>
  <si>
    <t>EWING IRRIGATION PRODUCTS  INC.</t>
  </si>
  <si>
    <t>BASTROP COUNTY WOMEN'S SHELTER</t>
  </si>
  <si>
    <t>FAMILY HEALTH CENTER OF BASTROP PLLC</t>
  </si>
  <si>
    <t>FAYETTE MEDICAL SUPPLY</t>
  </si>
  <si>
    <t>FEDERAL EXPRESS</t>
  </si>
  <si>
    <t>FERGUSON ENTERPRISES  INC.</t>
  </si>
  <si>
    <t>FIRST NATIONAL BANK BASTROP</t>
  </si>
  <si>
    <t>="14</t>
  </si>
  <si>
    <t>861  03/01/19"</t>
  </si>
  <si>
    <t>FLEETPRIDE</t>
  </si>
  <si>
    <t>FOREMOST COUNTY MUTUAL INS CO</t>
  </si>
  <si>
    <t>347  03/01/19"</t>
  </si>
  <si>
    <t>FORREST L. SANDERSON</t>
  </si>
  <si>
    <t>FRANCES HUNTER</t>
  </si>
  <si>
    <t>AUSTIN TRUCK AND EQUIPMENT  LTD</t>
  </si>
  <si>
    <t>EUGENE W BRIGGS JR</t>
  </si>
  <si>
    <t>GARLAND T MURLEY</t>
  </si>
  <si>
    <t>GARLAND/DBS  INC.</t>
  </si>
  <si>
    <t>GIPSON PENDERGRASS PEOPLE'S MORTUARY LLC</t>
  </si>
  <si>
    <t>GRETCHEN SIMS SWEEN</t>
  </si>
  <si>
    <t>GABRIEL  ROEDER  SMITH &amp; COMPANY</t>
  </si>
  <si>
    <t>GT DISTRIBUTORS  INC.</t>
  </si>
  <si>
    <t>GULF COAST PAPER CO. INC.</t>
  </si>
  <si>
    <t>HALFF ASSOCIATES</t>
  </si>
  <si>
    <t>HAMILTON ELECTRIC WORKS  INC.</t>
  </si>
  <si>
    <t>HARRIS COUNTY CONSTABLE PCT 1</t>
  </si>
  <si>
    <t>HCI</t>
  </si>
  <si>
    <t>ITR AMERICA LLC</t>
  </si>
  <si>
    <t>BUTLER ANIMAL HEALTH</t>
  </si>
  <si>
    <t>HERBERT J BARTSCH JR</t>
  </si>
  <si>
    <t>HERSHCAP BACKHOE &amp; DITCHING  INC.</t>
  </si>
  <si>
    <t>="10</t>
  </si>
  <si>
    <t>658  03/07/19"</t>
  </si>
  <si>
    <t>BASCOM L HODGES JR</t>
  </si>
  <si>
    <t>HODGSON G ECKEL</t>
  </si>
  <si>
    <t>HOLLY TUCKER</t>
  </si>
  <si>
    <t>BD HOLT CO</t>
  </si>
  <si>
    <t>CITIBANK (SOUTH DAKOTA)N.A./THE HOME DEPOT</t>
  </si>
  <si>
    <t>HOSPITAL INTERNISTS OF TEXAS</t>
  </si>
  <si>
    <t>GREGORY LUCAS</t>
  </si>
  <si>
    <t>HOWARD BURNS</t>
  </si>
  <si>
    <t>HUDSON ENERGY CORP</t>
  </si>
  <si>
    <t>HYDRAULIC HOUSE INC</t>
  </si>
  <si>
    <t>INDIGENT HEALTHCARE SOLUTIONS</t>
  </si>
  <si>
    <t>INTAB  LLC</t>
  </si>
  <si>
    <t>IPC HEALTHCARE SERVICES OF TEXAS</t>
  </si>
  <si>
    <t>IRON MOUNTAIN RECORDS MGMT INC</t>
  </si>
  <si>
    <t>J. EDINGER &amp; SON  INC.</t>
  </si>
  <si>
    <t>J. RICHARD DAVIS</t>
  </si>
  <si>
    <t>JACK WILSON</t>
  </si>
  <si>
    <t>JAIME SANTANA</t>
  </si>
  <si>
    <t>JAMES E. GARON &amp; ASSOC.</t>
  </si>
  <si>
    <t>JAMES O. BURKE</t>
  </si>
  <si>
    <t>JAN LANGER  DVM</t>
  </si>
  <si>
    <t>JANET L. LYNN</t>
  </si>
  <si>
    <t>JENKINS &amp; JENKINS LLP</t>
  </si>
  <si>
    <t>JOHN DEERE FINANCIAL f.s.b.</t>
  </si>
  <si>
    <t>JOHN LEVERMAN</t>
  </si>
  <si>
    <t>JOHNNA GRIFFITH</t>
  </si>
  <si>
    <t>JOHNNIE SCHROEDER  JR.</t>
  </si>
  <si>
    <t>JUSTIN MATTHEW FOHN</t>
  </si>
  <si>
    <t>KAREN STARKS</t>
  </si>
  <si>
    <t>="8</t>
  </si>
  <si>
    <t>898  03/01/19"</t>
  </si>
  <si>
    <t>KATY NYC-LYYTINEN</t>
  </si>
  <si>
    <t>KAUFFMAN COMPANY</t>
  </si>
  <si>
    <t>KAYCI SCHULTZ WATSON</t>
  </si>
  <si>
    <t>KENNETH LIMUEL</t>
  </si>
  <si>
    <t>KENT BROUSSARD TOWER RENTAL INC</t>
  </si>
  <si>
    <t>KOETTER FIRE PROTECTION OF AUSTIN  LLC</t>
  </si>
  <si>
    <t>THE LA GRANGE PARTS HOUSE INC</t>
  </si>
  <si>
    <t>LABATT INSTITUTIONAL SUPPLY CO</t>
  </si>
  <si>
    <t>LASHLEY SOUTH TEXAS  LLC</t>
  </si>
  <si>
    <t>LAURA ROBERTSON</t>
  </si>
  <si>
    <t>LAUREN CONCRETE  INC</t>
  </si>
  <si>
    <t>LBJ SCHOOL OF PUBLIC AFFAIRS</t>
  </si>
  <si>
    <t>LEE COUNTY WATER SUPPLY CORP</t>
  </si>
  <si>
    <t>LEXISNEXIS RISK DATA MGMT INC</t>
  </si>
  <si>
    <t>LIBERTY TIRE RECYCLING</t>
  </si>
  <si>
    <t>LINDA HARMON-TAX ASSESSOR</t>
  </si>
  <si>
    <t>LINDSEY SIMMONS</t>
  </si>
  <si>
    <t>LONE STAR CIRCLE OF CARE</t>
  </si>
  <si>
    <t>UNITED KWB COLLABORATIONS LLC</t>
  </si>
  <si>
    <t>LONGHORN EMERGENCY MEDICAL ASSOC PA</t>
  </si>
  <si>
    <t>LONGHORN MOBILE GLASS SERVICE INC</t>
  </si>
  <si>
    <t>LONNIE LAWRENCE DAVIS JR</t>
  </si>
  <si>
    <t>LOWE'S</t>
  </si>
  <si>
    <t>LUSTRE-CAL CORP</t>
  </si>
  <si>
    <t>LYN TURNER</t>
  </si>
  <si>
    <t>MARIA ANFOSSO</t>
  </si>
  <si>
    <t>MARIO GINTELLA</t>
  </si>
  <si>
    <t>MARK DALTON</t>
  </si>
  <si>
    <t>MARK GARCIA</t>
  </si>
  <si>
    <t>MARK T. MALONE  M.D. P.A</t>
  </si>
  <si>
    <t>JOHN W GASPARINI INC</t>
  </si>
  <si>
    <t>MARY BETH SCOTT</t>
  </si>
  <si>
    <t>MATHESON TRI-GAS INC</t>
  </si>
  <si>
    <t>MAURICE C. COOK</t>
  </si>
  <si>
    <t>McCOY'S BUILDING SUPPLY CENTER</t>
  </si>
  <si>
    <t>McCREARY  VESELKA  BRAGG &amp; ALLEN P</t>
  </si>
  <si>
    <t>McKESSON MEDICAL-SURGIVAL GOVERNMENT SOLUTIONS LLC</t>
  </si>
  <si>
    <t>MEDIMPACT HEALTHCARE SYSTEMS INC</t>
  </si>
  <si>
    <t>MEGAN FAITH ANDERSON</t>
  </si>
  <si>
    <t>MIDTEX MATERIALS</t>
  </si>
  <si>
    <t>ADREA LETRICE BRIDGEMAN</t>
  </si>
  <si>
    <t>JOSEPH EDWARD GRUNINGER</t>
  </si>
  <si>
    <t>JEFFREY RUSSELL KRITZ</t>
  </si>
  <si>
    <t>MICHELLE LYNN HARRIS</t>
  </si>
  <si>
    <t>MELANIE MARLENE EASLEY</t>
  </si>
  <si>
    <t>JOHN MICHAEL COON</t>
  </si>
  <si>
    <t>ELIZABETH RICHVOLDSEN</t>
  </si>
  <si>
    <t>DAVID EARL MCMULLEN</t>
  </si>
  <si>
    <t>ARRION SAVINO ESPINOZA</t>
  </si>
  <si>
    <t>DIXIE ANN KING</t>
  </si>
  <si>
    <t>ROBYNE M TAYLOR</t>
  </si>
  <si>
    <t>MOISES OR CAROLINE GUERRERO</t>
  </si>
  <si>
    <t>="12</t>
  </si>
  <si>
    <t>851  03/12/19"</t>
  </si>
  <si>
    <t>MONARCH DISPOSAL  LLC</t>
  </si>
  <si>
    <t>MONTGOMERY COUNTY CONSTABLE PCT 5</t>
  </si>
  <si>
    <t>HAJOCA CORPORATION</t>
  </si>
  <si>
    <t>MOTOROLA INC</t>
  </si>
  <si>
    <t>NALLEY HVAC MECHANICAL LLC</t>
  </si>
  <si>
    <t>NATIONAL FOOD GROUP INC</t>
  </si>
  <si>
    <t>O'REILLY AUTOMOTIVE  INC.</t>
  </si>
  <si>
    <t>SOUTHERN FOODS GROUP LP</t>
  </si>
  <si>
    <t>OFFICE DEPOT</t>
  </si>
  <si>
    <t>OMNIBASE SERVICES OF TEXAS LP</t>
  </si>
  <si>
    <t>ON SITE SERVICES</t>
  </si>
  <si>
    <t>ROGER C. OSBORN</t>
  </si>
  <si>
    <t>OPERATIONAL SUPPORT SERVICES INC</t>
  </si>
  <si>
    <t>PAIGE TRACTORS INC</t>
  </si>
  <si>
    <t>SL PARKER PARTNERSHIP LLC</t>
  </si>
  <si>
    <t>PATRICK ELECTRIC SERVICE</t>
  </si>
  <si>
    <t>PATRICK TYDLACKA</t>
  </si>
  <si>
    <t>PATTERSON  VETERINARY SUPPLY INC</t>
  </si>
  <si>
    <t>PATTILLO  BROWN &amp; HILL   LLP</t>
  </si>
  <si>
    <t>PAULA BIRRAN</t>
  </si>
  <si>
    <t>PHILIP R DUCLOUX</t>
  </si>
  <si>
    <t>PHILLIP N. SLAUGHTER</t>
  </si>
  <si>
    <t>CLYDE HAYWOOD SR</t>
  </si>
  <si>
    <t>PITNEY BOWES GLOBAL FINANCIAL SERVICES</t>
  </si>
  <si>
    <t>PM WILSON &amp; ASSOCIATES PLLC</t>
  </si>
  <si>
    <t>POST OAK HARDWARE  INC.</t>
  </si>
  <si>
    <t>POSTMASTER</t>
  </si>
  <si>
    <t>ELGIN PROVIDENCE LLC</t>
  </si>
  <si>
    <t>PTS OF AMERICA  LLC</t>
  </si>
  <si>
    <t>FREEDMAN TRUCK SERVICE INC</t>
  </si>
  <si>
    <t>RACHEL A BAUER</t>
  </si>
  <si>
    <t>NESTLE WATERS N AMERICA INC</t>
  </si>
  <si>
    <t>RED WING BUSINESS ADVANTAGE ACCOUNT</t>
  </si>
  <si>
    <t>PAULINE SPURLOCK</t>
  </si>
  <si>
    <t>RESERVE ACCOUNT</t>
  </si>
  <si>
    <t>REYNOLDS &amp; KEINARTH</t>
  </si>
  <si>
    <t>RICHARD ALLAN DICKMAN JR</t>
  </si>
  <si>
    <t>CIT TECHNOLOGY FINANCE</t>
  </si>
  <si>
    <t>RUNKLE ENTERPRISES</t>
  </si>
  <si>
    <t>ROADRUNNER RADIOLOGY EQUIP LLC</t>
  </si>
  <si>
    <t>ROBERT E CANTU M.D. P.A.</t>
  </si>
  <si>
    <t>ROBERT MADDEN INDUSTRIES LTD</t>
  </si>
  <si>
    <t>RONALD BEHRENS</t>
  </si>
  <si>
    <t>ROSARIO E FIGUEROA</t>
  </si>
  <si>
    <t>ROSE PIETSCH COUNTY CLERK</t>
  </si>
  <si>
    <t>RUBEN LOPEZ</t>
  </si>
  <si>
    <t>RUSH AUTOMOTIVE LLC</t>
  </si>
  <si>
    <t>RUTH A. CARROLL</t>
  </si>
  <si>
    <t>SAMES BASTROP FORD INC</t>
  </si>
  <si>
    <t>SAMMY LERMA III MD</t>
  </si>
  <si>
    <t>SETON HEALTHCARE SPONSORED PROJECTS</t>
  </si>
  <si>
    <t>SHARON HANCOCK</t>
  </si>
  <si>
    <t>962  03/14/19"</t>
  </si>
  <si>
    <t>FERRELLGAS  LP</t>
  </si>
  <si>
    <t>SHELBY HOFFEREK</t>
  </si>
  <si>
    <t>SHERWIN WILLIAMS CO</t>
  </si>
  <si>
    <t>SHI GOVERNMENT SOLUTIONS INC.</t>
  </si>
  <si>
    <t>SHOPPA'S FARM SUPPLY</t>
  </si>
  <si>
    <t>SHRED-IT US HOLDCO  INC</t>
  </si>
  <si>
    <t>SILSBEE FORD</t>
  </si>
  <si>
    <t>SMITH STORES  INC.</t>
  </si>
  <si>
    <t>SMITHVILLE AUTO PARTS  INC</t>
  </si>
  <si>
    <t>SMITHVILLE POLICE DEPT.</t>
  </si>
  <si>
    <t>DS WATERS OF AMERICA INC</t>
  </si>
  <si>
    <t>SPARKLETTS &amp; SIERRA SPRINGS</t>
  </si>
  <si>
    <t>SPECIALTY VETERINARY PHARMACY INC</t>
  </si>
  <si>
    <t>SPRINT</t>
  </si>
  <si>
    <t>SRIDHAR P REDDY MD PA</t>
  </si>
  <si>
    <t>ST. DAVIDS HEART &amp; VASCULAR  PLLC</t>
  </si>
  <si>
    <t>ST.DAVID'S HEALTHCARE PARTNERSHIP</t>
  </si>
  <si>
    <t>STAPLES ADVANTAGE</t>
  </si>
  <si>
    <t>STEFANIE LEE</t>
  </si>
  <si>
    <t>STEPHEN R BECK</t>
  </si>
  <si>
    <t>STERICYCLE  INC.</t>
  </si>
  <si>
    <t>STEVE GRANADO</t>
  </si>
  <si>
    <t>STEVEN A LOGSDON</t>
  </si>
  <si>
    <t>STEVEN A LONG</t>
  </si>
  <si>
    <t>MATTHEW LEE SULLINS</t>
  </si>
  <si>
    <t>SUN COAST RESOURCES</t>
  </si>
  <si>
    <t>SXSW LLC</t>
  </si>
  <si>
    <t>TEXAS ASSOCIATION OF COUNTIES HEBP</t>
  </si>
  <si>
    <t>TAIT CARTER</t>
  </si>
  <si>
    <t>TAVCO SERVICES INC</t>
  </si>
  <si>
    <t>TX COMM ON LAW ENFORCEMENT</t>
  </si>
  <si>
    <t>TEXAS A&amp;M ENGINEERING EXTENSION SERVICE</t>
  </si>
  <si>
    <t>TEJAS ELEVATOR COMPANY</t>
  </si>
  <si>
    <t>TERRILL L FLENNIKEN</t>
  </si>
  <si>
    <t>AIR RELIEF TECHNOLOGIES  INC</t>
  </si>
  <si>
    <t>JOHN J FIETSAM INC</t>
  </si>
  <si>
    <t>TEX-CON OIL CO</t>
  </si>
  <si>
    <t>TEXAS AGGREGATES  LLC</t>
  </si>
  <si>
    <t>TEXAS ASSOCIATES INSURORS AGENCY</t>
  </si>
  <si>
    <t>TEXAS ASSOCIATION OF COUNTIES</t>
  </si>
  <si>
    <t>CONSELMAN RETAIL ENTERPRISES LLC</t>
  </si>
  <si>
    <t>TEXAS CORRECTIONAL INDUSTRIES</t>
  </si>
  <si>
    <t>TEXAS DECON LLC</t>
  </si>
  <si>
    <t>TEXAS DEPT OF PUBLIC SAFETY</t>
  </si>
  <si>
    <t>907"</t>
  </si>
  <si>
    <t>TXFACT  LLC</t>
  </si>
  <si>
    <t>TEXAS MATERIALS GROUP  INC.</t>
  </si>
  <si>
    <t>JEFFREY TOUSSAINT</t>
  </si>
  <si>
    <t>BUG MASTER EXTERMINATING SERVICES  LTD</t>
  </si>
  <si>
    <t>JAMES ANDREW CASEY</t>
  </si>
  <si>
    <t>SANDRA FAYE ROBINSON</t>
  </si>
  <si>
    <t>RICHARD NELSON MOORE</t>
  </si>
  <si>
    <t>THE TRAVELERS INDEMNITY COMPANY</t>
  </si>
  <si>
    <t>THERESA GONZALES</t>
  </si>
  <si>
    <t>WEST PUBLISHING CORPORATION</t>
  </si>
  <si>
    <t>TIM MAHONEY  ATTORNEY AT LAW  PC</t>
  </si>
  <si>
    <t>TWE-ADVANCE/NEWHOUSE PARTNERSHIP</t>
  </si>
  <si>
    <t>TINNER STEPHENS</t>
  </si>
  <si>
    <t>TELVA D KESLER</t>
  </si>
  <si>
    <t>TEXAS LAW ENFORCEMENT EXPLORER ADVISOR ASSOC</t>
  </si>
  <si>
    <t>SHEILA ANNE SCARBOROUGH</t>
  </si>
  <si>
    <t>TRACTOR SUPPLY CREDIT PLAN</t>
  </si>
  <si>
    <t>TRAVIS COUNTY CONSTABLE PCT 5</t>
  </si>
  <si>
    <t>TRAVIS COUNTY MEDICAL EXAMINER</t>
  </si>
  <si>
    <t>KAUFFMAN TIRE</t>
  </si>
  <si>
    <t>SETON FAMILY OF DOCTORS</t>
  </si>
  <si>
    <t>TULL FARLEY</t>
  </si>
  <si>
    <t>TX COMMISSION ON ENVIRONMENTAL QUALITY</t>
  </si>
  <si>
    <t>TYLER TECHNOLOGIES INC</t>
  </si>
  <si>
    <t>COUFAL-PRATER EQUIPMENT  LLC</t>
  </si>
  <si>
    <t>SETON FAMILY OF HOSPITALS</t>
  </si>
  <si>
    <t>UNITED PARCEL SERVICE</t>
  </si>
  <si>
    <t>UROLOGY AUSTIN PLLC</t>
  </si>
  <si>
    <t>VINCENT J. UHDE</t>
  </si>
  <si>
    <t>TEXAS DEPARTMENT OF STATE HEALTH SERVICES</t>
  </si>
  <si>
    <t>US BANK NA</t>
  </si>
  <si>
    <t>VULCAN  INC.</t>
  </si>
  <si>
    <t>WAGEWORKS INC  FSA/HSA</t>
  </si>
  <si>
    <t>WALLER COUNTY ASPHALT INC</t>
  </si>
  <si>
    <t>WALMART COMMUNITY BRC</t>
  </si>
  <si>
    <t>WASHING EQUIPMENT OF TEXAS</t>
  </si>
  <si>
    <t>WASTE CONNECTIONS LONE STAR. INC.</t>
  </si>
  <si>
    <t>WASTE MANAGEMENT OF TEXAS INC</t>
  </si>
  <si>
    <t>COBRA EQUIPMENT RENTALS</t>
  </si>
  <si>
    <t>WHITE CHURCH EVENTS  INC</t>
  </si>
  <si>
    <t>WHITNEY STEPHENS</t>
  </si>
  <si>
    <t>XEROX CORPORATION</t>
  </si>
  <si>
    <t>BASTROP INDEPENDENT SCHOOL DISTRICT</t>
  </si>
  <si>
    <t>ELBERT ESQUIVEL</t>
  </si>
  <si>
    <t>KIRKSEY ARCHITECTS  INC.</t>
  </si>
  <si>
    <t>LANGFORD COMMUNITY MGMT INC</t>
  </si>
  <si>
    <t>MUSTANG MACHINERY COMPANY LTD</t>
  </si>
  <si>
    <t>PARK CONTRACTORS  INC</t>
  </si>
  <si>
    <t>EDWARD G HALL II</t>
  </si>
  <si>
    <t>RUSS BASSETT CORPORATION</t>
  </si>
  <si>
    <t>SPEED FAB-CRETE CORPORATION</t>
  </si>
  <si>
    <t>TEXAS CORRECTIONAL FACILITY</t>
  </si>
  <si>
    <t>TRAILERS AND MORE  LLC</t>
  </si>
  <si>
    <t>ALLSTATE-AMERICAN HERITAGE LIFE INS CO</t>
  </si>
  <si>
    <t>AmWINS Group Benefits  Inc.</t>
  </si>
  <si>
    <t>BASTROP COUNTY ADULT PROBATION</t>
  </si>
  <si>
    <t>COLONIAL LIFE &amp; ACCIDENT INS. CO.</t>
  </si>
  <si>
    <t>DEBORAH B LANGEHENNIG</t>
  </si>
  <si>
    <t>GUARDIAN</t>
  </si>
  <si>
    <t>IRS-PAYROLL TAXES</t>
  </si>
  <si>
    <t>MICHIGAN STATE DISBURSEMENT UNIT(MiSDU)</t>
  </si>
  <si>
    <t>GERALD FLORES OLIVO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</si>
  <si>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</si>
  <si>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</si>
  <si>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</si>
  <si>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</si>
  <si>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</si>
  <si>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U.S. DEPT OF EDUCATION AWG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</si>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</sst>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49"/>
  <sheetViews>
    <sheetView tabSelected="1" topLeftCell="A2637" workbookViewId="0">
      <selection activeCell="C2650" sqref="C2650"/>
    </sheetView>
  </sheetViews>
  <sheetFormatPr defaultRowHeight="15" x14ac:dyDescent="0.25"/>
  <cols>
    <col min="1" max="1" width="56.7109375" bestFit="1" customWidth="1"/>
    <col min="2" max="2" width="7.7109375" style="3" bestFit="1" customWidth="1"/>
    <col min="3" max="3" width="14" style="2" bestFit="1" customWidth="1"/>
    <col min="4" max="4" width="10.85546875" bestFit="1" customWidth="1"/>
    <col min="5" max="5" width="19.42578125" bestFit="1" customWidth="1"/>
    <col min="6" max="6" width="36.140625" bestFit="1" customWidth="1"/>
    <col min="7" max="7" width="33.5703125" style="2" bestFit="1" customWidth="1"/>
    <col min="8" max="8" width="36.140625" bestFit="1" customWidth="1"/>
  </cols>
  <sheetData>
    <row r="1" spans="1:8" x14ac:dyDescent="0.25">
      <c r="A1" t="s">
        <v>0</v>
      </c>
      <c r="B1" s="3" t="s">
        <v>1</v>
      </c>
      <c r="C1" s="2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7</v>
      </c>
    </row>
    <row r="2" spans="1:8" x14ac:dyDescent="0.25">
      <c r="A2" t="s">
        <v>8</v>
      </c>
      <c r="B2" s="3">
        <v>710</v>
      </c>
      <c r="C2" s="2">
        <v>430</v>
      </c>
      <c r="D2" s="1">
        <v>43578</v>
      </c>
      <c r="E2" t="str">
        <f>"100"</f>
        <v>100</v>
      </c>
      <c r="F2" t="str">
        <f>"Inv# 100"</f>
        <v>Inv# 100</v>
      </c>
      <c r="G2" s="2">
        <v>430</v>
      </c>
      <c r="H2" t="str">
        <f>"Inv# 100"</f>
        <v>Inv# 100</v>
      </c>
    </row>
    <row r="3" spans="1:8" x14ac:dyDescent="0.25">
      <c r="A3" t="s">
        <v>9</v>
      </c>
      <c r="B3" s="3">
        <v>81648</v>
      </c>
      <c r="C3" s="2">
        <v>22686.86</v>
      </c>
      <c r="D3" s="1">
        <v>43563</v>
      </c>
      <c r="E3" t="str">
        <f>"9725-001-106441"</f>
        <v>9725-001-106441</v>
      </c>
      <c r="F3" t="str">
        <f t="shared" ref="F3:F10" si="0">"ACCT#9725-001/REC BASE/PCT#2"</f>
        <v>ACCT#9725-001/REC BASE/PCT#2</v>
      </c>
      <c r="G3" s="2">
        <v>1043.8900000000001</v>
      </c>
      <c r="H3" t="str">
        <f t="shared" ref="H3:H10" si="1">"ACCT#9725-001/REC BASE/PCT#2"</f>
        <v>ACCT#9725-001/REC BASE/PCT#2</v>
      </c>
    </row>
    <row r="4" spans="1:8" x14ac:dyDescent="0.25">
      <c r="E4" t="str">
        <f>"9725-001-106891"</f>
        <v>9725-001-106891</v>
      </c>
      <c r="F4" t="str">
        <f t="shared" si="0"/>
        <v>ACCT#9725-001/REC BASE/PCT#2</v>
      </c>
      <c r="G4" s="2">
        <v>3706.28</v>
      </c>
      <c r="H4" t="str">
        <f t="shared" si="1"/>
        <v>ACCT#9725-001/REC BASE/PCT#2</v>
      </c>
    </row>
    <row r="5" spans="1:8" x14ac:dyDescent="0.25">
      <c r="E5" t="str">
        <f>"9725-001-106926"</f>
        <v>9725-001-106926</v>
      </c>
      <c r="F5" t="str">
        <f t="shared" si="0"/>
        <v>ACCT#9725-001/REC BASE/PCT#2</v>
      </c>
      <c r="G5" s="2">
        <v>2060.2800000000002</v>
      </c>
      <c r="H5" t="str">
        <f t="shared" si="1"/>
        <v>ACCT#9725-001/REC BASE/PCT#2</v>
      </c>
    </row>
    <row r="6" spans="1:8" x14ac:dyDescent="0.25">
      <c r="E6" t="str">
        <f>"9725-001-106960"</f>
        <v>9725-001-106960</v>
      </c>
      <c r="F6" t="str">
        <f t="shared" si="0"/>
        <v>ACCT#9725-001/REC BASE/PCT#2</v>
      </c>
      <c r="G6" s="2">
        <v>2050.31</v>
      </c>
      <c r="H6" t="str">
        <f t="shared" si="1"/>
        <v>ACCT#9725-001/REC BASE/PCT#2</v>
      </c>
    </row>
    <row r="7" spans="1:8" x14ac:dyDescent="0.25">
      <c r="E7" t="str">
        <f>"9725-001-106993"</f>
        <v>9725-001-106993</v>
      </c>
      <c r="F7" t="str">
        <f t="shared" si="0"/>
        <v>ACCT#9725-001/REC BASE/PCT#2</v>
      </c>
      <c r="G7" s="2">
        <v>4142.55</v>
      </c>
      <c r="H7" t="str">
        <f t="shared" si="1"/>
        <v>ACCT#9725-001/REC BASE/PCT#2</v>
      </c>
    </row>
    <row r="8" spans="1:8" x14ac:dyDescent="0.25">
      <c r="E8" t="str">
        <f>"9725-001-107027"</f>
        <v>9725-001-107027</v>
      </c>
      <c r="F8" t="str">
        <f t="shared" si="0"/>
        <v>ACCT#9725-001/REC BASE/PCT#2</v>
      </c>
      <c r="G8" s="2">
        <v>186.46</v>
      </c>
      <c r="H8" t="str">
        <f t="shared" si="1"/>
        <v>ACCT#9725-001/REC BASE/PCT#2</v>
      </c>
    </row>
    <row r="9" spans="1:8" x14ac:dyDescent="0.25">
      <c r="E9" t="str">
        <f>"9725-001-107059"</f>
        <v>9725-001-107059</v>
      </c>
      <c r="F9" t="str">
        <f t="shared" si="0"/>
        <v>ACCT#9725-001/REC BASE/PCT#2</v>
      </c>
      <c r="G9" s="2">
        <v>3659.73</v>
      </c>
      <c r="H9" t="str">
        <f t="shared" si="1"/>
        <v>ACCT#9725-001/REC BASE/PCT#2</v>
      </c>
    </row>
    <row r="10" spans="1:8" x14ac:dyDescent="0.25">
      <c r="E10" t="str">
        <f>"9725-001-107098"</f>
        <v>9725-001-107098</v>
      </c>
      <c r="F10" t="str">
        <f t="shared" si="0"/>
        <v>ACCT#9725-001/REC BASE/PCT#2</v>
      </c>
      <c r="G10" s="2">
        <v>204.49</v>
      </c>
      <c r="H10" t="str">
        <f t="shared" si="1"/>
        <v>ACCT#9725-001/REC BASE/PCT#2</v>
      </c>
    </row>
    <row r="11" spans="1:8" x14ac:dyDescent="0.25">
      <c r="E11" t="str">
        <f>"9725-004-106907"</f>
        <v>9725-004-106907</v>
      </c>
      <c r="F11" t="str">
        <f>"ACCT#9725-004/REC BASE/PCT#4"</f>
        <v>ACCT#9725-004/REC BASE/PCT#4</v>
      </c>
      <c r="G11" s="2">
        <v>704.22</v>
      </c>
      <c r="H11" t="str">
        <f>"ACCT#9725-004/REC BASE/PCT#4"</f>
        <v>ACCT#9725-004/REC BASE/PCT#4</v>
      </c>
    </row>
    <row r="12" spans="1:8" x14ac:dyDescent="0.25">
      <c r="E12" t="str">
        <f>"9725-004-106939"</f>
        <v>9725-004-106939</v>
      </c>
      <c r="F12" t="str">
        <f>"ACCT#9725-004/REC BASE/PCT#4"</f>
        <v>ACCT#9725-004/REC BASE/PCT#4</v>
      </c>
      <c r="G12" s="2">
        <v>859.61</v>
      </c>
      <c r="H12" t="str">
        <f>"ACCT#9725-004/REC BASE/PCT#4"</f>
        <v>ACCT#9725-004/REC BASE/PCT#4</v>
      </c>
    </row>
    <row r="13" spans="1:8" x14ac:dyDescent="0.25">
      <c r="E13" t="str">
        <f>"9725-004-106973"</f>
        <v>9725-004-106973</v>
      </c>
      <c r="F13" t="str">
        <f>"ACCT#9725-004/REC BASE/PCT#4"</f>
        <v>ACCT#9725-004/REC BASE/PCT#4</v>
      </c>
      <c r="G13" s="2">
        <v>780.95</v>
      </c>
      <c r="H13" t="str">
        <f>"ACCT#9725-004/REC BASE/PCT#4"</f>
        <v>ACCT#9725-004/REC BASE/PCT#4</v>
      </c>
    </row>
    <row r="14" spans="1:8" x14ac:dyDescent="0.25">
      <c r="E14" t="str">
        <f>"9725-004-107004"</f>
        <v>9725-004-107004</v>
      </c>
      <c r="F14" t="str">
        <f>"ACCT#9725-004/REC BASE/PCT#4"</f>
        <v>ACCT#9725-004/REC BASE/PCT#4</v>
      </c>
      <c r="G14" s="2">
        <v>555.63</v>
      </c>
      <c r="H14" t="str">
        <f>"ACCT#9725-004/REC BASE/PCT#4"</f>
        <v>ACCT#9725-004/REC BASE/PCT#4</v>
      </c>
    </row>
    <row r="15" spans="1:8" x14ac:dyDescent="0.25">
      <c r="E15" t="str">
        <f>"9725-007-106909"</f>
        <v>9725-007-106909</v>
      </c>
      <c r="F15" t="str">
        <f>"ACCT#9725-007/REC BASE/PCT#4"</f>
        <v>ACCT#9725-007/REC BASE/PCT#4</v>
      </c>
      <c r="G15" s="2">
        <v>422.02</v>
      </c>
      <c r="H15" t="str">
        <f>"ACCT#9725-007/REC BASE/PCT#4"</f>
        <v>ACCT#9725-007/REC BASE/PCT#4</v>
      </c>
    </row>
    <row r="16" spans="1:8" x14ac:dyDescent="0.25">
      <c r="E16" t="str">
        <f>"9725-007-106941"</f>
        <v>9725-007-106941</v>
      </c>
      <c r="F16" t="str">
        <f>"ACCT#9725-007/REC BASE/PCT#4"</f>
        <v>ACCT#9725-007/REC BASE/PCT#4</v>
      </c>
      <c r="G16" s="2">
        <v>580.74</v>
      </c>
      <c r="H16" t="str">
        <f>"ACCT#9725-007/REC BASE/PCT#4"</f>
        <v>ACCT#9725-007/REC BASE/PCT#4</v>
      </c>
    </row>
    <row r="17" spans="1:8" x14ac:dyDescent="0.25">
      <c r="E17" t="str">
        <f>"9725-007-106975"</f>
        <v>9725-007-106975</v>
      </c>
      <c r="F17" t="str">
        <f>"ACCT#9725-007/REC BASE/PCT#4"</f>
        <v>ACCT#9725-007/REC BASE/PCT#4</v>
      </c>
      <c r="G17" s="2">
        <v>713.75</v>
      </c>
      <c r="H17" t="str">
        <f>"ACCT#9725-007/REC BASE/PCT#4"</f>
        <v>ACCT#9725-007/REC BASE/PCT#4</v>
      </c>
    </row>
    <row r="18" spans="1:8" x14ac:dyDescent="0.25">
      <c r="E18" t="str">
        <f>"9725-007-107006"</f>
        <v>9725-007-107006</v>
      </c>
      <c r="F18" t="str">
        <f>"ACCT#9725-007/REC BASE/PCT#4"</f>
        <v>ACCT#9725-007/REC BASE/PCT#4</v>
      </c>
      <c r="G18" s="2">
        <v>443.97</v>
      </c>
      <c r="H18" t="str">
        <f>"ACCT#9725-007/REC BASE/PCT#4"</f>
        <v>ACCT#9725-007/REC BASE/PCT#4</v>
      </c>
    </row>
    <row r="19" spans="1:8" x14ac:dyDescent="0.25">
      <c r="E19" t="str">
        <f>"9725-007-107040"</f>
        <v>9725-007-107040</v>
      </c>
      <c r="F19" t="str">
        <f>"ACCT#9725-007/REC BASE/PCT#4"</f>
        <v>ACCT#9725-007/REC BASE/PCT#4</v>
      </c>
      <c r="G19" s="2">
        <v>571.98</v>
      </c>
      <c r="H19" t="str">
        <f>"ACCT#9725-007/REC BASE/PCT#4"</f>
        <v>ACCT#9725-007/REC BASE/PCT#4</v>
      </c>
    </row>
    <row r="20" spans="1:8" x14ac:dyDescent="0.25">
      <c r="A20" t="s">
        <v>9</v>
      </c>
      <c r="B20" s="3">
        <v>81833</v>
      </c>
      <c r="C20" s="2">
        <v>3930.72</v>
      </c>
      <c r="D20" s="1">
        <v>43577</v>
      </c>
      <c r="E20" t="str">
        <f>"9725-001-107274"</f>
        <v>9725-001-107274</v>
      </c>
      <c r="F20" t="str">
        <f>"ACCT#9725-001/REC BASE/PCT#2"</f>
        <v>ACCT#9725-001/REC BASE/PCT#2</v>
      </c>
      <c r="G20" s="2">
        <v>242.82</v>
      </c>
      <c r="H20" t="str">
        <f>"ACCT#9725-001/REC BASE/PCT#2"</f>
        <v>ACCT#9725-001/REC BASE/PCT#2</v>
      </c>
    </row>
    <row r="21" spans="1:8" x14ac:dyDescent="0.25">
      <c r="E21" t="str">
        <f>"9725-001-107308"</f>
        <v>9725-001-107308</v>
      </c>
      <c r="F21" t="str">
        <f>"ACCT#9725-001/REC BASE/PCT#2"</f>
        <v>ACCT#9725-001/REC BASE/PCT#2</v>
      </c>
      <c r="G21" s="2">
        <v>226.19</v>
      </c>
      <c r="H21" t="str">
        <f>"ACCT#9725-001/REC BASE/PCT#2"</f>
        <v>ACCT#9725-001/REC BASE/PCT#2</v>
      </c>
    </row>
    <row r="22" spans="1:8" x14ac:dyDescent="0.25">
      <c r="E22" t="str">
        <f>"9725-001-107338"</f>
        <v>9725-001-107338</v>
      </c>
      <c r="F22" t="str">
        <f>"ACCT#9725-001/REC BASE/PCT#2"</f>
        <v>ACCT#9725-001/REC BASE/PCT#2</v>
      </c>
      <c r="G22" s="2">
        <v>212.8</v>
      </c>
      <c r="H22" t="str">
        <f>"ACCT#9725-001/REC BASE/PCT#2"</f>
        <v>ACCT#9725-001/REC BASE/PCT#2</v>
      </c>
    </row>
    <row r="23" spans="1:8" x14ac:dyDescent="0.25">
      <c r="E23" t="str">
        <f>"9725-001-107420"</f>
        <v>9725-001-107420</v>
      </c>
      <c r="F23" t="str">
        <f>"ACCT#9725-001/REC BASE/PCT#2"</f>
        <v>ACCT#9725-001/REC BASE/PCT#2</v>
      </c>
      <c r="G23" s="2">
        <v>3038.47</v>
      </c>
      <c r="H23" t="str">
        <f>"ACCT#9725-001/REC BASE/PCT#2"</f>
        <v>ACCT#9725-001/REC BASE/PCT#2</v>
      </c>
    </row>
    <row r="24" spans="1:8" x14ac:dyDescent="0.25">
      <c r="E24" t="str">
        <f>"9725-001-107488"</f>
        <v>9725-001-107488</v>
      </c>
      <c r="F24" t="str">
        <f>"ACCT#9725-001/REC BASE/PCT#2"</f>
        <v>ACCT#9725-001/REC BASE/PCT#2</v>
      </c>
      <c r="G24" s="2">
        <v>210.44</v>
      </c>
      <c r="H24" t="str">
        <f>"ACCT#9725-001/REC BASE/PCT#2"</f>
        <v>ACCT#9725-001/REC BASE/PCT#2</v>
      </c>
    </row>
    <row r="25" spans="1:8" x14ac:dyDescent="0.25">
      <c r="A25" t="s">
        <v>10</v>
      </c>
      <c r="B25" s="3">
        <v>81649</v>
      </c>
      <c r="C25" s="2">
        <v>15</v>
      </c>
      <c r="D25" s="1">
        <v>43563</v>
      </c>
      <c r="E25" t="str">
        <f>"201904028323"</f>
        <v>201904028323</v>
      </c>
      <c r="F25" t="str">
        <f>"REFUND BAIL BOND COUPON"</f>
        <v>REFUND BAIL BOND COUPON</v>
      </c>
      <c r="G25" s="2">
        <v>15</v>
      </c>
      <c r="H25" t="str">
        <f>"REFUND BAIL BOND COUPON"</f>
        <v>REFUND BAIL BOND COUPON</v>
      </c>
    </row>
    <row r="26" spans="1:8" x14ac:dyDescent="0.25">
      <c r="A26" t="s">
        <v>11</v>
      </c>
      <c r="B26" s="3">
        <v>81834</v>
      </c>
      <c r="C26" s="2">
        <v>421.91</v>
      </c>
      <c r="D26" s="1">
        <v>43577</v>
      </c>
      <c r="E26" t="str">
        <f>"201904158621"</f>
        <v>201904158621</v>
      </c>
      <c r="F26" t="str">
        <f>"CUST#16500/PCT#4"</f>
        <v>CUST#16500/PCT#4</v>
      </c>
      <c r="G26" s="2">
        <v>421.91</v>
      </c>
      <c r="H26" t="str">
        <f>"CUST#16500/PCT#4"</f>
        <v>CUST#16500/PCT#4</v>
      </c>
    </row>
    <row r="27" spans="1:8" x14ac:dyDescent="0.25">
      <c r="A27" t="s">
        <v>12</v>
      </c>
      <c r="B27" s="3">
        <v>633</v>
      </c>
      <c r="C27" s="2">
        <v>27601.32</v>
      </c>
      <c r="D27" s="1">
        <v>43564</v>
      </c>
      <c r="E27" t="str">
        <f>"201904018180"</f>
        <v>201904018180</v>
      </c>
      <c r="F27" t="str">
        <f>"HAULING EXPS 03/18-03/29/PCT#1"</f>
        <v>HAULING EXPS 03/18-03/29/PCT#1</v>
      </c>
      <c r="G27" s="2">
        <v>26060.22</v>
      </c>
      <c r="H27" t="str">
        <f>"HAULING EXPS 03/18-03/29/PCT#1"</f>
        <v>HAULING EXPS 03/18-03/29/PCT#1</v>
      </c>
    </row>
    <row r="28" spans="1:8" x14ac:dyDescent="0.25">
      <c r="E28" t="str">
        <f>"201904018194"</f>
        <v>201904018194</v>
      </c>
      <c r="F28" t="str">
        <f>"HAULING EXPS 03/18-03/21/PCT#4"</f>
        <v>HAULING EXPS 03/18-03/21/PCT#4</v>
      </c>
      <c r="G28" s="2">
        <v>1541.1</v>
      </c>
      <c r="H28" t="str">
        <f>"HAULING EXPS 03/18-03/21/PCT#4"</f>
        <v>HAULING EXPS 03/18-03/21/PCT#4</v>
      </c>
    </row>
    <row r="29" spans="1:8" x14ac:dyDescent="0.25">
      <c r="A29" t="s">
        <v>12</v>
      </c>
      <c r="B29" s="3">
        <v>691</v>
      </c>
      <c r="C29" s="2">
        <v>18168.95</v>
      </c>
      <c r="D29" s="1">
        <v>43578</v>
      </c>
      <c r="E29" t="str">
        <f>"201904158607"</f>
        <v>201904158607</v>
      </c>
      <c r="F29" t="str">
        <f>"HAULING EXPS 04/01-04/05/PCT#1"</f>
        <v>HAULING EXPS 04/01-04/05/PCT#1</v>
      </c>
      <c r="G29" s="2">
        <v>11228.22</v>
      </c>
      <c r="H29" t="str">
        <f>"HAULING EXPS 04/01-04/05/PCT#1"</f>
        <v>HAULING EXPS 04/01-04/05/PCT#1</v>
      </c>
    </row>
    <row r="30" spans="1:8" x14ac:dyDescent="0.25">
      <c r="E30" t="str">
        <f>"201904158615"</f>
        <v>201904158615</v>
      </c>
      <c r="F30" t="str">
        <f>"HAULING EXPS 04/01-04/12/PCT#4"</f>
        <v>HAULING EXPS 04/01-04/12/PCT#4</v>
      </c>
      <c r="G30" s="2">
        <v>6940.73</v>
      </c>
      <c r="H30" t="str">
        <f>"HAULING EXPS 04/01-04/12/PCT#4"</f>
        <v>HAULING EXPS 04/01-04/12/PCT#4</v>
      </c>
    </row>
    <row r="31" spans="1:8" x14ac:dyDescent="0.25">
      <c r="A31" t="s">
        <v>13</v>
      </c>
      <c r="B31" s="3">
        <v>631</v>
      </c>
      <c r="C31" s="2">
        <v>228</v>
      </c>
      <c r="D31" s="1">
        <v>43564</v>
      </c>
      <c r="E31" t="str">
        <f>"210028696"</f>
        <v>210028696</v>
      </c>
      <c r="F31" t="str">
        <f>"INV 210028696"</f>
        <v>INV 210028696</v>
      </c>
      <c r="G31" s="2">
        <v>228</v>
      </c>
      <c r="H31" t="str">
        <f>"INV 210028696"</f>
        <v>INV 210028696</v>
      </c>
    </row>
    <row r="32" spans="1:8" x14ac:dyDescent="0.25">
      <c r="A32" t="s">
        <v>14</v>
      </c>
      <c r="B32" s="3">
        <v>81650</v>
      </c>
      <c r="C32" s="2">
        <v>50</v>
      </c>
      <c r="D32" s="1">
        <v>43563</v>
      </c>
      <c r="E32" t="str">
        <f>"201904028333"</f>
        <v>201904028333</v>
      </c>
      <c r="F32" t="str">
        <f>"ACES A/C SUPPLY INC"</f>
        <v>ACES A/C SUPPLY INC</v>
      </c>
      <c r="G32" s="2">
        <v>50</v>
      </c>
      <c r="H32" t="str">
        <f>"Technical Education"</f>
        <v>Technical Education</v>
      </c>
    </row>
    <row r="33" spans="1:8" x14ac:dyDescent="0.25">
      <c r="A33" t="s">
        <v>15</v>
      </c>
      <c r="B33" s="3">
        <v>81835</v>
      </c>
      <c r="C33" s="2">
        <v>900</v>
      </c>
      <c r="D33" s="1">
        <v>43577</v>
      </c>
      <c r="E33" t="str">
        <f>"201904158655"</f>
        <v>201904158655</v>
      </c>
      <c r="F33" t="str">
        <f>"14-16404"</f>
        <v>14-16404</v>
      </c>
      <c r="G33" s="2">
        <v>122.5</v>
      </c>
      <c r="H33" t="str">
        <f>"14-16404"</f>
        <v>14-16404</v>
      </c>
    </row>
    <row r="34" spans="1:8" x14ac:dyDescent="0.25">
      <c r="E34" t="str">
        <f>"201904158656"</f>
        <v>201904158656</v>
      </c>
      <c r="F34" t="str">
        <f>"17-18765"</f>
        <v>17-18765</v>
      </c>
      <c r="G34" s="2">
        <v>527.5</v>
      </c>
      <c r="H34" t="str">
        <f>"17-18765"</f>
        <v>17-18765</v>
      </c>
    </row>
    <row r="35" spans="1:8" x14ac:dyDescent="0.25">
      <c r="E35" t="str">
        <f>"201904158657"</f>
        <v>201904158657</v>
      </c>
      <c r="F35" t="str">
        <f>"19-19432"</f>
        <v>19-19432</v>
      </c>
      <c r="G35" s="2">
        <v>145</v>
      </c>
      <c r="H35" t="str">
        <f>"19-19432"</f>
        <v>19-19432</v>
      </c>
    </row>
    <row r="36" spans="1:8" x14ac:dyDescent="0.25">
      <c r="E36" t="str">
        <f>"201904158659"</f>
        <v>201904158659</v>
      </c>
      <c r="F36" t="str">
        <f>"18-19016"</f>
        <v>18-19016</v>
      </c>
      <c r="G36" s="2">
        <v>105</v>
      </c>
      <c r="H36" t="str">
        <f>"18-19016"</f>
        <v>18-19016</v>
      </c>
    </row>
    <row r="37" spans="1:8" x14ac:dyDescent="0.25">
      <c r="A37" t="s">
        <v>16</v>
      </c>
      <c r="B37" s="3">
        <v>81651</v>
      </c>
      <c r="C37" s="2">
        <v>1800</v>
      </c>
      <c r="D37" s="1">
        <v>43563</v>
      </c>
      <c r="E37" t="str">
        <f>"201903288145"</f>
        <v>201903288145</v>
      </c>
      <c r="F37" t="str">
        <f>"16 700"</f>
        <v>16 700</v>
      </c>
      <c r="G37" s="2">
        <v>150</v>
      </c>
      <c r="H37" t="str">
        <f>"16 700"</f>
        <v>16 700</v>
      </c>
    </row>
    <row r="38" spans="1:8" x14ac:dyDescent="0.25">
      <c r="E38" t="str">
        <f>"201903288146"</f>
        <v>201903288146</v>
      </c>
      <c r="F38" t="str">
        <f>"16 683"</f>
        <v>16 683</v>
      </c>
      <c r="G38" s="2">
        <v>750</v>
      </c>
      <c r="H38" t="str">
        <f>"16 683"</f>
        <v>16 683</v>
      </c>
    </row>
    <row r="39" spans="1:8" x14ac:dyDescent="0.25">
      <c r="E39" t="str">
        <f>"201903288147"</f>
        <v>201903288147</v>
      </c>
      <c r="F39" t="str">
        <f>"16 699"</f>
        <v>16 699</v>
      </c>
      <c r="G39" s="2">
        <v>900</v>
      </c>
      <c r="H39" t="str">
        <f>"16 699"</f>
        <v>16 699</v>
      </c>
    </row>
    <row r="40" spans="1:8" x14ac:dyDescent="0.25">
      <c r="A40" t="s">
        <v>16</v>
      </c>
      <c r="B40" s="3">
        <v>81836</v>
      </c>
      <c r="C40" s="2">
        <v>200</v>
      </c>
      <c r="D40" s="1">
        <v>43577</v>
      </c>
      <c r="E40" t="str">
        <f>"201904118590"</f>
        <v>201904118590</v>
      </c>
      <c r="F40" t="str">
        <f>"19-19562"</f>
        <v>19-19562</v>
      </c>
      <c r="G40" s="2">
        <v>100</v>
      </c>
      <c r="H40" t="str">
        <f>"19-19562"</f>
        <v>19-19562</v>
      </c>
    </row>
    <row r="41" spans="1:8" x14ac:dyDescent="0.25">
      <c r="E41" t="str">
        <f>"201904158609"</f>
        <v>201904158609</v>
      </c>
      <c r="F41" t="str">
        <f>"OCPC 19 008"</f>
        <v>OCPC 19 008</v>
      </c>
      <c r="G41" s="2">
        <v>100</v>
      </c>
      <c r="H41" t="str">
        <f>"OCPC 19 008"</f>
        <v>OCPC 19 008</v>
      </c>
    </row>
    <row r="42" spans="1:8" x14ac:dyDescent="0.25">
      <c r="A42" t="s">
        <v>17</v>
      </c>
      <c r="B42" s="3">
        <v>637</v>
      </c>
      <c r="C42" s="2">
        <v>510</v>
      </c>
      <c r="D42" s="1">
        <v>43564</v>
      </c>
      <c r="E42" t="str">
        <f>"201904028302"</f>
        <v>201904028302</v>
      </c>
      <c r="F42" t="str">
        <f>"REIMBURSEMENT-SEMINARS"</f>
        <v>REIMBURSEMENT-SEMINARS</v>
      </c>
      <c r="G42" s="2">
        <v>510</v>
      </c>
      <c r="H42" t="str">
        <f>"REIMBURSEMENT-SEMINARS"</f>
        <v>REIMBURSEMENT-SEMINARS</v>
      </c>
    </row>
    <row r="43" spans="1:8" x14ac:dyDescent="0.25">
      <c r="A43" t="s">
        <v>17</v>
      </c>
      <c r="B43" s="3">
        <v>695</v>
      </c>
      <c r="C43" s="2">
        <v>1183.73</v>
      </c>
      <c r="D43" s="1">
        <v>43578</v>
      </c>
      <c r="E43" t="str">
        <f>"201904098545"</f>
        <v>201904098545</v>
      </c>
      <c r="F43" t="str">
        <f>"TRAVEL ADV REQUEST-PER DIEM"</f>
        <v>TRAVEL ADV REQUEST-PER DIEM</v>
      </c>
      <c r="G43" s="2">
        <v>135</v>
      </c>
      <c r="H43" t="str">
        <f>"TRAVEL ADV REQUEST-PER DIEM"</f>
        <v>TRAVEL ADV REQUEST-PER DIEM</v>
      </c>
    </row>
    <row r="44" spans="1:8" x14ac:dyDescent="0.25">
      <c r="E44" t="str">
        <f>"201904108566"</f>
        <v>201904108566</v>
      </c>
      <c r="F44" t="str">
        <f>"REIMBURSE-BOOTH TML 2019"</f>
        <v>REIMBURSE-BOOTH TML 2019</v>
      </c>
      <c r="G44" s="2">
        <v>850</v>
      </c>
      <c r="H44" t="str">
        <f>"REIMBURSE-BOOTH TML 2019"</f>
        <v>REIMBURSE-BOOTH TML 2019</v>
      </c>
    </row>
    <row r="45" spans="1:8" x14ac:dyDescent="0.25">
      <c r="E45" t="str">
        <f>"201904128596"</f>
        <v>201904128596</v>
      </c>
      <c r="F45" t="str">
        <f>"REIMBURSE-PRINTING/PARKING"</f>
        <v>REIMBURSE-PRINTING/PARKING</v>
      </c>
      <c r="G45" s="2">
        <v>198.73</v>
      </c>
      <c r="H45" t="str">
        <f>"REIMBURSE-PRINTING/PARKING"</f>
        <v>REIMBURSE-PRINTING/PARKING</v>
      </c>
    </row>
    <row r="46" spans="1:8" x14ac:dyDescent="0.25">
      <c r="A46" t="s">
        <v>18</v>
      </c>
      <c r="B46" s="3">
        <v>81837</v>
      </c>
      <c r="C46" s="2">
        <v>641.98</v>
      </c>
      <c r="D46" s="1">
        <v>43577</v>
      </c>
      <c r="E46" t="str">
        <f>"201904158627"</f>
        <v>201904158627</v>
      </c>
      <c r="F46" t="str">
        <f>"REIMBURSEMENT FOR ACADEMY"</f>
        <v>REIMBURSEMENT FOR ACADEMY</v>
      </c>
      <c r="G46" s="2">
        <v>641.98</v>
      </c>
    </row>
    <row r="47" spans="1:8" x14ac:dyDescent="0.25">
      <c r="A47" t="s">
        <v>18</v>
      </c>
      <c r="B47" s="3">
        <v>81837</v>
      </c>
      <c r="C47" s="2">
        <v>641.98</v>
      </c>
      <c r="D47" s="1">
        <v>43579</v>
      </c>
      <c r="E47" t="str">
        <f>"CHECK"</f>
        <v>CHECK</v>
      </c>
      <c r="F47" t="str">
        <f>""</f>
        <v/>
      </c>
      <c r="G47" s="2">
        <v>641.98</v>
      </c>
    </row>
    <row r="48" spans="1:8" x14ac:dyDescent="0.25">
      <c r="A48" t="s">
        <v>18</v>
      </c>
      <c r="B48" s="3">
        <v>82026</v>
      </c>
      <c r="C48" s="2">
        <v>315</v>
      </c>
      <c r="D48" s="1">
        <v>43579</v>
      </c>
      <c r="E48" t="str">
        <f>"201904248772"</f>
        <v>201904248772</v>
      </c>
      <c r="F48" t="str">
        <f>"REIMBURSEMENT FOR ACADEMY"</f>
        <v>REIMBURSEMENT FOR ACADEMY</v>
      </c>
      <c r="G48" s="2">
        <v>315</v>
      </c>
      <c r="H48" t="str">
        <f>"REIMBURSEMENT FOR ACADEMY"</f>
        <v>REIMBURSEMENT FOR ACADEMY</v>
      </c>
    </row>
    <row r="49" spans="1:9" x14ac:dyDescent="0.25">
      <c r="A49" t="s">
        <v>19</v>
      </c>
      <c r="B49" s="3">
        <v>81838</v>
      </c>
      <c r="C49" s="2">
        <v>25</v>
      </c>
      <c r="D49" s="1">
        <v>43577</v>
      </c>
      <c r="E49" t="str">
        <f>"201904158686"</f>
        <v>201904158686</v>
      </c>
      <c r="F49" t="str">
        <f>"FERAL HOGS"</f>
        <v>FERAL HOGS</v>
      </c>
      <c r="G49" s="2">
        <v>25</v>
      </c>
      <c r="H49" t="str">
        <f>"FERAL HOGS"</f>
        <v>FERAL HOGS</v>
      </c>
    </row>
    <row r="50" spans="1:9" x14ac:dyDescent="0.25">
      <c r="A50" t="s">
        <v>20</v>
      </c>
      <c r="B50" s="3">
        <v>720</v>
      </c>
      <c r="C50" s="2">
        <v>650</v>
      </c>
      <c r="D50" s="1">
        <v>43578</v>
      </c>
      <c r="E50" t="str">
        <f>"201904118584"</f>
        <v>201904118584</v>
      </c>
      <c r="F50" t="str">
        <f>"16 644"</f>
        <v>16 644</v>
      </c>
      <c r="G50" s="2">
        <v>650</v>
      </c>
      <c r="H50" t="str">
        <f>"16 644"</f>
        <v>16 644</v>
      </c>
    </row>
    <row r="51" spans="1:9" x14ac:dyDescent="0.25">
      <c r="A51" t="s">
        <v>21</v>
      </c>
      <c r="B51" s="3">
        <v>81652</v>
      </c>
      <c r="C51" s="2">
        <v>676.56</v>
      </c>
      <c r="D51" s="1">
        <v>43563</v>
      </c>
      <c r="E51" t="str">
        <f>"201904018210"</f>
        <v>201904018210</v>
      </c>
      <c r="F51" t="str">
        <f>"CRIMINAL DOCKET"</f>
        <v>CRIMINAL DOCKET</v>
      </c>
      <c r="G51" s="2">
        <v>338.28</v>
      </c>
      <c r="H51" t="str">
        <f>"CRIMINAL DOCKET"</f>
        <v>CRIMINAL DOCKET</v>
      </c>
    </row>
    <row r="52" spans="1:9" x14ac:dyDescent="0.25">
      <c r="E52" t="str">
        <f>"201904018211"</f>
        <v>201904018211</v>
      </c>
      <c r="F52" t="str">
        <f>"CRIMINAL DOCKET"</f>
        <v>CRIMINAL DOCKET</v>
      </c>
      <c r="G52" s="2">
        <v>338.28</v>
      </c>
      <c r="H52" t="str">
        <f>"CRIMINAL DOCKET"</f>
        <v>CRIMINAL DOCKET</v>
      </c>
    </row>
    <row r="53" spans="1:9" x14ac:dyDescent="0.25">
      <c r="A53" t="s">
        <v>21</v>
      </c>
      <c r="B53" s="3">
        <v>81839</v>
      </c>
      <c r="C53" s="2">
        <v>1406.22</v>
      </c>
      <c r="D53" s="1">
        <v>43577</v>
      </c>
      <c r="E53" t="str">
        <f>"201904108549"</f>
        <v>201904108549</v>
      </c>
      <c r="F53" t="str">
        <f>"423-5945"</f>
        <v>423-5945</v>
      </c>
      <c r="G53" s="2">
        <v>119.14</v>
      </c>
      <c r="H53" t="str">
        <f>"423-5945"</f>
        <v>423-5945</v>
      </c>
    </row>
    <row r="54" spans="1:9" x14ac:dyDescent="0.25">
      <c r="E54" t="str">
        <f>"201904108556"</f>
        <v>201904108556</v>
      </c>
      <c r="F54" t="str">
        <f>"55 795"</f>
        <v>55 795</v>
      </c>
      <c r="G54" s="2">
        <v>219.14</v>
      </c>
      <c r="H54" t="str">
        <f>"55 795"</f>
        <v>55 795</v>
      </c>
    </row>
    <row r="55" spans="1:9" x14ac:dyDescent="0.25">
      <c r="E55" t="str">
        <f>"201904108565"</f>
        <v>201904108565</v>
      </c>
      <c r="F55" t="str">
        <f>"423-6174"</f>
        <v>423-6174</v>
      </c>
      <c r="G55" s="2">
        <v>119.14</v>
      </c>
      <c r="H55" t="str">
        <f>"423-6174"</f>
        <v>423-6174</v>
      </c>
    </row>
    <row r="56" spans="1:9" x14ac:dyDescent="0.25">
      <c r="E56" t="str">
        <f>"201904158652"</f>
        <v>201904158652</v>
      </c>
      <c r="F56" t="str">
        <f>"17-18433"</f>
        <v>17-18433</v>
      </c>
      <c r="G56" s="2">
        <v>410.52</v>
      </c>
      <c r="H56" t="str">
        <f>"17-18433"</f>
        <v>17-18433</v>
      </c>
    </row>
    <row r="57" spans="1:9" x14ac:dyDescent="0.25">
      <c r="E57" t="str">
        <f>"201904158653"</f>
        <v>201904158653</v>
      </c>
      <c r="F57" t="str">
        <f>"07-11842  19-19453"</f>
        <v>07-11842  19-19453</v>
      </c>
      <c r="G57" s="2">
        <v>200</v>
      </c>
      <c r="H57" t="str">
        <f>"07-11842  19-19453"</f>
        <v>07-11842  19-19453</v>
      </c>
    </row>
    <row r="58" spans="1:9" x14ac:dyDescent="0.25">
      <c r="E58" t="str">
        <f>"201904158654"</f>
        <v>201904158654</v>
      </c>
      <c r="F58" t="str">
        <f>"04/04/19 CRIMINAL DOCKET"</f>
        <v>04/04/19 CRIMINAL DOCKET</v>
      </c>
      <c r="G58" s="2">
        <v>338.28</v>
      </c>
      <c r="H58" t="str">
        <f>"04/04/19 CRIMINAL DOCKET"</f>
        <v>04/04/19 CRIMINAL DOCKET</v>
      </c>
    </row>
    <row r="59" spans="1:9" x14ac:dyDescent="0.25">
      <c r="A59" t="s">
        <v>22</v>
      </c>
      <c r="B59" s="3">
        <v>81840</v>
      </c>
      <c r="C59" s="2">
        <v>40</v>
      </c>
      <c r="D59" s="1">
        <v>43577</v>
      </c>
      <c r="E59" t="s">
        <v>23</v>
      </c>
      <c r="F59" t="s">
        <v>24</v>
      </c>
      <c r="G59" s="2" t="str">
        <f>"RESTITUTION-TRISTAN CHURCH"</f>
        <v>RESTITUTION-TRISTAN CHURCH</v>
      </c>
      <c r="H59" t="str">
        <f>"210-0000"</f>
        <v>210-0000</v>
      </c>
      <c r="I59" t="str">
        <f>""</f>
        <v/>
      </c>
    </row>
    <row r="60" spans="1:9" x14ac:dyDescent="0.25">
      <c r="A60" t="s">
        <v>25</v>
      </c>
      <c r="B60" s="3">
        <v>81653</v>
      </c>
      <c r="C60" s="2">
        <v>179.9</v>
      </c>
      <c r="D60" s="1">
        <v>43563</v>
      </c>
      <c r="E60" t="str">
        <f>"201904038345"</f>
        <v>201904038345</v>
      </c>
      <c r="F60" t="str">
        <f>"Fiber Optic Patch Cables"</f>
        <v>Fiber Optic Patch Cables</v>
      </c>
      <c r="G60" s="2">
        <v>179.9</v>
      </c>
    </row>
    <row r="61" spans="1:9" x14ac:dyDescent="0.25">
      <c r="A61" t="s">
        <v>25</v>
      </c>
      <c r="B61" s="3">
        <v>81653</v>
      </c>
      <c r="C61" s="2">
        <v>179.9</v>
      </c>
      <c r="D61" s="1">
        <v>43564</v>
      </c>
      <c r="E61" t="str">
        <f>"CHECK"</f>
        <v>CHECK</v>
      </c>
      <c r="F61" t="str">
        <f>""</f>
        <v/>
      </c>
      <c r="G61" s="2">
        <v>179.9</v>
      </c>
    </row>
    <row r="62" spans="1:9" x14ac:dyDescent="0.25">
      <c r="A62" t="s">
        <v>26</v>
      </c>
      <c r="B62" s="3">
        <v>81841</v>
      </c>
      <c r="C62" s="2">
        <v>30</v>
      </c>
      <c r="D62" s="1">
        <v>43577</v>
      </c>
      <c r="E62" t="str">
        <f>"201904158687"</f>
        <v>201904158687</v>
      </c>
      <c r="F62" t="str">
        <f>"FERAL HOGS"</f>
        <v>FERAL HOGS</v>
      </c>
      <c r="G62" s="2">
        <v>30</v>
      </c>
      <c r="H62" t="str">
        <f>"FERAL HOGS"</f>
        <v>FERAL HOGS</v>
      </c>
    </row>
    <row r="63" spans="1:9" x14ac:dyDescent="0.25">
      <c r="A63" t="s">
        <v>27</v>
      </c>
      <c r="B63" s="3">
        <v>81842</v>
      </c>
      <c r="C63" s="2">
        <v>474</v>
      </c>
      <c r="D63" s="1">
        <v>43577</v>
      </c>
      <c r="E63" t="str">
        <f>"36444"</f>
        <v>36444</v>
      </c>
      <c r="F63" t="str">
        <f>"RENTAL-601 COOL WATER/PCT#1"</f>
        <v>RENTAL-601 COOL WATER/PCT#1</v>
      </c>
      <c r="G63" s="2">
        <v>215</v>
      </c>
      <c r="H63" t="str">
        <f>"RENTAL-601 COOL WATER/PCT#1"</f>
        <v>RENTAL-601 COOL WATER/PCT#1</v>
      </c>
    </row>
    <row r="64" spans="1:9" x14ac:dyDescent="0.25">
      <c r="E64" t="str">
        <f>"36445"</f>
        <v>36445</v>
      </c>
      <c r="F64" t="str">
        <f>"RENTALS-RIVERSIDE LAUNCH"</f>
        <v>RENTALS-RIVERSIDE LAUNCH</v>
      </c>
      <c r="G64" s="2">
        <v>259</v>
      </c>
      <c r="H64" t="str">
        <f>"RENTALS-RIVERSIDE LAUNCH"</f>
        <v>RENTALS-RIVERSIDE LAUNCH</v>
      </c>
    </row>
    <row r="65" spans="1:8" x14ac:dyDescent="0.25">
      <c r="A65" t="s">
        <v>28</v>
      </c>
      <c r="B65" s="3">
        <v>705</v>
      </c>
      <c r="C65" s="2">
        <v>913.96</v>
      </c>
      <c r="D65" s="1">
        <v>43578</v>
      </c>
      <c r="E65" t="str">
        <f>"16CD-JFKR-F3DR"</f>
        <v>16CD-JFKR-F3DR</v>
      </c>
      <c r="F65" t="str">
        <f>"AMAZON CAPITAL SERVICES INC"</f>
        <v>AMAZON CAPITAL SERVICES INC</v>
      </c>
      <c r="G65" s="2">
        <v>12.76</v>
      </c>
      <c r="H65" t="str">
        <f>"Label Maker Tape"</f>
        <v>Label Maker Tape</v>
      </c>
    </row>
    <row r="66" spans="1:8" x14ac:dyDescent="0.25">
      <c r="E66" t="str">
        <f>"1M1Y-XLVH-JXFH"</f>
        <v>1M1Y-XLVH-JXFH</v>
      </c>
      <c r="F66" t="str">
        <f>"8 Ex Large Utility Carts"</f>
        <v>8 Ex Large Utility Carts</v>
      </c>
      <c r="G66" s="2">
        <v>901.2</v>
      </c>
      <c r="H66" t="str">
        <f>"8 Ex Large Utility Carts"</f>
        <v>8 Ex Large Utility Carts</v>
      </c>
    </row>
    <row r="67" spans="1:8" x14ac:dyDescent="0.25">
      <c r="A67" t="s">
        <v>28</v>
      </c>
      <c r="B67" s="3">
        <v>81654</v>
      </c>
      <c r="C67" s="2">
        <v>3362.13</v>
      </c>
      <c r="D67" s="1">
        <v>43563</v>
      </c>
      <c r="E67" t="str">
        <f>"1FTV-N1MR-Y9V4"</f>
        <v>1FTV-N1MR-Y9V4</v>
      </c>
      <c r="F67" t="str">
        <f>"Pallets of paper"</f>
        <v>Pallets of paper</v>
      </c>
      <c r="G67" s="2">
        <v>2498</v>
      </c>
      <c r="H67" t="str">
        <f>"split paper"</f>
        <v>split paper</v>
      </c>
    </row>
    <row r="68" spans="1:8" x14ac:dyDescent="0.25">
      <c r="E68" t="str">
        <f>""</f>
        <v/>
      </c>
      <c r="F68" t="str">
        <f>""</f>
        <v/>
      </c>
      <c r="H68" t="str">
        <f>"Pallets of paper"</f>
        <v>Pallets of paper</v>
      </c>
    </row>
    <row r="69" spans="1:8" x14ac:dyDescent="0.25">
      <c r="E69" t="str">
        <f>"1GH7-FJYW-J67D"</f>
        <v>1GH7-FJYW-J67D</v>
      </c>
      <c r="F69" t="str">
        <f>"label printer &amp; storage"</f>
        <v>label printer &amp; storage</v>
      </c>
      <c r="G69" s="2">
        <v>207.96</v>
      </c>
      <c r="H69" t="str">
        <f>"Printer"</f>
        <v>Printer</v>
      </c>
    </row>
    <row r="70" spans="1:8" x14ac:dyDescent="0.25">
      <c r="E70" t="str">
        <f>""</f>
        <v/>
      </c>
      <c r="F70" t="str">
        <f>""</f>
        <v/>
      </c>
      <c r="H70" t="str">
        <f>"storage"</f>
        <v>storage</v>
      </c>
    </row>
    <row r="71" spans="1:8" x14ac:dyDescent="0.25">
      <c r="E71" t="str">
        <f>"1HYM-FDK9-73TV"</f>
        <v>1HYM-FDK9-73TV</v>
      </c>
      <c r="F71" t="str">
        <f>"Chairs &amp; Wheels"</f>
        <v>Chairs &amp; Wheels</v>
      </c>
      <c r="G71" s="2">
        <v>163.95</v>
      </c>
      <c r="H71" t="str">
        <f>"Chairs"</f>
        <v>Chairs</v>
      </c>
    </row>
    <row r="72" spans="1:8" x14ac:dyDescent="0.25">
      <c r="E72" t="str">
        <f>""</f>
        <v/>
      </c>
      <c r="F72" t="str">
        <f>""</f>
        <v/>
      </c>
      <c r="H72" t="str">
        <f>"wheels"</f>
        <v>wheels</v>
      </c>
    </row>
    <row r="73" spans="1:8" x14ac:dyDescent="0.25">
      <c r="E73" t="str">
        <f>""</f>
        <v/>
      </c>
      <c r="F73" t="str">
        <f>""</f>
        <v/>
      </c>
      <c r="H73" t="str">
        <f>"shipping-wheels"</f>
        <v>shipping-wheels</v>
      </c>
    </row>
    <row r="74" spans="1:8" x14ac:dyDescent="0.25">
      <c r="E74" t="str">
        <f>"201904028335"</f>
        <v>201904028335</v>
      </c>
      <c r="F74" t="str">
        <f>"Wheels and Mirror"</f>
        <v>Wheels and Mirror</v>
      </c>
      <c r="G74" s="2">
        <v>225.89</v>
      </c>
      <c r="H74" t="str">
        <f>"Burco 4340 Passenger"</f>
        <v>Burco 4340 Passenger</v>
      </c>
    </row>
    <row r="75" spans="1:8" x14ac:dyDescent="0.25">
      <c r="E75" t="str">
        <f>""</f>
        <v/>
      </c>
      <c r="F75" t="str">
        <f>""</f>
        <v/>
      </c>
      <c r="H75" t="str">
        <f>"Office Chair Caster"</f>
        <v>Office Chair Caster</v>
      </c>
    </row>
    <row r="76" spans="1:8" x14ac:dyDescent="0.25">
      <c r="E76" t="str">
        <f>"201904028336"</f>
        <v>201904028336</v>
      </c>
      <c r="F76" t="str">
        <f>"AMAZON CAPITAL SERVICES INC"</f>
        <v>AMAZON CAPITAL SERVICES INC</v>
      </c>
      <c r="G76" s="2">
        <v>49.2</v>
      </c>
      <c r="H76" t="str">
        <f>"Sloan Valve"</f>
        <v>Sloan Valve</v>
      </c>
    </row>
    <row r="77" spans="1:8" x14ac:dyDescent="0.25">
      <c r="E77" t="str">
        <f>"201904028337"</f>
        <v>201904028337</v>
      </c>
      <c r="F77" t="str">
        <f>"AMAZON CAPITAL SERVICES INC"</f>
        <v>AMAZON CAPITAL SERVICES INC</v>
      </c>
      <c r="G77" s="2">
        <v>82.42</v>
      </c>
      <c r="H77" t="str">
        <f>"High Speed Cables"</f>
        <v>High Speed Cables</v>
      </c>
    </row>
    <row r="78" spans="1:8" x14ac:dyDescent="0.25">
      <c r="E78" t="str">
        <f>"201904038347"</f>
        <v>201904038347</v>
      </c>
      <c r="F78" t="str">
        <f>"Foamer and Printer"</f>
        <v>Foamer and Printer</v>
      </c>
      <c r="G78" s="2">
        <v>134.71</v>
      </c>
      <c r="H78" t="str">
        <f>"foamer"</f>
        <v>foamer</v>
      </c>
    </row>
    <row r="79" spans="1:8" x14ac:dyDescent="0.25">
      <c r="E79" t="str">
        <f>""</f>
        <v/>
      </c>
      <c r="F79" t="str">
        <f>""</f>
        <v/>
      </c>
      <c r="H79" t="str">
        <f>"shipping"</f>
        <v>shipping</v>
      </c>
    </row>
    <row r="80" spans="1:8" x14ac:dyDescent="0.25">
      <c r="E80" t="str">
        <f>""</f>
        <v/>
      </c>
      <c r="F80" t="str">
        <f>""</f>
        <v/>
      </c>
      <c r="H80" t="str">
        <f>"lables"</f>
        <v>lables</v>
      </c>
    </row>
    <row r="81" spans="1:8" x14ac:dyDescent="0.25">
      <c r="A81" t="s">
        <v>29</v>
      </c>
      <c r="B81" s="3">
        <v>81655</v>
      </c>
      <c r="C81" s="2">
        <v>4117.16</v>
      </c>
      <c r="D81" s="1">
        <v>43563</v>
      </c>
      <c r="E81" t="str">
        <f>"201904018192"</f>
        <v>201904018192</v>
      </c>
      <c r="F81" t="str">
        <f>"ACCT#379865/PCT#2"</f>
        <v>ACCT#379865/PCT#2</v>
      </c>
      <c r="G81" s="2">
        <v>4117.16</v>
      </c>
      <c r="H81" t="str">
        <f>"ACCT#379865/PCT#2"</f>
        <v>ACCT#379865/PCT#2</v>
      </c>
    </row>
    <row r="82" spans="1:8" x14ac:dyDescent="0.25">
      <c r="A82" t="s">
        <v>30</v>
      </c>
      <c r="B82" s="3">
        <v>676</v>
      </c>
      <c r="C82" s="2">
        <v>2130</v>
      </c>
      <c r="D82" s="1">
        <v>43564</v>
      </c>
      <c r="E82" t="str">
        <f>"201904018182"</f>
        <v>201904018182</v>
      </c>
      <c r="F82" t="str">
        <f>"16 756  16 757  16 758"</f>
        <v>16 756  16 757  16 758</v>
      </c>
      <c r="G82" s="2">
        <v>800</v>
      </c>
      <c r="H82" t="str">
        <f>"16 756  16 757  16 758"</f>
        <v>16 756  16 757  16 758</v>
      </c>
    </row>
    <row r="83" spans="1:8" x14ac:dyDescent="0.25">
      <c r="E83" t="str">
        <f>"201904018219"</f>
        <v>201904018219</v>
      </c>
      <c r="F83" t="str">
        <f>"19-19504"</f>
        <v>19-19504</v>
      </c>
      <c r="G83" s="2">
        <v>100</v>
      </c>
      <c r="H83" t="str">
        <f>"19-19504"</f>
        <v>19-19504</v>
      </c>
    </row>
    <row r="84" spans="1:8" x14ac:dyDescent="0.25">
      <c r="E84" t="str">
        <f>"201904028251"</f>
        <v>201904028251</v>
      </c>
      <c r="F84" t="str">
        <f>"NO CAUSE # LISTED"</f>
        <v>NO CAUSE # LISTED</v>
      </c>
      <c r="G84" s="2">
        <v>100</v>
      </c>
      <c r="H84" t="str">
        <f>"NO CAUSE # LISTED"</f>
        <v>NO CAUSE # LISTED</v>
      </c>
    </row>
    <row r="85" spans="1:8" x14ac:dyDescent="0.25">
      <c r="E85" t="str">
        <f>"201904028252"</f>
        <v>201904028252</v>
      </c>
      <c r="F85" t="str">
        <f>"NO CAUSE # LISTED"</f>
        <v>NO CAUSE # LISTED</v>
      </c>
      <c r="G85" s="2">
        <v>100</v>
      </c>
      <c r="H85" t="str">
        <f>"NO CAUSE # LISTED"</f>
        <v>NO CAUSE # LISTED</v>
      </c>
    </row>
    <row r="86" spans="1:8" x14ac:dyDescent="0.25">
      <c r="E86" t="str">
        <f>"201904038373"</f>
        <v>201904038373</v>
      </c>
      <c r="F86" t="str">
        <f>"02-07201-18"</f>
        <v>02-07201-18</v>
      </c>
      <c r="G86" s="2">
        <v>250</v>
      </c>
      <c r="H86" t="str">
        <f>"02-07201-18"</f>
        <v>02-07201-18</v>
      </c>
    </row>
    <row r="87" spans="1:8" x14ac:dyDescent="0.25">
      <c r="E87" t="str">
        <f>"201904038374"</f>
        <v>201904038374</v>
      </c>
      <c r="F87" t="str">
        <f>"DCPC-18-168"</f>
        <v>DCPC-18-168</v>
      </c>
      <c r="G87" s="2">
        <v>250</v>
      </c>
      <c r="H87" t="str">
        <f>"DCPC-18-168"</f>
        <v>DCPC-18-168</v>
      </c>
    </row>
    <row r="88" spans="1:8" x14ac:dyDescent="0.25">
      <c r="E88" t="str">
        <f>"201904038375"</f>
        <v>201904038375</v>
      </c>
      <c r="F88" t="str">
        <f>"JV CHILD"</f>
        <v>JV CHILD</v>
      </c>
      <c r="G88" s="2">
        <v>100</v>
      </c>
      <c r="H88" t="str">
        <f>"JV CHILD"</f>
        <v>JV CHILD</v>
      </c>
    </row>
    <row r="89" spans="1:8" x14ac:dyDescent="0.25">
      <c r="E89" t="str">
        <f>"201904038376"</f>
        <v>201904038376</v>
      </c>
      <c r="F89" t="str">
        <f>"J.T. CHILD"</f>
        <v>J.T. CHILD</v>
      </c>
      <c r="G89" s="2">
        <v>100</v>
      </c>
      <c r="H89" t="str">
        <f>"J.T. CHILD"</f>
        <v>J.T. CHILD</v>
      </c>
    </row>
    <row r="90" spans="1:8" x14ac:dyDescent="0.25">
      <c r="E90" t="str">
        <f>"201904038377"</f>
        <v>201904038377</v>
      </c>
      <c r="F90" t="str">
        <f>"CHILD"</f>
        <v>CHILD</v>
      </c>
      <c r="G90" s="2">
        <v>100</v>
      </c>
      <c r="H90" t="str">
        <f>"CHILD"</f>
        <v>CHILD</v>
      </c>
    </row>
    <row r="91" spans="1:8" x14ac:dyDescent="0.25">
      <c r="E91" t="str">
        <f>"201904038378"</f>
        <v>201904038378</v>
      </c>
      <c r="F91" t="str">
        <f>"JUVENILE CHILD"</f>
        <v>JUVENILE CHILD</v>
      </c>
      <c r="G91" s="2">
        <v>100</v>
      </c>
      <c r="H91" t="str">
        <f>"JUVENILE CHILD"</f>
        <v>JUVENILE CHILD</v>
      </c>
    </row>
    <row r="92" spans="1:8" x14ac:dyDescent="0.25">
      <c r="E92" t="str">
        <f>"201904038379"</f>
        <v>201904038379</v>
      </c>
      <c r="F92" t="str">
        <f>"19-19443"</f>
        <v>19-19443</v>
      </c>
      <c r="G92" s="2">
        <v>130</v>
      </c>
      <c r="H92" t="str">
        <f>"19-19443"</f>
        <v>19-19443</v>
      </c>
    </row>
    <row r="93" spans="1:8" x14ac:dyDescent="0.25">
      <c r="A93" t="s">
        <v>30</v>
      </c>
      <c r="B93" s="3">
        <v>730</v>
      </c>
      <c r="C93" s="2">
        <v>1200</v>
      </c>
      <c r="D93" s="1">
        <v>43578</v>
      </c>
      <c r="E93" t="str">
        <f>"201904118585"</f>
        <v>201904118585</v>
      </c>
      <c r="F93" t="str">
        <f>"15 849"</f>
        <v>15 849</v>
      </c>
      <c r="G93" s="2">
        <v>400</v>
      </c>
      <c r="H93" t="str">
        <f>"15 849"</f>
        <v>15 849</v>
      </c>
    </row>
    <row r="94" spans="1:8" x14ac:dyDescent="0.25">
      <c r="E94" t="str">
        <f>"201904118586"</f>
        <v>201904118586</v>
      </c>
      <c r="F94" t="str">
        <f>"16 702"</f>
        <v>16 702</v>
      </c>
      <c r="G94" s="2">
        <v>400</v>
      </c>
      <c r="H94" t="str">
        <f>"16 702"</f>
        <v>16 702</v>
      </c>
    </row>
    <row r="95" spans="1:8" x14ac:dyDescent="0.25">
      <c r="E95" t="str">
        <f>"201904118587"</f>
        <v>201904118587</v>
      </c>
      <c r="F95" t="str">
        <f>"1059-335"</f>
        <v>1059-335</v>
      </c>
      <c r="G95" s="2">
        <v>100</v>
      </c>
      <c r="H95" t="str">
        <f>"1059-335"</f>
        <v>1059-335</v>
      </c>
    </row>
    <row r="96" spans="1:8" x14ac:dyDescent="0.25">
      <c r="E96" t="str">
        <f>"201904118588"</f>
        <v>201904118588</v>
      </c>
      <c r="F96" t="str">
        <f>"423-6312"</f>
        <v>423-6312</v>
      </c>
      <c r="G96" s="2">
        <v>100</v>
      </c>
      <c r="H96" t="str">
        <f>"423-6312"</f>
        <v>423-6312</v>
      </c>
    </row>
    <row r="97" spans="1:8" x14ac:dyDescent="0.25">
      <c r="E97" t="str">
        <f>"201904118589"</f>
        <v>201904118589</v>
      </c>
      <c r="F97" t="str">
        <f>"1005-21  12/7/18"</f>
        <v>1005-21  12/7/18</v>
      </c>
      <c r="G97" s="2">
        <v>100</v>
      </c>
      <c r="H97" t="str">
        <f>"1005-21"</f>
        <v>1005-21</v>
      </c>
    </row>
    <row r="98" spans="1:8" x14ac:dyDescent="0.25">
      <c r="E98" t="str">
        <f>"201904158645"</f>
        <v>201904158645</v>
      </c>
      <c r="F98" t="str">
        <f>"NO CAUSE # LISTED"</f>
        <v>NO CAUSE # LISTED</v>
      </c>
      <c r="G98" s="2">
        <v>100</v>
      </c>
      <c r="H98" t="str">
        <f>"NO CAUSE # LISTED"</f>
        <v>NO CAUSE # LISTED</v>
      </c>
    </row>
    <row r="99" spans="1:8" x14ac:dyDescent="0.25">
      <c r="A99" t="s">
        <v>31</v>
      </c>
      <c r="B99" s="3">
        <v>81656</v>
      </c>
      <c r="C99" s="2">
        <v>151.38</v>
      </c>
      <c r="D99" s="1">
        <v>43563</v>
      </c>
      <c r="E99" t="str">
        <f>"A46992"</f>
        <v>A46992</v>
      </c>
      <c r="F99" t="str">
        <f>"PARTS/FREIGHT/PCT#1"</f>
        <v>PARTS/FREIGHT/PCT#1</v>
      </c>
      <c r="G99" s="2">
        <v>151.38</v>
      </c>
      <c r="H99" t="str">
        <f>"PARTS/FREIGHT/PCT#1"</f>
        <v>PARTS/FREIGHT/PCT#1</v>
      </c>
    </row>
    <row r="100" spans="1:8" x14ac:dyDescent="0.25">
      <c r="A100" t="s">
        <v>32</v>
      </c>
      <c r="B100" s="3">
        <v>81843</v>
      </c>
      <c r="C100" s="2">
        <v>359.98</v>
      </c>
      <c r="D100" s="1">
        <v>43577</v>
      </c>
      <c r="E100" t="str">
        <f>"201904178725"</f>
        <v>201904178725</v>
      </c>
      <c r="F100" t="str">
        <f>"REIMBURSE HOTEL/MILEAGE"</f>
        <v>REIMBURSE HOTEL/MILEAGE</v>
      </c>
      <c r="G100" s="2">
        <v>359.98</v>
      </c>
      <c r="H100" t="str">
        <f>"REIMBURSE HOTEL/MILEAGE"</f>
        <v>REIMBURSE HOTEL/MILEAGE</v>
      </c>
    </row>
    <row r="101" spans="1:8" x14ac:dyDescent="0.25">
      <c r="A101" t="s">
        <v>33</v>
      </c>
      <c r="B101" s="3">
        <v>81657</v>
      </c>
      <c r="C101" s="2">
        <v>27.04</v>
      </c>
      <c r="D101" s="1">
        <v>43563</v>
      </c>
      <c r="E101" t="str">
        <f>"1903-434897"</f>
        <v>1903-434897</v>
      </c>
      <c r="F101" t="str">
        <f>"ACCT#3-3053/PCT#2"</f>
        <v>ACCT#3-3053/PCT#2</v>
      </c>
      <c r="G101" s="2">
        <v>27.04</v>
      </c>
      <c r="H101" t="str">
        <f>"ACCT#3-3053/PCT#2"</f>
        <v>ACCT#3-3053/PCT#2</v>
      </c>
    </row>
    <row r="102" spans="1:8" x14ac:dyDescent="0.25">
      <c r="A102" t="s">
        <v>34</v>
      </c>
      <c r="B102" s="3">
        <v>81658</v>
      </c>
      <c r="C102" s="2">
        <v>901.93</v>
      </c>
      <c r="D102" s="1">
        <v>43563</v>
      </c>
      <c r="E102" t="str">
        <f>"201904018195"</f>
        <v>201904018195</v>
      </c>
      <c r="F102" t="str">
        <f>"ACCT#010602/COMMISSIONER'S OFF"</f>
        <v>ACCT#010602/COMMISSIONER'S OFF</v>
      </c>
      <c r="G102" s="2">
        <v>46.5</v>
      </c>
      <c r="H102" t="str">
        <f>"ACCT#010602/COMMISSIONER'S OFF"</f>
        <v>ACCT#010602/COMMISSIONER'S OFF</v>
      </c>
    </row>
    <row r="103" spans="1:8" x14ac:dyDescent="0.25">
      <c r="E103" t="str">
        <f>"201904018196"</f>
        <v>201904018196</v>
      </c>
      <c r="F103" t="str">
        <f>"ACCT#012571/TREASURER"</f>
        <v>ACCT#012571/TREASURER</v>
      </c>
      <c r="G103" s="2">
        <v>24</v>
      </c>
      <c r="H103" t="str">
        <f>"ACCT#012571/TREASURER"</f>
        <v>ACCT#012571/TREASURER</v>
      </c>
    </row>
    <row r="104" spans="1:8" x14ac:dyDescent="0.25">
      <c r="E104" t="str">
        <f>"201904018197"</f>
        <v>201904018197</v>
      </c>
      <c r="F104" t="str">
        <f>"ACCT#011033/IT DEPT"</f>
        <v>ACCT#011033/IT DEPT</v>
      </c>
      <c r="G104" s="2">
        <v>39</v>
      </c>
      <c r="H104" t="str">
        <f>"ACCT#011033/IT DEPT"</f>
        <v>ACCT#011033/IT DEPT</v>
      </c>
    </row>
    <row r="105" spans="1:8" x14ac:dyDescent="0.25">
      <c r="E105" t="str">
        <f>"201904018198"</f>
        <v>201904018198</v>
      </c>
      <c r="F105" t="str">
        <f>"ACCT#011955/DISTRICT JUDGE"</f>
        <v>ACCT#011955/DISTRICT JUDGE</v>
      </c>
      <c r="G105" s="2">
        <v>48</v>
      </c>
      <c r="H105" t="str">
        <f>"ACCT#011955/DISTRICT JUDGE"</f>
        <v>ACCT#011955/DISTRICT JUDGE</v>
      </c>
    </row>
    <row r="106" spans="1:8" x14ac:dyDescent="0.25">
      <c r="E106" t="str">
        <f>"201904018199"</f>
        <v>201904018199</v>
      </c>
      <c r="F106" t="str">
        <f>"ACCT#012231/DIST JUDGE OFFICE"</f>
        <v>ACCT#012231/DIST JUDGE OFFICE</v>
      </c>
      <c r="G106" s="2">
        <v>10</v>
      </c>
      <c r="H106" t="str">
        <f>"ACCT#012231/DIST JUDGE OFFICE"</f>
        <v>ACCT#012231/DIST JUDGE OFFICE</v>
      </c>
    </row>
    <row r="107" spans="1:8" x14ac:dyDescent="0.25">
      <c r="E107" t="str">
        <f>"201904018200"</f>
        <v>201904018200</v>
      </c>
      <c r="F107" t="str">
        <f>"ACCT#014877/INDIGENT HEALTH"</f>
        <v>ACCT#014877/INDIGENT HEALTH</v>
      </c>
      <c r="G107" s="2">
        <v>41.99</v>
      </c>
      <c r="H107" t="str">
        <f>"ACCT#014877/INDIGENT HEALTH"</f>
        <v>ACCT#014877/INDIGENT HEALTH</v>
      </c>
    </row>
    <row r="108" spans="1:8" x14ac:dyDescent="0.25">
      <c r="E108" t="str">
        <f>"201904018201"</f>
        <v>201904018201</v>
      </c>
      <c r="F108" t="str">
        <f>"ACCT#010057/AUDITOR"</f>
        <v>ACCT#010057/AUDITOR</v>
      </c>
      <c r="G108" s="2">
        <v>25.5</v>
      </c>
      <c r="H108" t="str">
        <f>"ACCT#010057/AUDITOR"</f>
        <v>ACCT#010057/AUDITOR</v>
      </c>
    </row>
    <row r="109" spans="1:8" x14ac:dyDescent="0.25">
      <c r="E109" t="str">
        <f>"201904018202"</f>
        <v>201904018202</v>
      </c>
      <c r="F109" t="str">
        <f>"ACCT#015476/PURCHASING DEPT"</f>
        <v>ACCT#015476/PURCHASING DEPT</v>
      </c>
      <c r="G109" s="2">
        <v>10.49</v>
      </c>
      <c r="H109" t="str">
        <f>"ACCT#015476/PURCHASING DEPT"</f>
        <v>ACCT#015476/PURCHASING DEPT</v>
      </c>
    </row>
    <row r="110" spans="1:8" x14ac:dyDescent="0.25">
      <c r="E110" t="str">
        <f>"201904018203"</f>
        <v>201904018203</v>
      </c>
      <c r="F110" t="str">
        <f>"ACCT#011280/COUNTY CLERK"</f>
        <v>ACCT#011280/COUNTY CLERK</v>
      </c>
      <c r="G110" s="2">
        <v>54</v>
      </c>
      <c r="H110" t="str">
        <f>"ACCT#011280/COUNTY CLERK"</f>
        <v>ACCT#011280/COUNTY CLERK</v>
      </c>
    </row>
    <row r="111" spans="1:8" x14ac:dyDescent="0.25">
      <c r="E111" t="str">
        <f>"201904018204"</f>
        <v>201904018204</v>
      </c>
      <c r="F111" t="str">
        <f>"ACCT#010238/GEN SVCS"</f>
        <v>ACCT#010238/GEN SVCS</v>
      </c>
      <c r="G111" s="2">
        <v>84.25</v>
      </c>
      <c r="H111" t="str">
        <f>"ACCT#010238/GEN SVCS"</f>
        <v>ACCT#010238/GEN SVCS</v>
      </c>
    </row>
    <row r="112" spans="1:8" x14ac:dyDescent="0.25">
      <c r="E112" t="str">
        <f>"201904018205"</f>
        <v>201904018205</v>
      </c>
      <c r="F112" t="str">
        <f>"ACCT#011474/ELECTIONS"</f>
        <v>ACCT#011474/ELECTIONS</v>
      </c>
      <c r="G112" s="2">
        <v>32.5</v>
      </c>
      <c r="H112" t="str">
        <f>"ACCT#011474/ELECTIONS"</f>
        <v>ACCT#011474/ELECTIONS</v>
      </c>
    </row>
    <row r="113" spans="1:8" x14ac:dyDescent="0.25">
      <c r="E113" t="str">
        <f>"201904018206"</f>
        <v>201904018206</v>
      </c>
      <c r="F113" t="str">
        <f>"ACCT#012259/DIST CLERK"</f>
        <v>ACCT#012259/DIST CLERK</v>
      </c>
      <c r="G113" s="2">
        <v>69</v>
      </c>
      <c r="H113" t="str">
        <f>"ACCT#012259/DIST CLERK"</f>
        <v>ACCT#012259/DIST CLERK</v>
      </c>
    </row>
    <row r="114" spans="1:8" x14ac:dyDescent="0.25">
      <c r="E114" t="str">
        <f>"201904018207"</f>
        <v>201904018207</v>
      </c>
      <c r="F114" t="str">
        <f>"ACCT#013393/HUMAN RESOURCES"</f>
        <v>ACCT#013393/HUMAN RESOURCES</v>
      </c>
      <c r="G114" s="2">
        <v>25</v>
      </c>
      <c r="H114" t="str">
        <f>"ACCT#013393/HUMAN RESOURCES"</f>
        <v>ACCT#013393/HUMAN RESOURCES</v>
      </c>
    </row>
    <row r="115" spans="1:8" x14ac:dyDescent="0.25">
      <c r="E115" t="str">
        <f>"201904028291"</f>
        <v>201904028291</v>
      </c>
      <c r="F115" t="str">
        <f>"ACCT#015538/EMER. COMM"</f>
        <v>ACCT#015538/EMER. COMM</v>
      </c>
      <c r="G115" s="2">
        <v>106.24</v>
      </c>
      <c r="H115" t="str">
        <f>"ACCT#015538/EMER. COMM"</f>
        <v>ACCT#015538/EMER. COMM</v>
      </c>
    </row>
    <row r="116" spans="1:8" x14ac:dyDescent="0.25">
      <c r="E116" t="str">
        <f>"201904028292"</f>
        <v>201904028292</v>
      </c>
      <c r="F116" t="str">
        <f>"ACCT#015199/JP#1"</f>
        <v>ACCT#015199/JP#1</v>
      </c>
      <c r="G116" s="2">
        <v>19.489999999999998</v>
      </c>
      <c r="H116" t="str">
        <f>"ACCT#015199/JP#1"</f>
        <v>ACCT#015199/JP#1</v>
      </c>
    </row>
    <row r="117" spans="1:8" x14ac:dyDescent="0.25">
      <c r="E117" t="str">
        <f>"201904028293"</f>
        <v>201904028293</v>
      </c>
      <c r="F117" t="str">
        <f>"ACCT#010835/COMM PCT#1"</f>
        <v>ACCT#010835/COMM PCT#1</v>
      </c>
      <c r="G117" s="2">
        <v>26.99</v>
      </c>
      <c r="H117" t="str">
        <f>"ACCT#010835/COMM PCT#1"</f>
        <v>ACCT#010835/COMM PCT#1</v>
      </c>
    </row>
    <row r="118" spans="1:8" x14ac:dyDescent="0.25">
      <c r="E118" t="str">
        <f>"201904028299"</f>
        <v>201904028299</v>
      </c>
      <c r="F118" t="str">
        <f>"ACCT#012803/JUDGE"</f>
        <v>ACCT#012803/JUDGE</v>
      </c>
      <c r="G118" s="2">
        <v>9</v>
      </c>
      <c r="H118" t="str">
        <f>"ACCT#012803/JUDGE"</f>
        <v>ACCT#012803/JUDGE</v>
      </c>
    </row>
    <row r="119" spans="1:8" x14ac:dyDescent="0.25">
      <c r="E119" t="str">
        <f>"201904028303"</f>
        <v>201904028303</v>
      </c>
      <c r="F119" t="str">
        <f>"ACCT#010311/COUNTY CT AT LAW"</f>
        <v>ACCT#010311/COUNTY CT AT LAW</v>
      </c>
      <c r="G119" s="2">
        <v>43.5</v>
      </c>
      <c r="H119" t="str">
        <f>"ACCT#010311/COUNTY CT AT LAW"</f>
        <v>ACCT#010311/COUNTY CT AT LAW</v>
      </c>
    </row>
    <row r="120" spans="1:8" x14ac:dyDescent="0.25">
      <c r="E120" t="str">
        <f>"201904028312"</f>
        <v>201904028312</v>
      </c>
      <c r="F120" t="str">
        <f>"ACCT#010149/TEXAS AGRI LIFE EX"</f>
        <v>ACCT#010149/TEXAS AGRI LIFE EX</v>
      </c>
      <c r="G120" s="2">
        <v>35.49</v>
      </c>
      <c r="H120" t="str">
        <f>"ACCT#010149/TEXAS AGRI LIFE EX"</f>
        <v>ACCT#010149/TEXAS AGRI LIFE EX</v>
      </c>
    </row>
    <row r="121" spans="1:8" x14ac:dyDescent="0.25">
      <c r="E121" t="str">
        <f>"201904038352"</f>
        <v>201904038352</v>
      </c>
      <c r="F121" t="str">
        <f>"ACCT#014737/ANIMAL SVCS"</f>
        <v>ACCT#014737/ANIMAL SVCS</v>
      </c>
      <c r="G121" s="2">
        <v>48.99</v>
      </c>
      <c r="H121" t="str">
        <f>"ACCT#014737/ANIMAL SVCS"</f>
        <v>ACCT#014737/ANIMAL SVCS</v>
      </c>
    </row>
    <row r="122" spans="1:8" x14ac:dyDescent="0.25">
      <c r="E122" t="str">
        <f>"201904038426"</f>
        <v>201904038426</v>
      </c>
      <c r="F122" t="str">
        <f>"ACCT#012260/DIST ATTORNEY'S OF"</f>
        <v>ACCT#012260/DIST ATTORNEY'S OF</v>
      </c>
      <c r="G122" s="2">
        <v>102</v>
      </c>
      <c r="H122" t="str">
        <f>"ACCT#012260/DIST ATTORNEY'S OF"</f>
        <v>ACCT#012260/DIST ATTORNEY'S OF</v>
      </c>
    </row>
    <row r="123" spans="1:8" x14ac:dyDescent="0.25">
      <c r="A123" t="s">
        <v>35</v>
      </c>
      <c r="B123" s="3">
        <v>81642</v>
      </c>
      <c r="C123" s="2">
        <v>1086.75</v>
      </c>
      <c r="D123" s="1">
        <v>43560</v>
      </c>
      <c r="E123" t="str">
        <f>"201904058495"</f>
        <v>201904058495</v>
      </c>
      <c r="F123" t="str">
        <f>"ACCT#0102120801 / 04012019"</f>
        <v>ACCT#0102120801 / 04012019</v>
      </c>
      <c r="G123" s="2">
        <v>25.28</v>
      </c>
      <c r="H123" t="str">
        <f>"ACCT#0102120801 / 04012019"</f>
        <v>ACCT#0102120801 / 04012019</v>
      </c>
    </row>
    <row r="124" spans="1:8" x14ac:dyDescent="0.25">
      <c r="E124" t="str">
        <f>"201904058496"</f>
        <v>201904058496</v>
      </c>
      <c r="F124" t="str">
        <f>"ACCT#0201855301 / 04012019"</f>
        <v>ACCT#0201855301 / 04012019</v>
      </c>
      <c r="G124" s="2">
        <v>31.86</v>
      </c>
      <c r="H124" t="str">
        <f>"ACCT#0201855301 / 04012019"</f>
        <v>ACCT#0201855301 / 04012019</v>
      </c>
    </row>
    <row r="125" spans="1:8" x14ac:dyDescent="0.25">
      <c r="E125" t="str">
        <f>"201904058497"</f>
        <v>201904058497</v>
      </c>
      <c r="F125" t="str">
        <f>"ACCT#0201891401 / 04012019"</f>
        <v>ACCT#0201891401 / 04012019</v>
      </c>
      <c r="G125" s="2">
        <v>60.87</v>
      </c>
      <c r="H125" t="str">
        <f>"ACCT#0201891401 / 04012019"</f>
        <v>ACCT#0201891401 / 04012019</v>
      </c>
    </row>
    <row r="126" spans="1:8" x14ac:dyDescent="0.25">
      <c r="E126" t="str">
        <f>"201904058498"</f>
        <v>201904058498</v>
      </c>
      <c r="F126" t="str">
        <f>"ACCT#0400785803 / 04012019"</f>
        <v>ACCT#0400785803 / 04012019</v>
      </c>
      <c r="G126" s="2">
        <v>266.68</v>
      </c>
      <c r="H126" t="str">
        <f>"ACCT#0400785803 / 04012019"</f>
        <v>ACCT#0400785803 / 04012019</v>
      </c>
    </row>
    <row r="127" spans="1:8" x14ac:dyDescent="0.25">
      <c r="E127" t="str">
        <f>"201904058499"</f>
        <v>201904058499</v>
      </c>
      <c r="F127" t="str">
        <f>"ACCT#0401408501 / 04012019"</f>
        <v>ACCT#0401408501 / 04012019</v>
      </c>
      <c r="G127" s="2">
        <v>663.63</v>
      </c>
      <c r="H127" t="str">
        <f>"ACCT#0401408501 / 04012019"</f>
        <v>ACCT#0401408501 / 04012019</v>
      </c>
    </row>
    <row r="128" spans="1:8" x14ac:dyDescent="0.25">
      <c r="E128" t="str">
        <f>"201904058500"</f>
        <v>201904058500</v>
      </c>
      <c r="F128" t="str">
        <f>"ACCT#0800042801 / 04012019"</f>
        <v>ACCT#0800042801 / 04012019</v>
      </c>
      <c r="G128" s="2">
        <v>38.43</v>
      </c>
      <c r="H128" t="str">
        <f>"ACCT#0800042801 / 04012019"</f>
        <v>ACCT#0800042801 / 04012019</v>
      </c>
    </row>
    <row r="129" spans="1:8" x14ac:dyDescent="0.25">
      <c r="A129" t="s">
        <v>36</v>
      </c>
      <c r="B129" s="3">
        <v>81844</v>
      </c>
      <c r="C129" s="2">
        <v>151.83000000000001</v>
      </c>
      <c r="D129" s="1">
        <v>43577</v>
      </c>
      <c r="E129" t="str">
        <f>"4522*09011*1"</f>
        <v>4522*09011*1</v>
      </c>
      <c r="F129" t="str">
        <f>"JAIL MEDICAL"</f>
        <v>JAIL MEDICAL</v>
      </c>
      <c r="G129" s="2">
        <v>151.83000000000001</v>
      </c>
      <c r="H129" t="str">
        <f>"JAIL MEDICAL"</f>
        <v>JAIL MEDICAL</v>
      </c>
    </row>
    <row r="130" spans="1:8" x14ac:dyDescent="0.25">
      <c r="A130" t="s">
        <v>37</v>
      </c>
      <c r="B130" s="3">
        <v>81659</v>
      </c>
      <c r="C130" s="2">
        <v>35</v>
      </c>
      <c r="D130" s="1">
        <v>43563</v>
      </c>
      <c r="E130" t="str">
        <f>"201904038366"</f>
        <v>201904038366</v>
      </c>
      <c r="F130" t="str">
        <f>"PER DIEM"</f>
        <v>PER DIEM</v>
      </c>
      <c r="G130" s="2">
        <v>35</v>
      </c>
      <c r="H130" t="str">
        <f>"PER DIEM"</f>
        <v>PER DIEM</v>
      </c>
    </row>
    <row r="131" spans="1:8" x14ac:dyDescent="0.25">
      <c r="A131" t="s">
        <v>38</v>
      </c>
      <c r="B131" s="3">
        <v>642</v>
      </c>
      <c r="C131" s="2">
        <v>15891.5</v>
      </c>
      <c r="D131" s="1">
        <v>43564</v>
      </c>
      <c r="E131" t="str">
        <f>"14833"</f>
        <v>14833</v>
      </c>
      <c r="F131" t="str">
        <f>"PROJ NAME:BC FEB ADV"</f>
        <v>PROJ NAME:BC FEB ADV</v>
      </c>
      <c r="G131" s="2">
        <v>10466.5</v>
      </c>
      <c r="H131" t="str">
        <f>"PROJ NAME:BC FEB ADV"</f>
        <v>PROJ NAME:BC FEB ADV</v>
      </c>
    </row>
    <row r="132" spans="1:8" x14ac:dyDescent="0.25">
      <c r="E132" t="str">
        <f>"14834"</f>
        <v>14834</v>
      </c>
      <c r="F132" t="str">
        <f>"PROJ NAME:BC FEB PRO SERV"</f>
        <v>PROJ NAME:BC FEB PRO SERV</v>
      </c>
      <c r="G132" s="2">
        <v>5425</v>
      </c>
      <c r="H132" t="str">
        <f>"PROJ NAME:BC FEB PRO SERV"</f>
        <v>PROJ NAME:BC FEB PRO SERV</v>
      </c>
    </row>
    <row r="133" spans="1:8" x14ac:dyDescent="0.25">
      <c r="A133" t="s">
        <v>38</v>
      </c>
      <c r="B133" s="3">
        <v>698</v>
      </c>
      <c r="C133" s="2">
        <v>22762.59</v>
      </c>
      <c r="D133" s="1">
        <v>43578</v>
      </c>
      <c r="E133" t="str">
        <f>"14846"</f>
        <v>14846</v>
      </c>
      <c r="F133" t="str">
        <f>"PROJ NAME:BC MARCH ADV"</f>
        <v>PROJ NAME:BC MARCH ADV</v>
      </c>
      <c r="G133" s="2">
        <v>13837.59</v>
      </c>
      <c r="H133" t="str">
        <f>"PROJ NAME:BC MARCH ADV"</f>
        <v>PROJ NAME:BC MARCH ADV</v>
      </c>
    </row>
    <row r="134" spans="1:8" x14ac:dyDescent="0.25">
      <c r="E134" t="str">
        <f>"14847"</f>
        <v>14847</v>
      </c>
      <c r="F134" t="str">
        <f>"PROJ NAME:BC MARCH PRO SERV"</f>
        <v>PROJ NAME:BC MARCH PRO SERV</v>
      </c>
      <c r="G134" s="2">
        <v>8925</v>
      </c>
      <c r="H134" t="str">
        <f>"PROJ NAME:BC MARCH PRO SERV"</f>
        <v>PROJ NAME:BC MARCH PRO SERV</v>
      </c>
    </row>
    <row r="135" spans="1:8" x14ac:dyDescent="0.25">
      <c r="A135" t="s">
        <v>39</v>
      </c>
      <c r="B135" s="3">
        <v>81660</v>
      </c>
      <c r="C135" s="2">
        <v>77.14</v>
      </c>
      <c r="D135" s="1">
        <v>43563</v>
      </c>
      <c r="E135" t="str">
        <f>"RSA024924-1"</f>
        <v>RSA024924-1</v>
      </c>
      <c r="F135" t="str">
        <f>"CUST#BP0020882/PCT#4"</f>
        <v>CUST#BP0020882/PCT#4</v>
      </c>
      <c r="G135" s="2">
        <v>77.14</v>
      </c>
      <c r="H135" t="str">
        <f>"CUST#BP0020882/PCT#4"</f>
        <v>CUST#BP0020882/PCT#4</v>
      </c>
    </row>
    <row r="136" spans="1:8" x14ac:dyDescent="0.25">
      <c r="A136" t="s">
        <v>40</v>
      </c>
      <c r="B136" s="3">
        <v>81661</v>
      </c>
      <c r="C136" s="2">
        <v>47.63</v>
      </c>
      <c r="D136" s="1">
        <v>43563</v>
      </c>
      <c r="E136" t="str">
        <f>"201904038358"</f>
        <v>201904038358</v>
      </c>
      <c r="F136" t="str">
        <f>"REIMBURSE-BUSINESS CARDS/HOLDE"</f>
        <v>REIMBURSE-BUSINESS CARDS/HOLDE</v>
      </c>
      <c r="G136" s="2">
        <v>47.63</v>
      </c>
      <c r="H136" t="str">
        <f>"REIMBURSE-BUSINESS CARDS/HOLDE"</f>
        <v>REIMBURSE-BUSINESS CARDS/HOLDE</v>
      </c>
    </row>
    <row r="137" spans="1:8" x14ac:dyDescent="0.25">
      <c r="A137" t="s">
        <v>41</v>
      </c>
      <c r="B137" s="3">
        <v>81662</v>
      </c>
      <c r="C137" s="2">
        <v>5569.71</v>
      </c>
      <c r="D137" s="1">
        <v>43563</v>
      </c>
      <c r="E137" t="str">
        <f>"201903288133"</f>
        <v>201903288133</v>
      </c>
      <c r="F137" t="str">
        <f>"ACCT#512A49-0048 193 3"</f>
        <v>ACCT#512A49-0048 193 3</v>
      </c>
      <c r="G137" s="2">
        <v>5569.71</v>
      </c>
      <c r="H137" t="str">
        <f>"ACCT#512A49-0048 193 3"</f>
        <v>ACCT#512A49-0048 193 3</v>
      </c>
    </row>
    <row r="138" spans="1:8" x14ac:dyDescent="0.25">
      <c r="E138" t="str">
        <f>""</f>
        <v/>
      </c>
      <c r="F138" t="str">
        <f>""</f>
        <v/>
      </c>
      <c r="H138" t="str">
        <f>"ACCT#512A49-0048 193 3"</f>
        <v>ACCT#512A49-0048 193 3</v>
      </c>
    </row>
    <row r="139" spans="1:8" x14ac:dyDescent="0.25">
      <c r="E139" t="str">
        <f>""</f>
        <v/>
      </c>
      <c r="F139" t="str">
        <f>""</f>
        <v/>
      </c>
      <c r="H139" t="str">
        <f>"ACCT#512A49-0048 193 3"</f>
        <v>ACCT#512A49-0048 193 3</v>
      </c>
    </row>
    <row r="140" spans="1:8" x14ac:dyDescent="0.25">
      <c r="E140" t="str">
        <f>""</f>
        <v/>
      </c>
      <c r="F140" t="str">
        <f>""</f>
        <v/>
      </c>
      <c r="H140" t="str">
        <f>"ACCT#512A49-0048 193 3"</f>
        <v>ACCT#512A49-0048 193 3</v>
      </c>
    </row>
    <row r="141" spans="1:8" x14ac:dyDescent="0.25">
      <c r="A141" t="s">
        <v>42</v>
      </c>
      <c r="B141" s="3">
        <v>81663</v>
      </c>
      <c r="C141" s="2">
        <v>4559.32</v>
      </c>
      <c r="D141" s="1">
        <v>43563</v>
      </c>
      <c r="E141" t="str">
        <f>"4502327409"</f>
        <v>4502327409</v>
      </c>
      <c r="F141" t="str">
        <f>"ACCT#831-000-7919 623"</f>
        <v>ACCT#831-000-7919 623</v>
      </c>
      <c r="G141" s="2">
        <v>2000.38</v>
      </c>
      <c r="H141" t="str">
        <f>"ACCT#831-000-7919 623"</f>
        <v>ACCT#831-000-7919 623</v>
      </c>
    </row>
    <row r="142" spans="1:8" x14ac:dyDescent="0.25">
      <c r="E142" t="str">
        <f>"4597386402"</f>
        <v>4597386402</v>
      </c>
      <c r="F142" t="str">
        <f>"ACCT#831-000-7218 923"</f>
        <v>ACCT#831-000-7218 923</v>
      </c>
      <c r="G142" s="2">
        <v>874.25</v>
      </c>
      <c r="H142" t="str">
        <f>"ACCT#831-000-7218 923"</f>
        <v>ACCT#831-000-7218 923</v>
      </c>
    </row>
    <row r="143" spans="1:8" x14ac:dyDescent="0.25">
      <c r="E143" t="str">
        <f>"9182407407"</f>
        <v>9182407407</v>
      </c>
      <c r="F143" t="str">
        <f>"ACCT#831-000-6084 095"</f>
        <v>ACCT#831-000-6084 095</v>
      </c>
      <c r="G143" s="2">
        <v>1684.69</v>
      </c>
      <c r="H143" t="str">
        <f>"ACCT#831-000-6084 095"</f>
        <v>ACCT#831-000-6084 095</v>
      </c>
    </row>
    <row r="144" spans="1:8" x14ac:dyDescent="0.25">
      <c r="A144" t="s">
        <v>43</v>
      </c>
      <c r="B144" s="3">
        <v>81664</v>
      </c>
      <c r="C144" s="2">
        <v>5848.69</v>
      </c>
      <c r="D144" s="1">
        <v>43563</v>
      </c>
      <c r="E144" t="str">
        <f>"14571118"</f>
        <v>14571118</v>
      </c>
      <c r="F144" t="str">
        <f>"FAN#BES07964068"</f>
        <v>FAN#BES07964068</v>
      </c>
      <c r="G144" s="2">
        <v>2908.93</v>
      </c>
      <c r="H144" t="str">
        <f t="shared" ref="H144:H149" si="2">"FAN#BES07964068"</f>
        <v>FAN#BES07964068</v>
      </c>
    </row>
    <row r="145" spans="1:8" x14ac:dyDescent="0.25">
      <c r="E145" t="str">
        <f>""</f>
        <v/>
      </c>
      <c r="F145" t="str">
        <f>""</f>
        <v/>
      </c>
      <c r="H145" t="str">
        <f t="shared" si="2"/>
        <v>FAN#BES07964068</v>
      </c>
    </row>
    <row r="146" spans="1:8" x14ac:dyDescent="0.25">
      <c r="E146" t="str">
        <f>""</f>
        <v/>
      </c>
      <c r="F146" t="str">
        <f>""</f>
        <v/>
      </c>
      <c r="H146" t="str">
        <f t="shared" si="2"/>
        <v>FAN#BES07964068</v>
      </c>
    </row>
    <row r="147" spans="1:8" x14ac:dyDescent="0.25">
      <c r="E147" t="str">
        <f>""</f>
        <v/>
      </c>
      <c r="F147" t="str">
        <f>""</f>
        <v/>
      </c>
      <c r="H147" t="str">
        <f t="shared" si="2"/>
        <v>FAN#BES07964068</v>
      </c>
    </row>
    <row r="148" spans="1:8" x14ac:dyDescent="0.25">
      <c r="E148" t="str">
        <f>""</f>
        <v/>
      </c>
      <c r="F148" t="str">
        <f>""</f>
        <v/>
      </c>
      <c r="H148" t="str">
        <f t="shared" si="2"/>
        <v>FAN#BES07964068</v>
      </c>
    </row>
    <row r="149" spans="1:8" x14ac:dyDescent="0.25">
      <c r="E149" t="str">
        <f>""</f>
        <v/>
      </c>
      <c r="F149" t="str">
        <f>""</f>
        <v/>
      </c>
      <c r="H149" t="str">
        <f t="shared" si="2"/>
        <v>FAN#BES07964068</v>
      </c>
    </row>
    <row r="150" spans="1:8" x14ac:dyDescent="0.25">
      <c r="E150" t="str">
        <f>"14681481"</f>
        <v>14681481</v>
      </c>
      <c r="F150" t="str">
        <f>"FAN#BES07964068/01/20-02/19"</f>
        <v>FAN#BES07964068/01/20-02/19</v>
      </c>
      <c r="G150" s="2">
        <v>2939.76</v>
      </c>
      <c r="H150" t="str">
        <f t="shared" ref="H150:H155" si="3">"FAN#BES07964068/01/20-02/19"</f>
        <v>FAN#BES07964068/01/20-02/19</v>
      </c>
    </row>
    <row r="151" spans="1:8" x14ac:dyDescent="0.25">
      <c r="E151" t="str">
        <f>""</f>
        <v/>
      </c>
      <c r="F151" t="str">
        <f>""</f>
        <v/>
      </c>
      <c r="H151" t="str">
        <f t="shared" si="3"/>
        <v>FAN#BES07964068/01/20-02/19</v>
      </c>
    </row>
    <row r="152" spans="1:8" x14ac:dyDescent="0.25">
      <c r="E152" t="str">
        <f>""</f>
        <v/>
      </c>
      <c r="F152" t="str">
        <f>""</f>
        <v/>
      </c>
      <c r="H152" t="str">
        <f t="shared" si="3"/>
        <v>FAN#BES07964068/01/20-02/19</v>
      </c>
    </row>
    <row r="153" spans="1:8" x14ac:dyDescent="0.25">
      <c r="E153" t="str">
        <f>""</f>
        <v/>
      </c>
      <c r="F153" t="str">
        <f>""</f>
        <v/>
      </c>
      <c r="H153" t="str">
        <f t="shared" si="3"/>
        <v>FAN#BES07964068/01/20-02/19</v>
      </c>
    </row>
    <row r="154" spans="1:8" x14ac:dyDescent="0.25">
      <c r="E154" t="str">
        <f>""</f>
        <v/>
      </c>
      <c r="F154" t="str">
        <f>""</f>
        <v/>
      </c>
      <c r="H154" t="str">
        <f t="shared" si="3"/>
        <v>FAN#BES07964068/01/20-02/19</v>
      </c>
    </row>
    <row r="155" spans="1:8" x14ac:dyDescent="0.25">
      <c r="E155" t="str">
        <f>""</f>
        <v/>
      </c>
      <c r="F155" t="str">
        <f>""</f>
        <v/>
      </c>
      <c r="H155" t="str">
        <f t="shared" si="3"/>
        <v>FAN#BES07964068/01/20-02/19</v>
      </c>
    </row>
    <row r="156" spans="1:8" x14ac:dyDescent="0.25">
      <c r="A156" t="s">
        <v>43</v>
      </c>
      <c r="B156" s="3">
        <v>81665</v>
      </c>
      <c r="C156" s="2">
        <v>1496.32</v>
      </c>
      <c r="D156" s="1">
        <v>43563</v>
      </c>
      <c r="E156" t="str">
        <f>"287263291654X03202"</f>
        <v>287263291654X03202</v>
      </c>
      <c r="F156" t="str">
        <f>"ACCT#287263291654"</f>
        <v>ACCT#287263291654</v>
      </c>
      <c r="G156" s="2">
        <v>1278.68</v>
      </c>
      <c r="H156" t="str">
        <f t="shared" ref="H156:H171" si="4">"ACCT#287263291654"</f>
        <v>ACCT#287263291654</v>
      </c>
    </row>
    <row r="157" spans="1:8" x14ac:dyDescent="0.25">
      <c r="E157" t="str">
        <f>""</f>
        <v/>
      </c>
      <c r="F157" t="str">
        <f>""</f>
        <v/>
      </c>
      <c r="H157" t="str">
        <f t="shared" si="4"/>
        <v>ACCT#287263291654</v>
      </c>
    </row>
    <row r="158" spans="1:8" x14ac:dyDescent="0.25">
      <c r="E158" t="str">
        <f>""</f>
        <v/>
      </c>
      <c r="F158" t="str">
        <f>""</f>
        <v/>
      </c>
      <c r="H158" t="str">
        <f t="shared" si="4"/>
        <v>ACCT#287263291654</v>
      </c>
    </row>
    <row r="159" spans="1:8" x14ac:dyDescent="0.25">
      <c r="E159" t="str">
        <f>""</f>
        <v/>
      </c>
      <c r="F159" t="str">
        <f>""</f>
        <v/>
      </c>
      <c r="H159" t="str">
        <f t="shared" si="4"/>
        <v>ACCT#287263291654</v>
      </c>
    </row>
    <row r="160" spans="1:8" x14ac:dyDescent="0.25">
      <c r="E160" t="str">
        <f>""</f>
        <v/>
      </c>
      <c r="F160" t="str">
        <f>""</f>
        <v/>
      </c>
      <c r="H160" t="str">
        <f t="shared" si="4"/>
        <v>ACCT#287263291654</v>
      </c>
    </row>
    <row r="161" spans="1:8" x14ac:dyDescent="0.25">
      <c r="E161" t="str">
        <f>""</f>
        <v/>
      </c>
      <c r="F161" t="str">
        <f>""</f>
        <v/>
      </c>
      <c r="H161" t="str">
        <f t="shared" si="4"/>
        <v>ACCT#287263291654</v>
      </c>
    </row>
    <row r="162" spans="1:8" x14ac:dyDescent="0.25">
      <c r="E162" t="str">
        <f>""</f>
        <v/>
      </c>
      <c r="F162" t="str">
        <f>""</f>
        <v/>
      </c>
      <c r="H162" t="str">
        <f t="shared" si="4"/>
        <v>ACCT#287263291654</v>
      </c>
    </row>
    <row r="163" spans="1:8" x14ac:dyDescent="0.25">
      <c r="E163" t="str">
        <f>""</f>
        <v/>
      </c>
      <c r="F163" t="str">
        <f>""</f>
        <v/>
      </c>
      <c r="H163" t="str">
        <f t="shared" si="4"/>
        <v>ACCT#287263291654</v>
      </c>
    </row>
    <row r="164" spans="1:8" x14ac:dyDescent="0.25">
      <c r="E164" t="str">
        <f>""</f>
        <v/>
      </c>
      <c r="F164" t="str">
        <f>""</f>
        <v/>
      </c>
      <c r="H164" t="str">
        <f t="shared" si="4"/>
        <v>ACCT#287263291654</v>
      </c>
    </row>
    <row r="165" spans="1:8" x14ac:dyDescent="0.25">
      <c r="E165" t="str">
        <f>""</f>
        <v/>
      </c>
      <c r="F165" t="str">
        <f>""</f>
        <v/>
      </c>
      <c r="H165" t="str">
        <f t="shared" si="4"/>
        <v>ACCT#287263291654</v>
      </c>
    </row>
    <row r="166" spans="1:8" x14ac:dyDescent="0.25">
      <c r="E166" t="str">
        <f>""</f>
        <v/>
      </c>
      <c r="F166" t="str">
        <f>""</f>
        <v/>
      </c>
      <c r="H166" t="str">
        <f t="shared" si="4"/>
        <v>ACCT#287263291654</v>
      </c>
    </row>
    <row r="167" spans="1:8" x14ac:dyDescent="0.25">
      <c r="E167" t="str">
        <f>""</f>
        <v/>
      </c>
      <c r="F167" t="str">
        <f>""</f>
        <v/>
      </c>
      <c r="H167" t="str">
        <f t="shared" si="4"/>
        <v>ACCT#287263291654</v>
      </c>
    </row>
    <row r="168" spans="1:8" x14ac:dyDescent="0.25">
      <c r="E168" t="str">
        <f>""</f>
        <v/>
      </c>
      <c r="F168" t="str">
        <f>""</f>
        <v/>
      </c>
      <c r="H168" t="str">
        <f t="shared" si="4"/>
        <v>ACCT#287263291654</v>
      </c>
    </row>
    <row r="169" spans="1:8" x14ac:dyDescent="0.25">
      <c r="E169" t="str">
        <f>""</f>
        <v/>
      </c>
      <c r="F169" t="str">
        <f>""</f>
        <v/>
      </c>
      <c r="H169" t="str">
        <f t="shared" si="4"/>
        <v>ACCT#287263291654</v>
      </c>
    </row>
    <row r="170" spans="1:8" x14ac:dyDescent="0.25">
      <c r="E170" t="str">
        <f>""</f>
        <v/>
      </c>
      <c r="F170" t="str">
        <f>""</f>
        <v/>
      </c>
      <c r="H170" t="str">
        <f t="shared" si="4"/>
        <v>ACCT#287263291654</v>
      </c>
    </row>
    <row r="171" spans="1:8" x14ac:dyDescent="0.25">
      <c r="E171" t="str">
        <f>""</f>
        <v/>
      </c>
      <c r="F171" t="str">
        <f>""</f>
        <v/>
      </c>
      <c r="H171" t="str">
        <f t="shared" si="4"/>
        <v>ACCT#287263291654</v>
      </c>
    </row>
    <row r="172" spans="1:8" x14ac:dyDescent="0.25">
      <c r="E172" t="str">
        <f>"80903541X03202019"</f>
        <v>80903541X03202019</v>
      </c>
      <c r="F172" t="str">
        <f>"287280903541X03202019"</f>
        <v>287280903541X03202019</v>
      </c>
      <c r="G172" s="2">
        <v>217.64</v>
      </c>
      <c r="H172" t="str">
        <f>"287280903541X03202019"</f>
        <v>287280903541X03202019</v>
      </c>
    </row>
    <row r="173" spans="1:8" x14ac:dyDescent="0.25">
      <c r="A173" t="s">
        <v>43</v>
      </c>
      <c r="B173" s="3">
        <v>81845</v>
      </c>
      <c r="C173" s="2">
        <v>2908.93</v>
      </c>
      <c r="D173" s="1">
        <v>43577</v>
      </c>
      <c r="E173" t="str">
        <f>"14792957"</f>
        <v>14792957</v>
      </c>
      <c r="F173" t="str">
        <f>"FAN#BES07964068"</f>
        <v>FAN#BES07964068</v>
      </c>
      <c r="G173" s="2">
        <v>2908.93</v>
      </c>
      <c r="H173" t="str">
        <f t="shared" ref="H173:H178" si="5">"FAN#BES07964068"</f>
        <v>FAN#BES07964068</v>
      </c>
    </row>
    <row r="174" spans="1:8" x14ac:dyDescent="0.25">
      <c r="E174" t="str">
        <f>""</f>
        <v/>
      </c>
      <c r="F174" t="str">
        <f>""</f>
        <v/>
      </c>
      <c r="H174" t="str">
        <f t="shared" si="5"/>
        <v>FAN#BES07964068</v>
      </c>
    </row>
    <row r="175" spans="1:8" x14ac:dyDescent="0.25">
      <c r="E175" t="str">
        <f>""</f>
        <v/>
      </c>
      <c r="F175" t="str">
        <f>""</f>
        <v/>
      </c>
      <c r="H175" t="str">
        <f t="shared" si="5"/>
        <v>FAN#BES07964068</v>
      </c>
    </row>
    <row r="176" spans="1:8" x14ac:dyDescent="0.25">
      <c r="E176" t="str">
        <f>""</f>
        <v/>
      </c>
      <c r="F176" t="str">
        <f>""</f>
        <v/>
      </c>
      <c r="H176" t="str">
        <f t="shared" si="5"/>
        <v>FAN#BES07964068</v>
      </c>
    </row>
    <row r="177" spans="1:8" x14ac:dyDescent="0.25">
      <c r="E177" t="str">
        <f>""</f>
        <v/>
      </c>
      <c r="F177" t="str">
        <f>""</f>
        <v/>
      </c>
      <c r="H177" t="str">
        <f t="shared" si="5"/>
        <v>FAN#BES07964068</v>
      </c>
    </row>
    <row r="178" spans="1:8" x14ac:dyDescent="0.25">
      <c r="E178" t="str">
        <f>""</f>
        <v/>
      </c>
      <c r="F178" t="str">
        <f>""</f>
        <v/>
      </c>
      <c r="H178" t="str">
        <f t="shared" si="5"/>
        <v>FAN#BES07964068</v>
      </c>
    </row>
    <row r="179" spans="1:8" x14ac:dyDescent="0.25">
      <c r="A179" t="s">
        <v>43</v>
      </c>
      <c r="B179" s="3">
        <v>81846</v>
      </c>
      <c r="C179" s="2">
        <v>1356.86</v>
      </c>
      <c r="D179" s="1">
        <v>43577</v>
      </c>
      <c r="E179" t="str">
        <f>"287263291654X04202"</f>
        <v>287263291654X04202</v>
      </c>
      <c r="F179" t="str">
        <f>"ACCT#287263291654"</f>
        <v>ACCT#287263291654</v>
      </c>
      <c r="G179" s="2">
        <v>1356.86</v>
      </c>
      <c r="H179" t="str">
        <f t="shared" ref="H179:H194" si="6">"ACCT#287263291654"</f>
        <v>ACCT#287263291654</v>
      </c>
    </row>
    <row r="180" spans="1:8" x14ac:dyDescent="0.25">
      <c r="E180" t="str">
        <f>""</f>
        <v/>
      </c>
      <c r="F180" t="str">
        <f>""</f>
        <v/>
      </c>
      <c r="H180" t="str">
        <f t="shared" si="6"/>
        <v>ACCT#287263291654</v>
      </c>
    </row>
    <row r="181" spans="1:8" x14ac:dyDescent="0.25">
      <c r="E181" t="str">
        <f>""</f>
        <v/>
      </c>
      <c r="F181" t="str">
        <f>""</f>
        <v/>
      </c>
      <c r="H181" t="str">
        <f t="shared" si="6"/>
        <v>ACCT#287263291654</v>
      </c>
    </row>
    <row r="182" spans="1:8" x14ac:dyDescent="0.25">
      <c r="E182" t="str">
        <f>""</f>
        <v/>
      </c>
      <c r="F182" t="str">
        <f>""</f>
        <v/>
      </c>
      <c r="H182" t="str">
        <f t="shared" si="6"/>
        <v>ACCT#287263291654</v>
      </c>
    </row>
    <row r="183" spans="1:8" x14ac:dyDescent="0.25">
      <c r="E183" t="str">
        <f>""</f>
        <v/>
      </c>
      <c r="F183" t="str">
        <f>""</f>
        <v/>
      </c>
      <c r="H183" t="str">
        <f t="shared" si="6"/>
        <v>ACCT#287263291654</v>
      </c>
    </row>
    <row r="184" spans="1:8" x14ac:dyDescent="0.25">
      <c r="E184" t="str">
        <f>""</f>
        <v/>
      </c>
      <c r="F184" t="str">
        <f>""</f>
        <v/>
      </c>
      <c r="H184" t="str">
        <f t="shared" si="6"/>
        <v>ACCT#287263291654</v>
      </c>
    </row>
    <row r="185" spans="1:8" x14ac:dyDescent="0.25">
      <c r="E185" t="str">
        <f>""</f>
        <v/>
      </c>
      <c r="F185" t="str">
        <f>""</f>
        <v/>
      </c>
      <c r="H185" t="str">
        <f t="shared" si="6"/>
        <v>ACCT#287263291654</v>
      </c>
    </row>
    <row r="186" spans="1:8" x14ac:dyDescent="0.25">
      <c r="E186" t="str">
        <f>""</f>
        <v/>
      </c>
      <c r="F186" t="str">
        <f>""</f>
        <v/>
      </c>
      <c r="H186" t="str">
        <f t="shared" si="6"/>
        <v>ACCT#287263291654</v>
      </c>
    </row>
    <row r="187" spans="1:8" x14ac:dyDescent="0.25">
      <c r="E187" t="str">
        <f>""</f>
        <v/>
      </c>
      <c r="F187" t="str">
        <f>""</f>
        <v/>
      </c>
      <c r="H187" t="str">
        <f t="shared" si="6"/>
        <v>ACCT#287263291654</v>
      </c>
    </row>
    <row r="188" spans="1:8" x14ac:dyDescent="0.25">
      <c r="E188" t="str">
        <f>""</f>
        <v/>
      </c>
      <c r="F188" t="str">
        <f>""</f>
        <v/>
      </c>
      <c r="H188" t="str">
        <f t="shared" si="6"/>
        <v>ACCT#287263291654</v>
      </c>
    </row>
    <row r="189" spans="1:8" x14ac:dyDescent="0.25">
      <c r="E189" t="str">
        <f>""</f>
        <v/>
      </c>
      <c r="F189" t="str">
        <f>""</f>
        <v/>
      </c>
      <c r="H189" t="str">
        <f t="shared" si="6"/>
        <v>ACCT#287263291654</v>
      </c>
    </row>
    <row r="190" spans="1:8" x14ac:dyDescent="0.25">
      <c r="E190" t="str">
        <f>""</f>
        <v/>
      </c>
      <c r="F190" t="str">
        <f>""</f>
        <v/>
      </c>
      <c r="H190" t="str">
        <f t="shared" si="6"/>
        <v>ACCT#287263291654</v>
      </c>
    </row>
    <row r="191" spans="1:8" x14ac:dyDescent="0.25">
      <c r="E191" t="str">
        <f>""</f>
        <v/>
      </c>
      <c r="F191" t="str">
        <f>""</f>
        <v/>
      </c>
      <c r="H191" t="str">
        <f t="shared" si="6"/>
        <v>ACCT#287263291654</v>
      </c>
    </row>
    <row r="192" spans="1:8" x14ac:dyDescent="0.25">
      <c r="E192" t="str">
        <f>""</f>
        <v/>
      </c>
      <c r="F192" t="str">
        <f>""</f>
        <v/>
      </c>
      <c r="H192" t="str">
        <f t="shared" si="6"/>
        <v>ACCT#287263291654</v>
      </c>
    </row>
    <row r="193" spans="1:8" x14ac:dyDescent="0.25">
      <c r="E193" t="str">
        <f>""</f>
        <v/>
      </c>
      <c r="F193" t="str">
        <f>""</f>
        <v/>
      </c>
      <c r="H193" t="str">
        <f t="shared" si="6"/>
        <v>ACCT#287263291654</v>
      </c>
    </row>
    <row r="194" spans="1:8" x14ac:dyDescent="0.25">
      <c r="E194" t="str">
        <f>""</f>
        <v/>
      </c>
      <c r="F194" t="str">
        <f>""</f>
        <v/>
      </c>
      <c r="H194" t="str">
        <f t="shared" si="6"/>
        <v>ACCT#287263291654</v>
      </c>
    </row>
    <row r="195" spans="1:8" x14ac:dyDescent="0.25">
      <c r="A195" t="s">
        <v>44</v>
      </c>
      <c r="B195" s="3">
        <v>81847</v>
      </c>
      <c r="C195" s="2">
        <v>100.21</v>
      </c>
      <c r="D195" s="1">
        <v>43577</v>
      </c>
      <c r="E195" t="str">
        <f>"201904128597"</f>
        <v>201904128597</v>
      </c>
      <c r="F195" t="str">
        <f>"ACCT#826392401/DPS"</f>
        <v>ACCT#826392401/DPS</v>
      </c>
      <c r="G195" s="2">
        <v>100.21</v>
      </c>
      <c r="H195" t="str">
        <f>"ACCT#826392401/DPS"</f>
        <v>ACCT#826392401/DPS</v>
      </c>
    </row>
    <row r="196" spans="1:8" x14ac:dyDescent="0.25">
      <c r="A196" t="s">
        <v>45</v>
      </c>
      <c r="B196" s="3">
        <v>81848</v>
      </c>
      <c r="C196" s="2">
        <v>18.48</v>
      </c>
      <c r="D196" s="1">
        <v>43577</v>
      </c>
      <c r="E196" t="str">
        <f>"5063407"</f>
        <v>5063407</v>
      </c>
      <c r="F196" t="str">
        <f>"CUST ID:16378/GEN SVCS"</f>
        <v>CUST ID:16378/GEN SVCS</v>
      </c>
      <c r="G196" s="2">
        <v>18.48</v>
      </c>
      <c r="H196" t="str">
        <f>"CUST ID:16378/GEN SVCS"</f>
        <v>CUST ID:16378/GEN SVCS</v>
      </c>
    </row>
    <row r="197" spans="1:8" x14ac:dyDescent="0.25">
      <c r="A197" t="s">
        <v>46</v>
      </c>
      <c r="B197" s="3">
        <v>729</v>
      </c>
      <c r="C197" s="2">
        <v>80</v>
      </c>
      <c r="D197" s="1">
        <v>43578</v>
      </c>
      <c r="E197" t="str">
        <f>"201904158660"</f>
        <v>201904158660</v>
      </c>
      <c r="F197" t="str">
        <f>"INDIGENT HEALTH"</f>
        <v>INDIGENT HEALTH</v>
      </c>
      <c r="G197" s="2">
        <v>80</v>
      </c>
      <c r="H197" t="str">
        <f>"INDIGENT HEALTH"</f>
        <v>INDIGENT HEALTH</v>
      </c>
    </row>
    <row r="198" spans="1:8" x14ac:dyDescent="0.25">
      <c r="A198" t="s">
        <v>47</v>
      </c>
      <c r="B198" s="3">
        <v>81849</v>
      </c>
      <c r="C198" s="2">
        <v>46.73</v>
      </c>
      <c r="D198" s="1">
        <v>43577</v>
      </c>
      <c r="E198" t="str">
        <f>"201904158661"</f>
        <v>201904158661</v>
      </c>
      <c r="F198" t="str">
        <f>"INDIGENT HEALTH"</f>
        <v>INDIGENT HEALTH</v>
      </c>
      <c r="G198" s="2">
        <v>46.73</v>
      </c>
      <c r="H198" t="str">
        <f>"INDIGENT HEALTH"</f>
        <v>INDIGENT HEALTH</v>
      </c>
    </row>
    <row r="199" spans="1:8" x14ac:dyDescent="0.25">
      <c r="A199" t="s">
        <v>48</v>
      </c>
      <c r="B199" s="3">
        <v>81850</v>
      </c>
      <c r="C199" s="2">
        <v>807.83</v>
      </c>
      <c r="D199" s="1">
        <v>43577</v>
      </c>
      <c r="E199" t="str">
        <f>"201904158662"</f>
        <v>201904158662</v>
      </c>
      <c r="F199" t="str">
        <f>"INDIGENT HEALTH"</f>
        <v>INDIGENT HEALTH</v>
      </c>
      <c r="G199" s="2">
        <v>799.54</v>
      </c>
      <c r="H199" t="str">
        <f>"INDIGENT HEALTH"</f>
        <v>INDIGENT HEALTH</v>
      </c>
    </row>
    <row r="200" spans="1:8" x14ac:dyDescent="0.25">
      <c r="E200" t="str">
        <f>""</f>
        <v/>
      </c>
      <c r="F200" t="str">
        <f>""</f>
        <v/>
      </c>
      <c r="H200" t="str">
        <f>"INDIGENT HEALTH"</f>
        <v>INDIGENT HEALTH</v>
      </c>
    </row>
    <row r="201" spans="1:8" x14ac:dyDescent="0.25">
      <c r="E201" t="str">
        <f>"4521*98039*1"</f>
        <v>4521*98039*1</v>
      </c>
      <c r="F201" t="str">
        <f>"JAIL MEDICAL"</f>
        <v>JAIL MEDICAL</v>
      </c>
      <c r="G201" s="2">
        <v>8.2899999999999991</v>
      </c>
      <c r="H201" t="str">
        <f>"JAIL MEDICAL"</f>
        <v>JAIL MEDICAL</v>
      </c>
    </row>
    <row r="202" spans="1:8" x14ac:dyDescent="0.25">
      <c r="A202" t="s">
        <v>49</v>
      </c>
      <c r="B202" s="3">
        <v>81666</v>
      </c>
      <c r="C202" s="2">
        <v>400</v>
      </c>
      <c r="D202" s="1">
        <v>43563</v>
      </c>
      <c r="E202" t="str">
        <f>"2112"</f>
        <v>2112</v>
      </c>
      <c r="F202" t="str">
        <f>"COMPLEX FIRE HEARING"</f>
        <v>COMPLEX FIRE HEARING</v>
      </c>
      <c r="G202" s="2">
        <v>400</v>
      </c>
      <c r="H202" t="str">
        <f>"COMPLEX FIRE HEARING"</f>
        <v>COMPLEX FIRE HEARING</v>
      </c>
    </row>
    <row r="203" spans="1:8" x14ac:dyDescent="0.25">
      <c r="A203" t="s">
        <v>50</v>
      </c>
      <c r="B203" s="3">
        <v>81667</v>
      </c>
      <c r="C203" s="2">
        <v>13.69</v>
      </c>
      <c r="D203" s="1">
        <v>43563</v>
      </c>
      <c r="E203" t="str">
        <f>"051246"</f>
        <v>051246</v>
      </c>
      <c r="F203" t="str">
        <f>"INV 051246"</f>
        <v>INV 051246</v>
      </c>
      <c r="G203" s="2">
        <v>13.69</v>
      </c>
      <c r="H203" t="str">
        <f>"INV 051246"</f>
        <v>INV 051246</v>
      </c>
    </row>
    <row r="204" spans="1:8" x14ac:dyDescent="0.25">
      <c r="A204" t="s">
        <v>50</v>
      </c>
      <c r="B204" s="3">
        <v>81851</v>
      </c>
      <c r="C204" s="2">
        <v>69.900000000000006</v>
      </c>
      <c r="D204" s="1">
        <v>43577</v>
      </c>
      <c r="E204" t="str">
        <f>"052710"</f>
        <v>052710</v>
      </c>
      <c r="F204" t="str">
        <f>"INV 052710"</f>
        <v>INV 052710</v>
      </c>
      <c r="G204" s="2">
        <v>69.900000000000006</v>
      </c>
      <c r="H204" t="str">
        <f>"INV 052710"</f>
        <v>INV 052710</v>
      </c>
    </row>
    <row r="205" spans="1:8" x14ac:dyDescent="0.25">
      <c r="A205" t="s">
        <v>51</v>
      </c>
      <c r="B205" s="3">
        <v>655</v>
      </c>
      <c r="C205" s="2">
        <v>460</v>
      </c>
      <c r="D205" s="1">
        <v>43564</v>
      </c>
      <c r="E205" t="str">
        <f>"201904018193"</f>
        <v>201904018193</v>
      </c>
      <c r="F205" t="str">
        <f>"CUST ID:0011/PCT#3"</f>
        <v>CUST ID:0011/PCT#3</v>
      </c>
      <c r="G205" s="2">
        <v>110</v>
      </c>
      <c r="H205" t="str">
        <f>"CUST ID:0011/PCT#3"</f>
        <v>CUST ID:0011/PCT#3</v>
      </c>
    </row>
    <row r="206" spans="1:8" x14ac:dyDescent="0.25">
      <c r="E206" t="str">
        <f>"201904028295"</f>
        <v>201904028295</v>
      </c>
      <c r="F206" t="str">
        <f>"CUST ID#0010/PCT#2"</f>
        <v>CUST ID#0010/PCT#2</v>
      </c>
      <c r="G206" s="2">
        <v>315</v>
      </c>
      <c r="H206" t="str">
        <f>"CUST ID#0010/PCT#2"</f>
        <v>CUST ID#0010/PCT#2</v>
      </c>
    </row>
    <row r="207" spans="1:8" x14ac:dyDescent="0.25">
      <c r="E207" t="str">
        <f>"358662"</f>
        <v>358662</v>
      </c>
      <c r="F207" t="str">
        <f>"CUST ID:0009/PCT#1"</f>
        <v>CUST ID:0009/PCT#1</v>
      </c>
      <c r="G207" s="2">
        <v>35</v>
      </c>
      <c r="H207" t="str">
        <f>"CUST ID:0009/PCT#1"</f>
        <v>CUST ID:0009/PCT#1</v>
      </c>
    </row>
    <row r="208" spans="1:8" x14ac:dyDescent="0.25">
      <c r="A208" t="s">
        <v>52</v>
      </c>
      <c r="B208" s="3">
        <v>81668</v>
      </c>
      <c r="C208" s="2">
        <v>1147.8</v>
      </c>
      <c r="D208" s="1">
        <v>43563</v>
      </c>
      <c r="E208" t="str">
        <f>"12010  02/05/19"</f>
        <v>12010  02/05/19</v>
      </c>
      <c r="F208" t="str">
        <f>"SERVICE"</f>
        <v>SERVICE</v>
      </c>
      <c r="G208" s="2">
        <v>23.8</v>
      </c>
      <c r="H208" t="str">
        <f>"SERVICE"</f>
        <v>SERVICE</v>
      </c>
    </row>
    <row r="209" spans="1:8" x14ac:dyDescent="0.25">
      <c r="E209" t="str">
        <f>"12807"</f>
        <v>12807</v>
      </c>
      <c r="F209" t="str">
        <f>"SERVICE  02/04/19"</f>
        <v>SERVICE  02/04/19</v>
      </c>
      <c r="G209" s="2">
        <v>150</v>
      </c>
      <c r="H209" t="str">
        <f>"SERVICE  02/04/19"</f>
        <v>SERVICE  02/04/19</v>
      </c>
    </row>
    <row r="210" spans="1:8" x14ac:dyDescent="0.25">
      <c r="E210" t="str">
        <f>"12982"</f>
        <v>12982</v>
      </c>
      <c r="F210" t="str">
        <f>"SERVICE  02/13/19"</f>
        <v>SERVICE  02/13/19</v>
      </c>
      <c r="G210" s="2">
        <v>150</v>
      </c>
      <c r="H210" t="str">
        <f>"SERVICE  02/13/19"</f>
        <v>SERVICE  02/13/19</v>
      </c>
    </row>
    <row r="211" spans="1:8" x14ac:dyDescent="0.25">
      <c r="E211" t="str">
        <f>"13002"</f>
        <v>13002</v>
      </c>
      <c r="F211" t="str">
        <f>"SERVICE  02/12/19"</f>
        <v>SERVICE  02/12/19</v>
      </c>
      <c r="G211" s="2">
        <v>325</v>
      </c>
      <c r="H211" t="str">
        <f>"SERVICE  02/12/19"</f>
        <v>SERVICE  02/12/19</v>
      </c>
    </row>
    <row r="212" spans="1:8" x14ac:dyDescent="0.25">
      <c r="E212" t="str">
        <f>"13015"</f>
        <v>13015</v>
      </c>
      <c r="F212" t="str">
        <f>"SERVICE  02/11/19"</f>
        <v>SERVICE  02/11/19</v>
      </c>
      <c r="G212" s="2">
        <v>75</v>
      </c>
      <c r="H212" t="str">
        <f>"SERVICE  02/11/19"</f>
        <v>SERVICE  02/11/19</v>
      </c>
    </row>
    <row r="213" spans="1:8" x14ac:dyDescent="0.25">
      <c r="E213" t="str">
        <f>"13050"</f>
        <v>13050</v>
      </c>
      <c r="F213" t="str">
        <f>"SERVICE  02/04/19"</f>
        <v>SERVICE  02/04/19</v>
      </c>
      <c r="G213" s="2">
        <v>150</v>
      </c>
      <c r="H213" t="str">
        <f>"SERVICE  02/04/19"</f>
        <v>SERVICE  02/04/19</v>
      </c>
    </row>
    <row r="214" spans="1:8" x14ac:dyDescent="0.25">
      <c r="E214" t="str">
        <f>"13093"</f>
        <v>13093</v>
      </c>
      <c r="F214" t="str">
        <f>"SERVICE  02/06/19"</f>
        <v>SERVICE  02/06/19</v>
      </c>
      <c r="G214" s="2">
        <v>49</v>
      </c>
      <c r="H214" t="str">
        <f>"SERVICE  02/06/19"</f>
        <v>SERVICE  02/06/19</v>
      </c>
    </row>
    <row r="215" spans="1:8" x14ac:dyDescent="0.25">
      <c r="E215" t="str">
        <f>"13125"</f>
        <v>13125</v>
      </c>
      <c r="F215" t="str">
        <f>"SERVICE  02/04/19"</f>
        <v>SERVICE  02/04/19</v>
      </c>
      <c r="G215" s="2">
        <v>225</v>
      </c>
      <c r="H215" t="str">
        <f>"SERVICE  02/04/19"</f>
        <v>SERVICE  02/04/19</v>
      </c>
    </row>
    <row r="216" spans="1:8" x14ac:dyDescent="0.25">
      <c r="A216" t="s">
        <v>53</v>
      </c>
      <c r="B216" s="3">
        <v>81852</v>
      </c>
      <c r="C216" s="2">
        <v>188.51</v>
      </c>
      <c r="D216" s="1">
        <v>43577</v>
      </c>
      <c r="E216" t="str">
        <f>"201904098541"</f>
        <v>201904098541</v>
      </c>
      <c r="F216" t="str">
        <f>"ACCT#BC01"</f>
        <v>ACCT#BC01</v>
      </c>
      <c r="G216" s="2">
        <v>188.51</v>
      </c>
      <c r="H216" t="str">
        <f>"ACCT#BC01"</f>
        <v>ACCT#BC01</v>
      </c>
    </row>
    <row r="217" spans="1:8" x14ac:dyDescent="0.25">
      <c r="E217" t="str">
        <f>""</f>
        <v/>
      </c>
      <c r="F217" t="str">
        <f>""</f>
        <v/>
      </c>
      <c r="H217" t="str">
        <f>"ACCT#BC01"</f>
        <v>ACCT#BC01</v>
      </c>
    </row>
    <row r="218" spans="1:8" x14ac:dyDescent="0.25">
      <c r="E218" t="str">
        <f>""</f>
        <v/>
      </c>
      <c r="F218" t="str">
        <f>""</f>
        <v/>
      </c>
      <c r="H218" t="str">
        <f>"ACCT#BC01"</f>
        <v>ACCT#BC01</v>
      </c>
    </row>
    <row r="219" spans="1:8" x14ac:dyDescent="0.25">
      <c r="E219" t="str">
        <f>""</f>
        <v/>
      </c>
      <c r="F219" t="str">
        <f>""</f>
        <v/>
      </c>
      <c r="H219" t="str">
        <f>"ACCT#BC01"</f>
        <v>ACCT#BC01</v>
      </c>
    </row>
    <row r="220" spans="1:8" x14ac:dyDescent="0.25">
      <c r="A220" t="s">
        <v>54</v>
      </c>
      <c r="B220" s="3">
        <v>649</v>
      </c>
      <c r="C220" s="2">
        <v>11122.45</v>
      </c>
      <c r="D220" s="1">
        <v>43564</v>
      </c>
      <c r="E220" t="str">
        <f>"201904028313"</f>
        <v>201904028313</v>
      </c>
      <c r="F220" t="str">
        <f>"GRANT REIMBURSEMENT"</f>
        <v>GRANT REIMBURSEMENT</v>
      </c>
      <c r="G220" s="2">
        <v>11122.45</v>
      </c>
      <c r="H220" t="str">
        <f>"GRANT REIMBURSEMENT"</f>
        <v>GRANT REIMBURSEMENT</v>
      </c>
    </row>
    <row r="221" spans="1:8" x14ac:dyDescent="0.25">
      <c r="A221" t="s">
        <v>54</v>
      </c>
      <c r="B221" s="3">
        <v>707</v>
      </c>
      <c r="C221" s="2">
        <v>10615.23</v>
      </c>
      <c r="D221" s="1">
        <v>43578</v>
      </c>
      <c r="E221" t="str">
        <f>"201904098535"</f>
        <v>201904098535</v>
      </c>
      <c r="F221" t="str">
        <f>"GRANT REIMBURSEMENT"</f>
        <v>GRANT REIMBURSEMENT</v>
      </c>
      <c r="G221" s="2">
        <v>10615.23</v>
      </c>
      <c r="H221" t="str">
        <f>"GRANT REIMBURSEMENT"</f>
        <v>GRANT REIMBURSEMENT</v>
      </c>
    </row>
    <row r="222" spans="1:8" x14ac:dyDescent="0.25">
      <c r="A222" t="s">
        <v>55</v>
      </c>
      <c r="B222" s="3">
        <v>731</v>
      </c>
      <c r="C222" s="2">
        <v>33.270000000000003</v>
      </c>
      <c r="D222" s="1">
        <v>43578</v>
      </c>
      <c r="E222" t="str">
        <f>"201904158663"</f>
        <v>201904158663</v>
      </c>
      <c r="F222" t="str">
        <f>"INDIGENT HEALTH"</f>
        <v>INDIGENT HEALTH</v>
      </c>
      <c r="G222" s="2">
        <v>33.270000000000003</v>
      </c>
      <c r="H222" t="str">
        <f>"INDIGENT HEALTH"</f>
        <v>INDIGENT HEALTH</v>
      </c>
    </row>
    <row r="223" spans="1:8" x14ac:dyDescent="0.25">
      <c r="A223" t="s">
        <v>56</v>
      </c>
      <c r="B223" s="3">
        <v>81853</v>
      </c>
      <c r="C223" s="2">
        <v>33.46</v>
      </c>
      <c r="D223" s="1">
        <v>43577</v>
      </c>
      <c r="E223" t="str">
        <f>"201904128601"</f>
        <v>201904128601</v>
      </c>
      <c r="F223" t="str">
        <f>"ARREST FEES-1ST QTR 2019"</f>
        <v>ARREST FEES-1ST QTR 2019</v>
      </c>
      <c r="G223" s="2">
        <v>33.46</v>
      </c>
      <c r="H223" t="str">
        <f>"ARREST FEES-1ST QTR 2019"</f>
        <v>ARREST FEES-1ST QTR 2019</v>
      </c>
    </row>
    <row r="224" spans="1:8" x14ac:dyDescent="0.25">
      <c r="A224" t="s">
        <v>57</v>
      </c>
      <c r="B224" s="3">
        <v>689</v>
      </c>
      <c r="C224" s="2">
        <v>3550</v>
      </c>
      <c r="D224" s="1">
        <v>43578</v>
      </c>
      <c r="E224" t="str">
        <f>"2019028"</f>
        <v>2019028</v>
      </c>
      <c r="F224" t="str">
        <f>"TRANSPORT-L.P. CASTILLO"</f>
        <v>TRANSPORT-L.P. CASTILLO</v>
      </c>
      <c r="G224" s="2">
        <v>390</v>
      </c>
      <c r="H224" t="str">
        <f>"TRANSPORT-L.P. CASTILLO"</f>
        <v>TRANSPORT-L.P. CASTILLO</v>
      </c>
    </row>
    <row r="225" spans="1:8" x14ac:dyDescent="0.25">
      <c r="E225" t="str">
        <f>"2019030"</f>
        <v>2019030</v>
      </c>
      <c r="F225" t="str">
        <f>"TRANSPORT-H.S. MENDOZA"</f>
        <v>TRANSPORT-H.S. MENDOZA</v>
      </c>
      <c r="G225" s="2">
        <v>495</v>
      </c>
      <c r="H225" t="str">
        <f>"TRANSPORT-H.S. MENDOZA"</f>
        <v>TRANSPORT-H.S. MENDOZA</v>
      </c>
    </row>
    <row r="226" spans="1:8" x14ac:dyDescent="0.25">
      <c r="E226" t="str">
        <f>"2019031"</f>
        <v>2019031</v>
      </c>
      <c r="F226" t="str">
        <f>"TRANSPORT-UNIDENTIFIED"</f>
        <v>TRANSPORT-UNIDENTIFIED</v>
      </c>
      <c r="G226" s="2">
        <v>495</v>
      </c>
      <c r="H226" t="str">
        <f>"TRANSPORT-UNIDENTIFIED"</f>
        <v>TRANSPORT-UNIDENTIFIED</v>
      </c>
    </row>
    <row r="227" spans="1:8" x14ac:dyDescent="0.25">
      <c r="E227" t="str">
        <f>"2019033"</f>
        <v>2019033</v>
      </c>
      <c r="F227" t="str">
        <f>"TRANSPORT-M.K. RAWLINS"</f>
        <v>TRANSPORT-M.K. RAWLINS</v>
      </c>
      <c r="G227" s="2">
        <v>295</v>
      </c>
      <c r="H227" t="str">
        <f>"TRANSPORT-M.K. RAWLINS"</f>
        <v>TRANSPORT-M.K. RAWLINS</v>
      </c>
    </row>
    <row r="228" spans="1:8" x14ac:dyDescent="0.25">
      <c r="E228" t="str">
        <f>"2019034"</f>
        <v>2019034</v>
      </c>
      <c r="F228" t="str">
        <f>"TRANSPORT-D. HIGHFILL"</f>
        <v>TRANSPORT-D. HIGHFILL</v>
      </c>
      <c r="G228" s="2">
        <v>390</v>
      </c>
      <c r="H228" t="str">
        <f>"TRANSPORT-D. HIGHFILL"</f>
        <v>TRANSPORT-D. HIGHFILL</v>
      </c>
    </row>
    <row r="229" spans="1:8" x14ac:dyDescent="0.25">
      <c r="E229" t="str">
        <f>"2019036"</f>
        <v>2019036</v>
      </c>
      <c r="F229" t="str">
        <f>"TRANSPORT-P. IRWIN"</f>
        <v>TRANSPORT-P. IRWIN</v>
      </c>
      <c r="G229" s="2">
        <v>390</v>
      </c>
      <c r="H229" t="str">
        <f>"TRANSPORT-P. IRWIN"</f>
        <v>TRANSPORT-P. IRWIN</v>
      </c>
    </row>
    <row r="230" spans="1:8" x14ac:dyDescent="0.25">
      <c r="E230" t="str">
        <f>"2019037"</f>
        <v>2019037</v>
      </c>
      <c r="F230" t="str">
        <f>"TRANSPORT-D. WILLIAMS"</f>
        <v>TRANSPORT-D. WILLIAMS</v>
      </c>
      <c r="G230" s="2">
        <v>400</v>
      </c>
      <c r="H230" t="str">
        <f>"TRANSPORT-D. WILLIAMS"</f>
        <v>TRANSPORT-D. WILLIAMS</v>
      </c>
    </row>
    <row r="231" spans="1:8" x14ac:dyDescent="0.25">
      <c r="E231" t="str">
        <f>"2019038"</f>
        <v>2019038</v>
      </c>
      <c r="F231" t="str">
        <f>"TRANSPORT-T. WILLIAMS"</f>
        <v>TRANSPORT-T. WILLIAMS</v>
      </c>
      <c r="G231" s="2">
        <v>400</v>
      </c>
      <c r="H231" t="str">
        <f>"TRANSPORT-T. WILLIAMS"</f>
        <v>TRANSPORT-T. WILLIAMS</v>
      </c>
    </row>
    <row r="232" spans="1:8" x14ac:dyDescent="0.25">
      <c r="E232" t="str">
        <f>"2019039"</f>
        <v>2019039</v>
      </c>
      <c r="F232" t="str">
        <f>"TRANSPORT-M. WILLIAMS"</f>
        <v>TRANSPORT-M. WILLIAMS</v>
      </c>
      <c r="G232" s="2">
        <v>295</v>
      </c>
      <c r="H232" t="str">
        <f>"TRANSPORT-M. WILLIAMS"</f>
        <v>TRANSPORT-M. WILLIAMS</v>
      </c>
    </row>
    <row r="233" spans="1:8" x14ac:dyDescent="0.25">
      <c r="A233" t="s">
        <v>58</v>
      </c>
      <c r="B233" s="3">
        <v>81669</v>
      </c>
      <c r="C233" s="2">
        <v>1800</v>
      </c>
      <c r="D233" s="1">
        <v>43563</v>
      </c>
      <c r="E233" t="str">
        <f>"5439R"</f>
        <v>5439R</v>
      </c>
      <c r="F233" t="str">
        <f>"BASTROP TREE SERVICE  INC"</f>
        <v>BASTROP TREE SERVICE  INC</v>
      </c>
      <c r="G233" s="2">
        <v>1800</v>
      </c>
      <c r="H233" t="str">
        <f>"Lovers Lane Tree Svc"</f>
        <v>Lovers Lane Tree Svc</v>
      </c>
    </row>
    <row r="234" spans="1:8" x14ac:dyDescent="0.25">
      <c r="A234" t="s">
        <v>58</v>
      </c>
      <c r="B234" s="3">
        <v>81854</v>
      </c>
      <c r="C234" s="2">
        <v>850</v>
      </c>
      <c r="D234" s="1">
        <v>43577</v>
      </c>
      <c r="E234" t="str">
        <f>"5952"</f>
        <v>5952</v>
      </c>
      <c r="F234" t="str">
        <f>"inv# 5952"</f>
        <v>inv# 5952</v>
      </c>
      <c r="G234" s="2">
        <v>850</v>
      </c>
      <c r="H234" t="str">
        <f>"inv# 5952"</f>
        <v>inv# 5952</v>
      </c>
    </row>
    <row r="235" spans="1:8" x14ac:dyDescent="0.25">
      <c r="A235" t="s">
        <v>59</v>
      </c>
      <c r="B235" s="3">
        <v>81670</v>
      </c>
      <c r="C235" s="2">
        <v>150.35</v>
      </c>
      <c r="D235" s="1">
        <v>43563</v>
      </c>
      <c r="E235" t="str">
        <f>"1128372"</f>
        <v>1128372</v>
      </c>
      <c r="F235" t="str">
        <f>"CLIENT ID:5495160A"</f>
        <v>CLIENT ID:5495160A</v>
      </c>
      <c r="G235" s="2">
        <v>150.35</v>
      </c>
      <c r="H235" t="str">
        <f>"CLIENT ID:5495160A"</f>
        <v>CLIENT ID:5495160A</v>
      </c>
    </row>
    <row r="236" spans="1:8" x14ac:dyDescent="0.25">
      <c r="A236" t="s">
        <v>60</v>
      </c>
      <c r="B236" s="3">
        <v>652</v>
      </c>
      <c r="C236" s="2">
        <v>3083.3</v>
      </c>
      <c r="D236" s="1">
        <v>43564</v>
      </c>
      <c r="E236" t="str">
        <f>"201904038351"</f>
        <v>201904038351</v>
      </c>
      <c r="F236" t="str">
        <f>"ACCT#3422853/ANIMAL SVCS"</f>
        <v>ACCT#3422853/ANIMAL SVCS</v>
      </c>
      <c r="G236" s="2">
        <v>3083.3</v>
      </c>
      <c r="H236" t="str">
        <f>"ACCT#3422853/ANIMAL SVCS"</f>
        <v>ACCT#3422853/ANIMAL SVCS</v>
      </c>
    </row>
    <row r="237" spans="1:8" x14ac:dyDescent="0.25">
      <c r="A237" t="s">
        <v>61</v>
      </c>
      <c r="B237" s="3">
        <v>684</v>
      </c>
      <c r="C237" s="2">
        <v>1102.5</v>
      </c>
      <c r="D237" s="1">
        <v>43578</v>
      </c>
      <c r="E237" t="str">
        <f>"201904158622"</f>
        <v>201904158622</v>
      </c>
      <c r="F237" t="str">
        <f>"MARCH SERVICES"</f>
        <v>MARCH SERVICES</v>
      </c>
      <c r="G237" s="2">
        <v>1102.5</v>
      </c>
      <c r="H237" t="str">
        <f>"MARCH SERV. LE"</f>
        <v>MARCH SERV. LE</v>
      </c>
    </row>
    <row r="238" spans="1:8" x14ac:dyDescent="0.25">
      <c r="E238" t="str">
        <f>""</f>
        <v/>
      </c>
      <c r="F238" t="str">
        <f>""</f>
        <v/>
      </c>
      <c r="H238" t="str">
        <f>"MARCH SERV. JAIL"</f>
        <v>MARCH SERV. JAIL</v>
      </c>
    </row>
    <row r="239" spans="1:8" x14ac:dyDescent="0.25">
      <c r="A239" t="s">
        <v>62</v>
      </c>
      <c r="B239" s="3">
        <v>81671</v>
      </c>
      <c r="C239" s="2">
        <v>1679.67</v>
      </c>
      <c r="D239" s="1">
        <v>43563</v>
      </c>
      <c r="E239" t="str">
        <f>"75022438 75029299"</f>
        <v>75022438 75029299</v>
      </c>
      <c r="F239" t="str">
        <f>"INV 75022438"</f>
        <v>INV 75022438</v>
      </c>
      <c r="G239" s="2">
        <v>1679.67</v>
      </c>
      <c r="H239" t="str">
        <f>"INV 75022438"</f>
        <v>INV 75022438</v>
      </c>
    </row>
    <row r="240" spans="1:8" x14ac:dyDescent="0.25">
      <c r="E240" t="str">
        <f>""</f>
        <v/>
      </c>
      <c r="F240" t="str">
        <f>""</f>
        <v/>
      </c>
      <c r="H240" t="str">
        <f>"INV 75029299"</f>
        <v>INV 75029299</v>
      </c>
    </row>
    <row r="241" spans="1:8" x14ac:dyDescent="0.25">
      <c r="A241" t="s">
        <v>62</v>
      </c>
      <c r="B241" s="3">
        <v>81855</v>
      </c>
      <c r="C241" s="2">
        <v>1423.89</v>
      </c>
      <c r="D241" s="1">
        <v>43577</v>
      </c>
      <c r="E241" t="str">
        <f>"75039240"</f>
        <v>75039240</v>
      </c>
      <c r="F241" t="str">
        <f>"INV 75039240"</f>
        <v>INV 75039240</v>
      </c>
      <c r="G241" s="2">
        <v>708.47</v>
      </c>
      <c r="H241" t="str">
        <f>"INV 75039240"</f>
        <v>INV 75039240</v>
      </c>
    </row>
    <row r="242" spans="1:8" x14ac:dyDescent="0.25">
      <c r="E242" t="str">
        <f>"75047775"</f>
        <v>75047775</v>
      </c>
      <c r="F242" t="str">
        <f>"INV 75047775"</f>
        <v>INV 75047775</v>
      </c>
      <c r="G242" s="2">
        <v>715.42</v>
      </c>
      <c r="H242" t="str">
        <f>"INV 75047775"</f>
        <v>INV 75047775</v>
      </c>
    </row>
    <row r="243" spans="1:8" x14ac:dyDescent="0.25">
      <c r="A243" t="s">
        <v>63</v>
      </c>
      <c r="B243" s="3">
        <v>81672</v>
      </c>
      <c r="C243" s="2">
        <v>732.92</v>
      </c>
      <c r="D243" s="1">
        <v>43563</v>
      </c>
      <c r="E243" t="str">
        <f>"3762403"</f>
        <v>3762403</v>
      </c>
      <c r="F243" t="str">
        <f>"Computer Bags"</f>
        <v>Computer Bags</v>
      </c>
      <c r="G243" s="2">
        <v>732.92</v>
      </c>
      <c r="H243" t="str">
        <f>"BB16278868"</f>
        <v>BB16278868</v>
      </c>
    </row>
    <row r="244" spans="1:8" x14ac:dyDescent="0.25">
      <c r="E244" t="str">
        <f>""</f>
        <v/>
      </c>
      <c r="F244" t="str">
        <f>""</f>
        <v/>
      </c>
      <c r="H244" t="str">
        <f>"Shipping"</f>
        <v>Shipping</v>
      </c>
    </row>
    <row r="245" spans="1:8" x14ac:dyDescent="0.25">
      <c r="A245" t="s">
        <v>64</v>
      </c>
      <c r="B245" s="3">
        <v>81856</v>
      </c>
      <c r="C245" s="2">
        <v>1646.11</v>
      </c>
      <c r="D245" s="1">
        <v>43577</v>
      </c>
      <c r="E245" t="str">
        <f>"24204"</f>
        <v>24204</v>
      </c>
      <c r="F245" t="str">
        <f>"INV 24204"</f>
        <v>INV 24204</v>
      </c>
      <c r="G245" s="2">
        <v>1646.11</v>
      </c>
      <c r="H245" t="str">
        <f>"INV 24204"</f>
        <v>INV 24204</v>
      </c>
    </row>
    <row r="246" spans="1:8" x14ac:dyDescent="0.25">
      <c r="A246" t="s">
        <v>65</v>
      </c>
      <c r="B246" s="3">
        <v>81817</v>
      </c>
      <c r="C246" s="2">
        <v>495</v>
      </c>
      <c r="D246" s="1">
        <v>43563</v>
      </c>
      <c r="E246" t="str">
        <f>"2668"</f>
        <v>2668</v>
      </c>
      <c r="F246" t="str">
        <f>"GARAGE DOORS / ANIMAL SERVICES"</f>
        <v>GARAGE DOORS / ANIMAL SERVICES</v>
      </c>
      <c r="G246" s="2">
        <v>495</v>
      </c>
      <c r="H246" t="str">
        <f>"GARAGE DOORS / ANIMAL SERVICES"</f>
        <v>GARAGE DOORS / ANIMAL SERVICES</v>
      </c>
    </row>
    <row r="247" spans="1:8" x14ac:dyDescent="0.25">
      <c r="A247" t="s">
        <v>66</v>
      </c>
      <c r="B247" s="3">
        <v>629</v>
      </c>
      <c r="C247" s="2">
        <v>433.06</v>
      </c>
      <c r="D247" s="1">
        <v>43564</v>
      </c>
      <c r="E247" t="str">
        <f>"201903288149"</f>
        <v>201903288149</v>
      </c>
      <c r="F247" t="str">
        <f>"16 588  15 984"</f>
        <v>16 588  15 984</v>
      </c>
      <c r="G247" s="2">
        <v>433.06</v>
      </c>
      <c r="H247" t="str">
        <f>"16 588  15 984"</f>
        <v>16 588  15 984</v>
      </c>
    </row>
    <row r="248" spans="1:8" x14ac:dyDescent="0.25">
      <c r="A248" t="s">
        <v>67</v>
      </c>
      <c r="B248" s="3">
        <v>81674</v>
      </c>
      <c r="C248" s="2">
        <v>562.48</v>
      </c>
      <c r="D248" s="1">
        <v>43563</v>
      </c>
      <c r="E248" t="str">
        <f>"84078900924/01013"</f>
        <v>84078900924/01013</v>
      </c>
      <c r="F248" t="str">
        <f>"INV 84078900924"</f>
        <v>INV 84078900924</v>
      </c>
      <c r="G248" s="2">
        <v>562.48</v>
      </c>
      <c r="H248" t="str">
        <f>"INV 84078900924"</f>
        <v>INV 84078900924</v>
      </c>
    </row>
    <row r="249" spans="1:8" x14ac:dyDescent="0.25">
      <c r="E249" t="str">
        <f>""</f>
        <v/>
      </c>
      <c r="F249" t="str">
        <f>""</f>
        <v/>
      </c>
      <c r="H249" t="str">
        <f>"INV 84078901013"</f>
        <v>INV 84078901013</v>
      </c>
    </row>
    <row r="250" spans="1:8" x14ac:dyDescent="0.25">
      <c r="A250" t="s">
        <v>67</v>
      </c>
      <c r="B250" s="3">
        <v>81857</v>
      </c>
      <c r="C250" s="2">
        <v>459.74</v>
      </c>
      <c r="D250" s="1">
        <v>43577</v>
      </c>
      <c r="E250" t="str">
        <f>"84078901121"</f>
        <v>84078901121</v>
      </c>
      <c r="F250" t="str">
        <f>"INV 84078901121"</f>
        <v>INV 84078901121</v>
      </c>
      <c r="G250" s="2">
        <v>212</v>
      </c>
      <c r="H250" t="str">
        <f>"INV 84078901121"</f>
        <v>INV 84078901121</v>
      </c>
    </row>
    <row r="251" spans="1:8" x14ac:dyDescent="0.25">
      <c r="E251" t="str">
        <f>"S4078901211"</f>
        <v>S4078901211</v>
      </c>
      <c r="F251" t="str">
        <f>"INV 84078901211"</f>
        <v>INV 84078901211</v>
      </c>
      <c r="G251" s="2">
        <v>247.74</v>
      </c>
      <c r="H251" t="str">
        <f>"INV 84078901211"</f>
        <v>INV 84078901211</v>
      </c>
    </row>
    <row r="252" spans="1:8" x14ac:dyDescent="0.25">
      <c r="A252" t="s">
        <v>68</v>
      </c>
      <c r="B252" s="3">
        <v>643</v>
      </c>
      <c r="C252" s="2">
        <v>4707.3999999999996</v>
      </c>
      <c r="D252" s="1">
        <v>43564</v>
      </c>
      <c r="E252" t="str">
        <f>"201903288150"</f>
        <v>201903288150</v>
      </c>
      <c r="F252" t="str">
        <f>"423-5669"</f>
        <v>423-5669</v>
      </c>
      <c r="G252" s="2">
        <v>375</v>
      </c>
      <c r="H252" t="str">
        <f>"423-5669"</f>
        <v>423-5669</v>
      </c>
    </row>
    <row r="253" spans="1:8" x14ac:dyDescent="0.25">
      <c r="E253" t="str">
        <f>"201903288151"</f>
        <v>201903288151</v>
      </c>
      <c r="F253" t="str">
        <f>"423-2527"</f>
        <v>423-2527</v>
      </c>
      <c r="G253" s="2">
        <v>725</v>
      </c>
      <c r="H253" t="str">
        <f>"423-2527"</f>
        <v>423-2527</v>
      </c>
    </row>
    <row r="254" spans="1:8" x14ac:dyDescent="0.25">
      <c r="E254" t="str">
        <f>"201904018183"</f>
        <v>201904018183</v>
      </c>
      <c r="F254" t="str">
        <f>"423-4499"</f>
        <v>423-4499</v>
      </c>
      <c r="G254" s="2">
        <v>100</v>
      </c>
      <c r="H254" t="str">
        <f>"423-4499"</f>
        <v>423-4499</v>
      </c>
    </row>
    <row r="255" spans="1:8" x14ac:dyDescent="0.25">
      <c r="E255" t="str">
        <f>"201904018209"</f>
        <v>201904018209</v>
      </c>
      <c r="F255" t="str">
        <f>"18-19342"</f>
        <v>18-19342</v>
      </c>
      <c r="G255" s="2">
        <v>1200</v>
      </c>
      <c r="H255" t="str">
        <f>"18-19342"</f>
        <v>18-19342</v>
      </c>
    </row>
    <row r="256" spans="1:8" x14ac:dyDescent="0.25">
      <c r="E256" t="str">
        <f>"201904018213"</f>
        <v>201904018213</v>
      </c>
      <c r="F256" t="str">
        <f>"409126-6  929-343-1385A002"</f>
        <v>409126-6  929-343-1385A002</v>
      </c>
      <c r="G256" s="2">
        <v>125</v>
      </c>
      <c r="H256" t="str">
        <f>"409126-6  929-343-1385A002"</f>
        <v>409126-6  929-343-1385A002</v>
      </c>
    </row>
    <row r="257" spans="1:8" x14ac:dyDescent="0.25">
      <c r="E257" t="str">
        <f>"201904018241"</f>
        <v>201904018241</v>
      </c>
      <c r="F257" t="str">
        <f>"18-19050"</f>
        <v>18-19050</v>
      </c>
      <c r="G257" s="2">
        <v>100</v>
      </c>
      <c r="H257" t="str">
        <f>"18-19050"</f>
        <v>18-19050</v>
      </c>
    </row>
    <row r="258" spans="1:8" x14ac:dyDescent="0.25">
      <c r="E258" t="str">
        <f>"201904018242"</f>
        <v>201904018242</v>
      </c>
      <c r="F258" t="str">
        <f>"18-18961"</f>
        <v>18-18961</v>
      </c>
      <c r="G258" s="2">
        <v>100</v>
      </c>
      <c r="H258" t="str">
        <f>"18-18961"</f>
        <v>18-18961</v>
      </c>
    </row>
    <row r="259" spans="1:8" x14ac:dyDescent="0.25">
      <c r="E259" t="str">
        <f>"201904018243"</f>
        <v>201904018243</v>
      </c>
      <c r="F259" t="str">
        <f>"19-19526"</f>
        <v>19-19526</v>
      </c>
      <c r="G259" s="2">
        <v>100</v>
      </c>
      <c r="H259" t="str">
        <f>"19-19526"</f>
        <v>19-19526</v>
      </c>
    </row>
    <row r="260" spans="1:8" x14ac:dyDescent="0.25">
      <c r="E260" t="str">
        <f>"201904018244"</f>
        <v>201904018244</v>
      </c>
      <c r="F260" t="str">
        <f>"18-18992"</f>
        <v>18-18992</v>
      </c>
      <c r="G260" s="2">
        <v>100</v>
      </c>
      <c r="H260" t="str">
        <f>"18-18992"</f>
        <v>18-18992</v>
      </c>
    </row>
    <row r="261" spans="1:8" x14ac:dyDescent="0.25">
      <c r="E261" t="str">
        <f>"201904028245"</f>
        <v>201904028245</v>
      </c>
      <c r="F261" t="str">
        <f>"18-18824"</f>
        <v>18-18824</v>
      </c>
      <c r="G261" s="2">
        <v>100</v>
      </c>
      <c r="H261" t="str">
        <f>"18-18824"</f>
        <v>18-18824</v>
      </c>
    </row>
    <row r="262" spans="1:8" x14ac:dyDescent="0.25">
      <c r="E262" t="str">
        <f>"201904028285"</f>
        <v>201904028285</v>
      </c>
      <c r="F262" t="str">
        <f>"CH-20170211-C  925-344-6439A00"</f>
        <v>CH-20170211-C  925-344-6439A00</v>
      </c>
      <c r="G262" s="2">
        <v>250</v>
      </c>
      <c r="H262" t="str">
        <f>"CH-20170211-C  925-344-6439A00"</f>
        <v>CH-20170211-C  925-344-6439A00</v>
      </c>
    </row>
    <row r="263" spans="1:8" x14ac:dyDescent="0.25">
      <c r="E263" t="str">
        <f>"201904028286"</f>
        <v>201904028286</v>
      </c>
      <c r="F263" t="str">
        <f>"20170058  925-344-5988A001"</f>
        <v>20170058  925-344-5988A001</v>
      </c>
      <c r="G263" s="2">
        <v>250</v>
      </c>
      <c r="H263" t="str">
        <f>"20170058  925-344-5988A001"</f>
        <v>20170058  925-344-5988A001</v>
      </c>
    </row>
    <row r="264" spans="1:8" x14ac:dyDescent="0.25">
      <c r="E264" t="str">
        <f>"201904028288"</f>
        <v>201904028288</v>
      </c>
      <c r="F264" t="str">
        <f>"1JP2218A  929348182A001"</f>
        <v>1JP2218A  929348182A001</v>
      </c>
      <c r="G264" s="2">
        <v>250</v>
      </c>
      <c r="H264" t="str">
        <f>"1JP2218A  929348182A001"</f>
        <v>1JP2218A  929348182A001</v>
      </c>
    </row>
    <row r="265" spans="1:8" x14ac:dyDescent="0.25">
      <c r="E265" t="str">
        <f>"201904038385"</f>
        <v>201904038385</v>
      </c>
      <c r="F265" t="str">
        <f>"56 445"</f>
        <v>56 445</v>
      </c>
      <c r="G265" s="2">
        <v>250</v>
      </c>
      <c r="H265" t="str">
        <f>"56 445"</f>
        <v>56 445</v>
      </c>
    </row>
    <row r="266" spans="1:8" x14ac:dyDescent="0.25">
      <c r="E266" t="str">
        <f>"201904038386"</f>
        <v>201904038386</v>
      </c>
      <c r="F266" t="str">
        <f>"18-19155"</f>
        <v>18-19155</v>
      </c>
      <c r="G266" s="2">
        <v>100</v>
      </c>
      <c r="H266" t="str">
        <f>"18-19155"</f>
        <v>18-19155</v>
      </c>
    </row>
    <row r="267" spans="1:8" x14ac:dyDescent="0.25">
      <c r="E267" t="str">
        <f>"201904038387"</f>
        <v>201904038387</v>
      </c>
      <c r="F267" t="str">
        <f>"19-19526"</f>
        <v>19-19526</v>
      </c>
      <c r="G267" s="2">
        <v>100</v>
      </c>
      <c r="H267" t="str">
        <f>"19-19526"</f>
        <v>19-19526</v>
      </c>
    </row>
    <row r="268" spans="1:8" x14ac:dyDescent="0.25">
      <c r="E268" t="str">
        <f>"201904038388"</f>
        <v>201904038388</v>
      </c>
      <c r="F268" t="str">
        <f>"18-18997"</f>
        <v>18-18997</v>
      </c>
      <c r="G268" s="2">
        <v>232.4</v>
      </c>
      <c r="H268" t="str">
        <f>"18-18997"</f>
        <v>18-18997</v>
      </c>
    </row>
    <row r="269" spans="1:8" x14ac:dyDescent="0.25">
      <c r="E269" t="str">
        <f>"201904038389"</f>
        <v>201904038389</v>
      </c>
      <c r="F269" t="str">
        <f>"J-3170"</f>
        <v>J-3170</v>
      </c>
      <c r="G269" s="2">
        <v>250</v>
      </c>
      <c r="H269" t="str">
        <f>"J-3170"</f>
        <v>J-3170</v>
      </c>
    </row>
    <row r="270" spans="1:8" x14ac:dyDescent="0.25">
      <c r="A270" t="s">
        <v>69</v>
      </c>
      <c r="B270" s="3">
        <v>81858</v>
      </c>
      <c r="C270" s="2">
        <v>349.03</v>
      </c>
      <c r="D270" s="1">
        <v>43577</v>
      </c>
      <c r="E270" t="str">
        <f>"201904178727"</f>
        <v>201904178727</v>
      </c>
      <c r="F270" t="str">
        <f>"CRIME STOPPER FEES-MARCH 2019"</f>
        <v>CRIME STOPPER FEES-MARCH 2019</v>
      </c>
      <c r="G270" s="2">
        <v>349.03</v>
      </c>
      <c r="H270" t="str">
        <f>"CRIME STOPPER FEES-MARCH 2019"</f>
        <v>CRIME STOPPER FEES-MARCH 2019</v>
      </c>
    </row>
    <row r="271" spans="1:8" x14ac:dyDescent="0.25">
      <c r="A271" t="s">
        <v>70</v>
      </c>
      <c r="B271" s="3">
        <v>81830</v>
      </c>
      <c r="C271" s="2">
        <v>2738.22</v>
      </c>
      <c r="D271" s="1">
        <v>43564</v>
      </c>
      <c r="E271" t="str">
        <f>"201904098531"</f>
        <v>201904098531</v>
      </c>
      <c r="F271" t="str">
        <f>"ACCT#5000057374 / 04022019"</f>
        <v>ACCT#5000057374 / 04022019</v>
      </c>
      <c r="G271" s="2">
        <v>2738.22</v>
      </c>
      <c r="H271" t="str">
        <f>"ACCT#5000057374 / 04022019"</f>
        <v>ACCT#5000057374 / 04022019</v>
      </c>
    </row>
    <row r="272" spans="1:8" x14ac:dyDescent="0.25">
      <c r="E272" t="str">
        <f>""</f>
        <v/>
      </c>
      <c r="F272" t="str">
        <f>""</f>
        <v/>
      </c>
      <c r="H272" t="str">
        <f>"ACCT#5000057374 / 04022019"</f>
        <v>ACCT#5000057374 / 04022019</v>
      </c>
    </row>
    <row r="273" spans="1:8" x14ac:dyDescent="0.25">
      <c r="E273" t="str">
        <f>""</f>
        <v/>
      </c>
      <c r="F273" t="str">
        <f>""</f>
        <v/>
      </c>
      <c r="H273" t="str">
        <f>"ACCT#5000057374 / 04022019"</f>
        <v>ACCT#5000057374 / 04022019</v>
      </c>
    </row>
    <row r="274" spans="1:8" x14ac:dyDescent="0.25">
      <c r="E274" t="str">
        <f>""</f>
        <v/>
      </c>
      <c r="F274" t="str">
        <f>""</f>
        <v/>
      </c>
      <c r="H274" t="str">
        <f>"ACCT#5000057374 / 04022019"</f>
        <v>ACCT#5000057374 / 04022019</v>
      </c>
    </row>
    <row r="275" spans="1:8" x14ac:dyDescent="0.25">
      <c r="A275" t="s">
        <v>71</v>
      </c>
      <c r="B275" s="3">
        <v>675</v>
      </c>
      <c r="C275" s="2">
        <v>17817.22</v>
      </c>
      <c r="D275" s="1">
        <v>43564</v>
      </c>
      <c r="E275" t="str">
        <f>"201904028318"</f>
        <v>201904028318</v>
      </c>
      <c r="F275" t="str">
        <f>"GRANT REIMBURSEMENT"</f>
        <v>GRANT REIMBURSEMENT</v>
      </c>
      <c r="G275" s="2">
        <v>16942.22</v>
      </c>
      <c r="H275" t="str">
        <f>"GRANT REIMBURSEMENT"</f>
        <v>GRANT REIMBURSEMENT</v>
      </c>
    </row>
    <row r="276" spans="1:8" x14ac:dyDescent="0.25">
      <c r="E276" t="str">
        <f>"25032019"</f>
        <v>25032019</v>
      </c>
      <c r="F276" t="str">
        <f>"INV 25032019"</f>
        <v>INV 25032019</v>
      </c>
      <c r="G276" s="2">
        <v>875</v>
      </c>
      <c r="H276" t="str">
        <f>"INV 25032019"</f>
        <v>INV 25032019</v>
      </c>
    </row>
    <row r="277" spans="1:8" x14ac:dyDescent="0.25">
      <c r="A277" t="s">
        <v>72</v>
      </c>
      <c r="B277" s="3">
        <v>81859</v>
      </c>
      <c r="C277" s="2">
        <v>119.7</v>
      </c>
      <c r="D277" s="1">
        <v>43577</v>
      </c>
      <c r="E277" t="str">
        <f>"UT1000491756"</f>
        <v>UT1000491756</v>
      </c>
      <c r="F277" t="str">
        <f>"INV UT1000491756"</f>
        <v>INV UT1000491756</v>
      </c>
      <c r="G277" s="2">
        <v>119.7</v>
      </c>
      <c r="H277" t="str">
        <f>"INV UT1000491756"</f>
        <v>INV UT1000491756</v>
      </c>
    </row>
    <row r="278" spans="1:8" x14ac:dyDescent="0.25">
      <c r="A278" t="s">
        <v>73</v>
      </c>
      <c r="B278" s="3">
        <v>81675</v>
      </c>
      <c r="C278" s="2">
        <v>491.14</v>
      </c>
      <c r="D278" s="1">
        <v>43563</v>
      </c>
      <c r="E278" t="str">
        <f>"100345"</f>
        <v>100345</v>
      </c>
      <c r="F278" t="str">
        <f>"ACCT#1268/PCT#3"</f>
        <v>ACCT#1268/PCT#3</v>
      </c>
      <c r="G278" s="2">
        <v>491.14</v>
      </c>
      <c r="H278" t="str">
        <f>"ACCT#1268/PCT#3"</f>
        <v>ACCT#1268/PCT#3</v>
      </c>
    </row>
    <row r="279" spans="1:8" x14ac:dyDescent="0.25">
      <c r="A279" t="s">
        <v>73</v>
      </c>
      <c r="B279" s="3">
        <v>81860</v>
      </c>
      <c r="C279" s="2">
        <v>37500.449999999997</v>
      </c>
      <c r="D279" s="1">
        <v>43577</v>
      </c>
      <c r="E279" t="str">
        <f>"100672"</f>
        <v>100672</v>
      </c>
      <c r="F279" t="str">
        <f>"ACCT#1268/PCT#3"</f>
        <v>ACCT#1268/PCT#3</v>
      </c>
      <c r="G279" s="2">
        <v>35665.49</v>
      </c>
      <c r="H279" t="str">
        <f>"ACCT#1268/PCT#3"</f>
        <v>ACCT#1268/PCT#3</v>
      </c>
    </row>
    <row r="280" spans="1:8" x14ac:dyDescent="0.25">
      <c r="E280" t="str">
        <f>"100673"</f>
        <v>100673</v>
      </c>
      <c r="F280" t="str">
        <f>"ACCT#1268/PCT#3"</f>
        <v>ACCT#1268/PCT#3</v>
      </c>
      <c r="G280" s="2">
        <v>1834.96</v>
      </c>
      <c r="H280" t="str">
        <f>"ACCT#1268/PCT#3"</f>
        <v>ACCT#1268/PCT#3</v>
      </c>
    </row>
    <row r="281" spans="1:8" x14ac:dyDescent="0.25">
      <c r="A281" t="s">
        <v>74</v>
      </c>
      <c r="B281" s="3">
        <v>81676</v>
      </c>
      <c r="C281" s="2">
        <v>1250</v>
      </c>
      <c r="D281" s="1">
        <v>43563</v>
      </c>
      <c r="E281" t="str">
        <f>"201904028280"</f>
        <v>201904028280</v>
      </c>
      <c r="F281" t="str">
        <f>"AC-2018-0831"</f>
        <v>AC-2018-0831</v>
      </c>
      <c r="G281" s="2">
        <v>250</v>
      </c>
      <c r="H281" t="str">
        <f>"AC-2018-0831"</f>
        <v>AC-2018-0831</v>
      </c>
    </row>
    <row r="282" spans="1:8" x14ac:dyDescent="0.25">
      <c r="E282" t="str">
        <f>"201904028281"</f>
        <v>201904028281</v>
      </c>
      <c r="F282" t="str">
        <f>"409018.3"</f>
        <v>409018.3</v>
      </c>
      <c r="G282" s="2">
        <v>250</v>
      </c>
      <c r="H282" t="str">
        <f>"409018.3"</f>
        <v>409018.3</v>
      </c>
    </row>
    <row r="283" spans="1:8" x14ac:dyDescent="0.25">
      <c r="E283" t="str">
        <f>"201904028282"</f>
        <v>201904028282</v>
      </c>
      <c r="F283" t="str">
        <f>"56 298"</f>
        <v>56 298</v>
      </c>
      <c r="G283" s="2">
        <v>250</v>
      </c>
      <c r="H283" t="str">
        <f>"56 298"</f>
        <v>56 298</v>
      </c>
    </row>
    <row r="284" spans="1:8" x14ac:dyDescent="0.25">
      <c r="E284" t="str">
        <f>"201904028283"</f>
        <v>201904028283</v>
      </c>
      <c r="F284" t="str">
        <f>"310102018A"</f>
        <v>310102018A</v>
      </c>
      <c r="G284" s="2">
        <v>250</v>
      </c>
      <c r="H284" t="str">
        <f>"310102018A"</f>
        <v>310102018A</v>
      </c>
    </row>
    <row r="285" spans="1:8" x14ac:dyDescent="0.25">
      <c r="E285" t="str">
        <f>"201904038422"</f>
        <v>201904038422</v>
      </c>
      <c r="F285" t="str">
        <f>"56 471"</f>
        <v>56 471</v>
      </c>
      <c r="G285" s="2">
        <v>250</v>
      </c>
      <c r="H285" t="str">
        <f>"56 471"</f>
        <v>56 471</v>
      </c>
    </row>
    <row r="286" spans="1:8" x14ac:dyDescent="0.25">
      <c r="A286" t="s">
        <v>75</v>
      </c>
      <c r="B286" s="3">
        <v>81861</v>
      </c>
      <c r="C286" s="2">
        <v>155</v>
      </c>
      <c r="D286" s="1">
        <v>43577</v>
      </c>
      <c r="E286" t="str">
        <f>"201904158628"</f>
        <v>201904158628</v>
      </c>
      <c r="F286" t="str">
        <f>"PER DIEM"</f>
        <v>PER DIEM</v>
      </c>
      <c r="G286" s="2">
        <v>155</v>
      </c>
      <c r="H286" t="str">
        <f>"PER DIEM"</f>
        <v>PER DIEM</v>
      </c>
    </row>
    <row r="287" spans="1:8" x14ac:dyDescent="0.25">
      <c r="A287" t="s">
        <v>76</v>
      </c>
      <c r="B287" s="3">
        <v>81862</v>
      </c>
      <c r="C287" s="2">
        <v>286.81</v>
      </c>
      <c r="D287" s="1">
        <v>43577</v>
      </c>
      <c r="E287" t="str">
        <f>"201904158616"</f>
        <v>201904158616</v>
      </c>
      <c r="F287" t="str">
        <f>"REIMBURSE-UNIFORM JEANS"</f>
        <v>REIMBURSE-UNIFORM JEANS</v>
      </c>
      <c r="G287" s="2">
        <v>286.81</v>
      </c>
      <c r="H287" t="str">
        <f>"REIMBURSE-UNIFORM JEANS"</f>
        <v>REIMBURSE-UNIFORM JEANS</v>
      </c>
    </row>
    <row r="288" spans="1:8" x14ac:dyDescent="0.25">
      <c r="A288" t="s">
        <v>77</v>
      </c>
      <c r="B288" s="3">
        <v>81677</v>
      </c>
      <c r="C288" s="2">
        <v>311.83</v>
      </c>
      <c r="D288" s="1">
        <v>43563</v>
      </c>
      <c r="E288" t="str">
        <f>"1629556"</f>
        <v>1629556</v>
      </c>
      <c r="F288" t="str">
        <f>"ACCT#000690/ORD#01383369/PCT#4"</f>
        <v>ACCT#000690/ORD#01383369/PCT#4</v>
      </c>
      <c r="G288" s="2">
        <v>9.58</v>
      </c>
      <c r="H288" t="str">
        <f>"ACCT#000690/ORD#01383369/PCT#4"</f>
        <v>ACCT#000690/ORD#01383369/PCT#4</v>
      </c>
    </row>
    <row r="289" spans="1:8" x14ac:dyDescent="0.25">
      <c r="E289" t="str">
        <f>"1629845"</f>
        <v>1629845</v>
      </c>
      <c r="F289" t="str">
        <f>"ACCT#000690/ORD#01383723"</f>
        <v>ACCT#000690/ORD#01383723</v>
      </c>
      <c r="G289" s="2">
        <v>302.25</v>
      </c>
      <c r="H289" t="str">
        <f>"ACCT#000690/ORD#01383723"</f>
        <v>ACCT#000690/ORD#01383723</v>
      </c>
    </row>
    <row r="290" spans="1:8" x14ac:dyDescent="0.25">
      <c r="A290" t="s">
        <v>78</v>
      </c>
      <c r="B290" s="3">
        <v>81863</v>
      </c>
      <c r="C290" s="2">
        <v>365</v>
      </c>
      <c r="D290" s="1">
        <v>43577</v>
      </c>
      <c r="E290" t="str">
        <f>"16214"</f>
        <v>16214</v>
      </c>
      <c r="F290" t="str">
        <f>"2ND QTR MAINT/TDLR INSP FEES"</f>
        <v>2ND QTR MAINT/TDLR INSP FEES</v>
      </c>
      <c r="G290" s="2">
        <v>365</v>
      </c>
      <c r="H290" t="str">
        <f>"2ND QTR MAINT/TDLR INSP FEES"</f>
        <v>2ND QTR MAINT/TDLR INSP FEES</v>
      </c>
    </row>
    <row r="291" spans="1:8" x14ac:dyDescent="0.25">
      <c r="A291" t="s">
        <v>79</v>
      </c>
      <c r="B291" s="3">
        <v>106</v>
      </c>
      <c r="C291" s="2">
        <v>5174.45</v>
      </c>
      <c r="D291" s="1">
        <v>43563</v>
      </c>
      <c r="E291" t="str">
        <f>"201904038429"</f>
        <v>201904038429</v>
      </c>
      <c r="F291" t="str">
        <f>"Acct# 0058"</f>
        <v>Acct# 0058</v>
      </c>
      <c r="G291" s="2">
        <v>5174.45</v>
      </c>
      <c r="H291" t="str">
        <f>"TEEX"</f>
        <v>TEEX</v>
      </c>
    </row>
    <row r="292" spans="1:8" x14ac:dyDescent="0.25">
      <c r="E292" t="str">
        <f>""</f>
        <v/>
      </c>
      <c r="F292" t="str">
        <f>""</f>
        <v/>
      </c>
      <c r="H292" t="str">
        <f>"TeachUComp"</f>
        <v>TeachUComp</v>
      </c>
    </row>
    <row r="293" spans="1:8" x14ac:dyDescent="0.25">
      <c r="E293" t="str">
        <f>""</f>
        <v/>
      </c>
      <c r="F293" t="str">
        <f>""</f>
        <v/>
      </c>
      <c r="H293" t="str">
        <f>"rio grande- Lynsey"</f>
        <v>rio grande- Lynsey</v>
      </c>
    </row>
    <row r="294" spans="1:8" x14ac:dyDescent="0.25">
      <c r="E294" t="str">
        <f>""</f>
        <v/>
      </c>
      <c r="F294" t="str">
        <f>""</f>
        <v/>
      </c>
      <c r="H294" t="str">
        <f>"Rio Grande-Leon"</f>
        <v>Rio Grande-Leon</v>
      </c>
    </row>
    <row r="295" spans="1:8" x14ac:dyDescent="0.25">
      <c r="E295" t="str">
        <f>""</f>
        <v/>
      </c>
      <c r="F295" t="str">
        <f>""</f>
        <v/>
      </c>
      <c r="H295" t="str">
        <f>"go daddy"</f>
        <v>go daddy</v>
      </c>
    </row>
    <row r="296" spans="1:8" x14ac:dyDescent="0.25">
      <c r="E296" t="str">
        <f>""</f>
        <v/>
      </c>
      <c r="F296" t="str">
        <f>""</f>
        <v/>
      </c>
      <c r="H296" t="str">
        <f>"Google"</f>
        <v>Google</v>
      </c>
    </row>
    <row r="297" spans="1:8" x14ac:dyDescent="0.25">
      <c r="E297" t="str">
        <f>""</f>
        <v/>
      </c>
      <c r="F297" t="str">
        <f>""</f>
        <v/>
      </c>
      <c r="H297" t="str">
        <f>"WebEx"</f>
        <v>WebEx</v>
      </c>
    </row>
    <row r="298" spans="1:8" x14ac:dyDescent="0.25">
      <c r="E298" t="str">
        <f>""</f>
        <v/>
      </c>
      <c r="F298" t="str">
        <f>""</f>
        <v/>
      </c>
      <c r="H298" t="str">
        <f>"Arborholic"</f>
        <v>Arborholic</v>
      </c>
    </row>
    <row r="299" spans="1:8" x14ac:dyDescent="0.25">
      <c r="E299" t="str">
        <f>""</f>
        <v/>
      </c>
      <c r="F299" t="str">
        <f>""</f>
        <v/>
      </c>
      <c r="H299" t="str">
        <f>"TxTag"</f>
        <v>TxTag</v>
      </c>
    </row>
    <row r="300" spans="1:8" x14ac:dyDescent="0.25">
      <c r="E300" t="str">
        <f>""</f>
        <v/>
      </c>
      <c r="F300" t="str">
        <f>""</f>
        <v/>
      </c>
      <c r="H300" t="str">
        <f>"Erika Dejesus"</f>
        <v>Erika Dejesus</v>
      </c>
    </row>
    <row r="301" spans="1:8" x14ac:dyDescent="0.25">
      <c r="E301" t="str">
        <f>""</f>
        <v/>
      </c>
      <c r="F301" t="str">
        <f>""</f>
        <v/>
      </c>
      <c r="H301" t="str">
        <f>"rosanna garza"</f>
        <v>rosanna garza</v>
      </c>
    </row>
    <row r="302" spans="1:8" x14ac:dyDescent="0.25">
      <c r="E302" t="str">
        <f>""</f>
        <v/>
      </c>
      <c r="F302" t="str">
        <f>""</f>
        <v/>
      </c>
      <c r="H302" t="str">
        <f>"robert bennet"</f>
        <v>robert bennet</v>
      </c>
    </row>
    <row r="303" spans="1:8" x14ac:dyDescent="0.25">
      <c r="E303" t="str">
        <f>""</f>
        <v/>
      </c>
      <c r="F303" t="str">
        <f>""</f>
        <v/>
      </c>
      <c r="H303" t="str">
        <f>"annette murley"</f>
        <v>annette murley</v>
      </c>
    </row>
    <row r="304" spans="1:8" x14ac:dyDescent="0.25">
      <c r="E304" t="str">
        <f>""</f>
        <v/>
      </c>
      <c r="F304" t="str">
        <f>""</f>
        <v/>
      </c>
      <c r="H304" t="str">
        <f>"Kenneth Leatherwood"</f>
        <v>Kenneth Leatherwood</v>
      </c>
    </row>
    <row r="305" spans="1:8" x14ac:dyDescent="0.25">
      <c r="E305" t="str">
        <f>""</f>
        <v/>
      </c>
      <c r="F305" t="str">
        <f>""</f>
        <v/>
      </c>
      <c r="H305" t="str">
        <f>"Human Education"</f>
        <v>Human Education</v>
      </c>
    </row>
    <row r="306" spans="1:8" x14ac:dyDescent="0.25">
      <c r="E306" t="str">
        <f>""</f>
        <v/>
      </c>
      <c r="F306" t="str">
        <f>""</f>
        <v/>
      </c>
      <c r="H306" t="str">
        <f>"TxTag"</f>
        <v>TxTag</v>
      </c>
    </row>
    <row r="307" spans="1:8" x14ac:dyDescent="0.25">
      <c r="E307" t="str">
        <f>""</f>
        <v/>
      </c>
      <c r="F307" t="str">
        <f>""</f>
        <v/>
      </c>
      <c r="H307" t="str">
        <f>"RMA Toll"</f>
        <v>RMA Toll</v>
      </c>
    </row>
    <row r="308" spans="1:8" x14ac:dyDescent="0.25">
      <c r="E308" t="str">
        <f>""</f>
        <v/>
      </c>
      <c r="F308" t="str">
        <f>""</f>
        <v/>
      </c>
      <c r="H308" t="str">
        <f>"TxDMV"</f>
        <v>TxDMV</v>
      </c>
    </row>
    <row r="309" spans="1:8" x14ac:dyDescent="0.25">
      <c r="E309" t="str">
        <f>""</f>
        <v/>
      </c>
      <c r="F309" t="str">
        <f>""</f>
        <v/>
      </c>
      <c r="H309" t="str">
        <f>"election center"</f>
        <v>election center</v>
      </c>
    </row>
    <row r="310" spans="1:8" x14ac:dyDescent="0.25">
      <c r="E310" t="str">
        <f>""</f>
        <v/>
      </c>
      <c r="F310" t="str">
        <f>""</f>
        <v/>
      </c>
      <c r="H310" t="str">
        <f>"dropbox"</f>
        <v>dropbox</v>
      </c>
    </row>
    <row r="311" spans="1:8" x14ac:dyDescent="0.25">
      <c r="E311" t="str">
        <f>""</f>
        <v/>
      </c>
      <c r="F311" t="str">
        <f>""</f>
        <v/>
      </c>
      <c r="H311" t="str">
        <f>"Stamps"</f>
        <v>Stamps</v>
      </c>
    </row>
    <row r="312" spans="1:8" x14ac:dyDescent="0.25">
      <c r="E312" t="str">
        <f>""</f>
        <v/>
      </c>
      <c r="F312" t="str">
        <f>""</f>
        <v/>
      </c>
      <c r="H312" t="str">
        <f>"NNA"</f>
        <v>NNA</v>
      </c>
    </row>
    <row r="313" spans="1:8" x14ac:dyDescent="0.25">
      <c r="E313" t="str">
        <f>""</f>
        <v/>
      </c>
      <c r="F313" t="str">
        <f>""</f>
        <v/>
      </c>
      <c r="H313" t="str">
        <f>"Drop Box"</f>
        <v>Drop Box</v>
      </c>
    </row>
    <row r="314" spans="1:8" x14ac:dyDescent="0.25">
      <c r="E314" t="str">
        <f>""</f>
        <v/>
      </c>
      <c r="F314" t="str">
        <f>""</f>
        <v/>
      </c>
      <c r="H314" t="str">
        <f>"TxTag"</f>
        <v>TxTag</v>
      </c>
    </row>
    <row r="315" spans="1:8" x14ac:dyDescent="0.25">
      <c r="E315" t="str">
        <f>""</f>
        <v/>
      </c>
      <c r="F315" t="str">
        <f>""</f>
        <v/>
      </c>
      <c r="H315" t="str">
        <f>"TxTag"</f>
        <v>TxTag</v>
      </c>
    </row>
    <row r="316" spans="1:8" x14ac:dyDescent="0.25">
      <c r="E316" t="str">
        <f>""</f>
        <v/>
      </c>
      <c r="F316" t="str">
        <f>""</f>
        <v/>
      </c>
      <c r="H316" t="str">
        <f>"Marriot-Adena"</f>
        <v>Marriot-Adena</v>
      </c>
    </row>
    <row r="317" spans="1:8" x14ac:dyDescent="0.25">
      <c r="E317" t="str">
        <f>""</f>
        <v/>
      </c>
      <c r="F317" t="str">
        <f>""</f>
        <v/>
      </c>
      <c r="H317" t="str">
        <f>"Marriot-Fran"</f>
        <v>Marriot-Fran</v>
      </c>
    </row>
    <row r="318" spans="1:8" x14ac:dyDescent="0.25">
      <c r="A318" t="s">
        <v>80</v>
      </c>
      <c r="B318" s="3">
        <v>81864</v>
      </c>
      <c r="C318" s="2">
        <v>200</v>
      </c>
      <c r="D318" s="1">
        <v>43577</v>
      </c>
      <c r="E318" t="str">
        <f>"201904098538"</f>
        <v>201904098538</v>
      </c>
      <c r="F318" t="str">
        <f>"REIMBURSE CONFERENCE REGISTRAT"</f>
        <v>REIMBURSE CONFERENCE REGISTRAT</v>
      </c>
      <c r="G318" s="2">
        <v>200</v>
      </c>
      <c r="H318" t="str">
        <f>"REIMBURSE CONFERENCE REGISTRAT"</f>
        <v>REIMBURSE CONFERENCE REGISTRAT</v>
      </c>
    </row>
    <row r="319" spans="1:8" x14ac:dyDescent="0.25">
      <c r="A319" t="s">
        <v>81</v>
      </c>
      <c r="B319" s="3">
        <v>81678</v>
      </c>
      <c r="C319" s="2">
        <v>3005.8</v>
      </c>
      <c r="D319" s="1">
        <v>43563</v>
      </c>
      <c r="E319" t="str">
        <f>"CID2422660"</f>
        <v>CID2422660</v>
      </c>
      <c r="F319" t="str">
        <f>"ACCT#238567/ORD#CID2493111"</f>
        <v>ACCT#238567/ORD#CID2493111</v>
      </c>
      <c r="G319" s="2">
        <v>3005.8</v>
      </c>
      <c r="H319" t="str">
        <f>"ACCT#238567/ORD#CID2493111"</f>
        <v>ACCT#238567/ORD#CID2493111</v>
      </c>
    </row>
    <row r="320" spans="1:8" x14ac:dyDescent="0.25">
      <c r="A320" t="s">
        <v>82</v>
      </c>
      <c r="B320" s="3">
        <v>81865</v>
      </c>
      <c r="C320" s="2">
        <v>6300</v>
      </c>
      <c r="D320" s="1">
        <v>43577</v>
      </c>
      <c r="E320" t="str">
        <f>"12724"</f>
        <v>12724</v>
      </c>
      <c r="F320" t="str">
        <f>"CTA329-18  D.Q. SMITH"</f>
        <v>CTA329-18  D.Q. SMITH</v>
      </c>
      <c r="G320" s="2">
        <v>2100</v>
      </c>
      <c r="H320" t="str">
        <f>"CTA329-18  D.Q. SMITH"</f>
        <v>CTA329-18  D.Q. SMITH</v>
      </c>
    </row>
    <row r="321" spans="1:8" x14ac:dyDescent="0.25">
      <c r="E321" t="str">
        <f>"12725"</f>
        <v>12725</v>
      </c>
      <c r="F321" t="str">
        <f>"CTA 337-18/R.C. BAKER"</f>
        <v>CTA 337-18/R.C. BAKER</v>
      </c>
      <c r="G321" s="2">
        <v>2100</v>
      </c>
      <c r="H321" t="str">
        <f>"CTA 337-18/R.C. BAKER"</f>
        <v>CTA 337-18/R.C. BAKER</v>
      </c>
    </row>
    <row r="322" spans="1:8" x14ac:dyDescent="0.25">
      <c r="E322" t="str">
        <f>"12728"</f>
        <v>12728</v>
      </c>
      <c r="F322" t="str">
        <f>"CTA 378-18  W.H. HOWE"</f>
        <v>CTA 378-18  W.H. HOWE</v>
      </c>
      <c r="G322" s="2">
        <v>2100</v>
      </c>
      <c r="H322" t="str">
        <f>"CTA 378-18  W.H. HOWE"</f>
        <v>CTA 378-18  W.H. HOWE</v>
      </c>
    </row>
    <row r="323" spans="1:8" x14ac:dyDescent="0.25">
      <c r="A323" t="s">
        <v>83</v>
      </c>
      <c r="B323" s="3">
        <v>81679</v>
      </c>
      <c r="C323" s="2">
        <v>1350</v>
      </c>
      <c r="D323" s="1">
        <v>43563</v>
      </c>
      <c r="E323" t="str">
        <f>"201904018220"</f>
        <v>201904018220</v>
      </c>
      <c r="F323" t="str">
        <f>"18-18877"</f>
        <v>18-18877</v>
      </c>
      <c r="G323" s="2">
        <v>100</v>
      </c>
      <c r="H323" t="str">
        <f>"18-18877"</f>
        <v>18-18877</v>
      </c>
    </row>
    <row r="324" spans="1:8" x14ac:dyDescent="0.25">
      <c r="E324" t="str">
        <f>"201904018221"</f>
        <v>201904018221</v>
      </c>
      <c r="F324" t="str">
        <f>"18-18941"</f>
        <v>18-18941</v>
      </c>
      <c r="G324" s="2">
        <v>100</v>
      </c>
      <c r="H324" t="str">
        <f>"18-18941"</f>
        <v>18-18941</v>
      </c>
    </row>
    <row r="325" spans="1:8" x14ac:dyDescent="0.25">
      <c r="E325" t="str">
        <f>"201904018222"</f>
        <v>201904018222</v>
      </c>
      <c r="F325" t="str">
        <f>"18-19239"</f>
        <v>18-19239</v>
      </c>
      <c r="G325" s="2">
        <v>100</v>
      </c>
      <c r="H325" t="str">
        <f>"18-19239"</f>
        <v>18-19239</v>
      </c>
    </row>
    <row r="326" spans="1:8" x14ac:dyDescent="0.25">
      <c r="E326" t="str">
        <f>"201904018223"</f>
        <v>201904018223</v>
      </c>
      <c r="F326" t="str">
        <f>"18-18990"</f>
        <v>18-18990</v>
      </c>
      <c r="G326" s="2">
        <v>100</v>
      </c>
      <c r="H326" t="str">
        <f>"18-18990"</f>
        <v>18-18990</v>
      </c>
    </row>
    <row r="327" spans="1:8" x14ac:dyDescent="0.25">
      <c r="E327" t="str">
        <f>"201904018229"</f>
        <v>201904018229</v>
      </c>
      <c r="F327" t="str">
        <f>"17-18765"</f>
        <v>17-18765</v>
      </c>
      <c r="G327" s="2">
        <v>100</v>
      </c>
      <c r="H327" t="str">
        <f>"17-18765"</f>
        <v>17-18765</v>
      </c>
    </row>
    <row r="328" spans="1:8" x14ac:dyDescent="0.25">
      <c r="E328" t="str">
        <f>"201904018230"</f>
        <v>201904018230</v>
      </c>
      <c r="F328" t="str">
        <f>"19-19423"</f>
        <v>19-19423</v>
      </c>
      <c r="G328" s="2">
        <v>100</v>
      </c>
      <c r="H328" t="str">
        <f>"19-19423"</f>
        <v>19-19423</v>
      </c>
    </row>
    <row r="329" spans="1:8" x14ac:dyDescent="0.25">
      <c r="E329" t="str">
        <f>"201904028276"</f>
        <v>201904028276</v>
      </c>
      <c r="F329" t="str">
        <f>"1JP518B  1JP9518C"</f>
        <v>1JP518B  1JP9518C</v>
      </c>
      <c r="G329" s="2">
        <v>375</v>
      </c>
      <c r="H329" t="str">
        <f>"1JP518B  1JP9518C"</f>
        <v>1JP518B  1JP9518C</v>
      </c>
    </row>
    <row r="330" spans="1:8" x14ac:dyDescent="0.25">
      <c r="E330" t="str">
        <f>"201904028277"</f>
        <v>201904028277</v>
      </c>
      <c r="F330" t="str">
        <f>"CH-2018827-B CH-2018827-A"</f>
        <v>CH-2018827-B CH-2018827-A</v>
      </c>
      <c r="G330" s="2">
        <v>375</v>
      </c>
      <c r="H330" t="str">
        <f>"CH-2018827-B CH-2018827-A"</f>
        <v>CH-2018827-B CH-2018827-A</v>
      </c>
    </row>
    <row r="331" spans="1:8" x14ac:dyDescent="0.25">
      <c r="A331" t="s">
        <v>83</v>
      </c>
      <c r="B331" s="3">
        <v>81866</v>
      </c>
      <c r="C331" s="2">
        <v>550</v>
      </c>
      <c r="D331" s="1">
        <v>43577</v>
      </c>
      <c r="E331" t="str">
        <f>"201904158644"</f>
        <v>201904158644</v>
      </c>
      <c r="F331" t="str">
        <f>"J-3150"</f>
        <v>J-3150</v>
      </c>
      <c r="G331" s="2">
        <v>250</v>
      </c>
      <c r="H331" t="str">
        <f>"J-3150"</f>
        <v>J-3150</v>
      </c>
    </row>
    <row r="332" spans="1:8" x14ac:dyDescent="0.25">
      <c r="E332" t="str">
        <f>"201904158648"</f>
        <v>201904158648</v>
      </c>
      <c r="F332" t="str">
        <f>"17-18229"</f>
        <v>17-18229</v>
      </c>
      <c r="G332" s="2">
        <v>100</v>
      </c>
      <c r="H332" t="str">
        <f>"17-18229"</f>
        <v>17-18229</v>
      </c>
    </row>
    <row r="333" spans="1:8" x14ac:dyDescent="0.25">
      <c r="E333" t="str">
        <f>"201904158649"</f>
        <v>201904158649</v>
      </c>
      <c r="F333" t="str">
        <f>"18-18997"</f>
        <v>18-18997</v>
      </c>
      <c r="G333" s="2">
        <v>100</v>
      </c>
      <c r="H333" t="str">
        <f>"18-18997"</f>
        <v>18-18997</v>
      </c>
    </row>
    <row r="334" spans="1:8" x14ac:dyDescent="0.25">
      <c r="E334" t="str">
        <f>"201904158650"</f>
        <v>201904158650</v>
      </c>
      <c r="F334" t="str">
        <f>"18-18960"</f>
        <v>18-18960</v>
      </c>
      <c r="G334" s="2">
        <v>100</v>
      </c>
      <c r="H334" t="str">
        <f>"18-18960"</f>
        <v>18-18960</v>
      </c>
    </row>
    <row r="335" spans="1:8" x14ac:dyDescent="0.25">
      <c r="A335" t="s">
        <v>84</v>
      </c>
      <c r="B335" s="3">
        <v>725</v>
      </c>
      <c r="C335" s="2">
        <v>553.20000000000005</v>
      </c>
      <c r="D335" s="1">
        <v>43578</v>
      </c>
      <c r="E335" t="str">
        <f>"0187644-IN"</f>
        <v>0187644-IN</v>
      </c>
      <c r="F335" t="str">
        <f>"INV 0187644-IN"</f>
        <v>INV 0187644-IN</v>
      </c>
      <c r="G335" s="2">
        <v>553.20000000000005</v>
      </c>
      <c r="H335" t="str">
        <f>"INV 0187644-IN"</f>
        <v>INV 0187644-IN</v>
      </c>
    </row>
    <row r="336" spans="1:8" x14ac:dyDescent="0.25">
      <c r="A336" t="s">
        <v>85</v>
      </c>
      <c r="B336" s="3">
        <v>81680</v>
      </c>
      <c r="C336" s="2">
        <v>270</v>
      </c>
      <c r="D336" s="1">
        <v>43563</v>
      </c>
      <c r="E336" t="str">
        <f>"201904028324"</f>
        <v>201904028324</v>
      </c>
      <c r="F336" t="str">
        <f>"REFUND BAIL BOND COUPONS"</f>
        <v>REFUND BAIL BOND COUPONS</v>
      </c>
      <c r="G336" s="2">
        <v>270</v>
      </c>
      <c r="H336" t="str">
        <f>"REFUND BAIL BOND COUPONS"</f>
        <v>REFUND BAIL BOND COUPONS</v>
      </c>
    </row>
    <row r="337" spans="1:8" x14ac:dyDescent="0.25">
      <c r="A337" t="s">
        <v>86</v>
      </c>
      <c r="B337" s="3">
        <v>678</v>
      </c>
      <c r="C337" s="2">
        <v>6850</v>
      </c>
      <c r="D337" s="1">
        <v>43564</v>
      </c>
      <c r="E337" t="str">
        <f>"201903288141"</f>
        <v>201903288141</v>
      </c>
      <c r="F337" t="str">
        <f>"CC20180527"</f>
        <v>CC20180527</v>
      </c>
      <c r="G337" s="2">
        <v>400</v>
      </c>
      <c r="H337" t="str">
        <f>"CC20180527"</f>
        <v>CC20180527</v>
      </c>
    </row>
    <row r="338" spans="1:8" x14ac:dyDescent="0.25">
      <c r="E338" t="str">
        <f>"201903288142"</f>
        <v>201903288142</v>
      </c>
      <c r="F338" t="str">
        <f>"AC-20180707A  AC-2018-0707B"</f>
        <v>AC-20180707A  AC-2018-0707B</v>
      </c>
      <c r="G338" s="2">
        <v>600</v>
      </c>
      <c r="H338" t="str">
        <f>"AC-20180707A  AC-2018-0707B"</f>
        <v>AC-20180707A  AC-2018-0707B</v>
      </c>
    </row>
    <row r="339" spans="1:8" x14ac:dyDescent="0.25">
      <c r="E339" t="str">
        <f>"201903288143"</f>
        <v>201903288143</v>
      </c>
      <c r="F339" t="str">
        <f>"1JP11618A"</f>
        <v>1JP11618A</v>
      </c>
      <c r="G339" s="2">
        <v>400</v>
      </c>
      <c r="H339" t="str">
        <f>"1JP11618A"</f>
        <v>1JP11618A</v>
      </c>
    </row>
    <row r="340" spans="1:8" x14ac:dyDescent="0.25">
      <c r="E340" t="str">
        <f>"201904018184"</f>
        <v>201904018184</v>
      </c>
      <c r="F340" t="str">
        <f>"16 112"</f>
        <v>16 112</v>
      </c>
      <c r="G340" s="2">
        <v>400</v>
      </c>
      <c r="H340" t="str">
        <f>"16 112"</f>
        <v>16 112</v>
      </c>
    </row>
    <row r="341" spans="1:8" x14ac:dyDescent="0.25">
      <c r="E341" t="str">
        <f>"201904018185"</f>
        <v>201904018185</v>
      </c>
      <c r="F341" t="str">
        <f>"16 271 CR1 &amp; 2   16 272"</f>
        <v>16 271 CR1 &amp; 2   16 272</v>
      </c>
      <c r="G341" s="2">
        <v>2700</v>
      </c>
      <c r="H341" t="str">
        <f>"16 271 CR1 &amp; 2   16 272"</f>
        <v>16 271 CR1 &amp; 2   16 272</v>
      </c>
    </row>
    <row r="342" spans="1:8" x14ac:dyDescent="0.25">
      <c r="E342" t="str">
        <f>"201904018186"</f>
        <v>201904018186</v>
      </c>
      <c r="F342" t="str">
        <f>"16 690"</f>
        <v>16 690</v>
      </c>
      <c r="G342" s="2">
        <v>400</v>
      </c>
      <c r="H342" t="str">
        <f>"16 690"</f>
        <v>16 690</v>
      </c>
    </row>
    <row r="343" spans="1:8" x14ac:dyDescent="0.25">
      <c r="E343" t="str">
        <f>"201904018217"</f>
        <v>201904018217</v>
      </c>
      <c r="F343" t="str">
        <f>"18-19039"</f>
        <v>18-19039</v>
      </c>
      <c r="G343" s="2">
        <v>100</v>
      </c>
      <c r="H343" t="str">
        <f>"18-19039"</f>
        <v>18-19039</v>
      </c>
    </row>
    <row r="344" spans="1:8" x14ac:dyDescent="0.25">
      <c r="E344" t="str">
        <f>"201904018218"</f>
        <v>201904018218</v>
      </c>
      <c r="F344" t="str">
        <f>"19-19418"</f>
        <v>19-19418</v>
      </c>
      <c r="G344" s="2">
        <v>100</v>
      </c>
      <c r="H344" t="str">
        <f>"19-19418"</f>
        <v>19-19418</v>
      </c>
    </row>
    <row r="345" spans="1:8" x14ac:dyDescent="0.25">
      <c r="E345" t="str">
        <f>"201904018238"</f>
        <v>201904018238</v>
      </c>
      <c r="F345" t="str">
        <f>"18-19054"</f>
        <v>18-19054</v>
      </c>
      <c r="G345" s="2">
        <v>100</v>
      </c>
      <c r="H345" t="str">
        <f>"18-19054"</f>
        <v>18-19054</v>
      </c>
    </row>
    <row r="346" spans="1:8" x14ac:dyDescent="0.25">
      <c r="E346" t="str">
        <f>"201904018239"</f>
        <v>201904018239</v>
      </c>
      <c r="F346" t="str">
        <f>"18-18824"</f>
        <v>18-18824</v>
      </c>
      <c r="G346" s="2">
        <v>100</v>
      </c>
      <c r="H346" t="str">
        <f>"18-18824"</f>
        <v>18-18824</v>
      </c>
    </row>
    <row r="347" spans="1:8" x14ac:dyDescent="0.25">
      <c r="E347" t="str">
        <f>"201904018240"</f>
        <v>201904018240</v>
      </c>
      <c r="F347" t="str">
        <f>"18-18996"</f>
        <v>18-18996</v>
      </c>
      <c r="G347" s="2">
        <v>100</v>
      </c>
      <c r="H347" t="str">
        <f>"18-18996"</f>
        <v>18-18996</v>
      </c>
    </row>
    <row r="348" spans="1:8" x14ac:dyDescent="0.25">
      <c r="E348" t="str">
        <f>"201904028250"</f>
        <v>201904028250</v>
      </c>
      <c r="F348" t="str">
        <f>"J-3166"</f>
        <v>J-3166</v>
      </c>
      <c r="G348" s="2">
        <v>250</v>
      </c>
      <c r="H348" t="str">
        <f>"J-3166"</f>
        <v>J-3166</v>
      </c>
    </row>
    <row r="349" spans="1:8" x14ac:dyDescent="0.25">
      <c r="E349" t="str">
        <f>"201904028253"</f>
        <v>201904028253</v>
      </c>
      <c r="F349" t="str">
        <f>"J"</f>
        <v>J</v>
      </c>
      <c r="G349" s="2">
        <v>100</v>
      </c>
      <c r="H349" t="str">
        <f>"J"</f>
        <v>J</v>
      </c>
    </row>
    <row r="350" spans="1:8" x14ac:dyDescent="0.25">
      <c r="E350" t="str">
        <f>"201904028254"</f>
        <v>201904028254</v>
      </c>
      <c r="F350" t="str">
        <f>"J"</f>
        <v>J</v>
      </c>
      <c r="G350" s="2">
        <v>100</v>
      </c>
      <c r="H350" t="str">
        <f>"J"</f>
        <v>J</v>
      </c>
    </row>
    <row r="351" spans="1:8" x14ac:dyDescent="0.25">
      <c r="E351" t="str">
        <f>"201904028263"</f>
        <v>201904028263</v>
      </c>
      <c r="F351" t="str">
        <f>"56 712"</f>
        <v>56 712</v>
      </c>
      <c r="G351" s="2">
        <v>250</v>
      </c>
      <c r="H351" t="str">
        <f>"56 712"</f>
        <v>56 712</v>
      </c>
    </row>
    <row r="352" spans="1:8" x14ac:dyDescent="0.25">
      <c r="E352" t="str">
        <f>"201904028264"</f>
        <v>201904028264</v>
      </c>
      <c r="F352" t="str">
        <f>"55 762"</f>
        <v>55 762</v>
      </c>
      <c r="G352" s="2">
        <v>250</v>
      </c>
      <c r="H352" t="str">
        <f>"55 762"</f>
        <v>55 762</v>
      </c>
    </row>
    <row r="353" spans="1:8" x14ac:dyDescent="0.25">
      <c r="E353" t="str">
        <f>"201904028265"</f>
        <v>201904028265</v>
      </c>
      <c r="F353" t="str">
        <f>"56 278"</f>
        <v>56 278</v>
      </c>
      <c r="G353" s="2">
        <v>250</v>
      </c>
      <c r="H353" t="str">
        <f>"56 278"</f>
        <v>56 278</v>
      </c>
    </row>
    <row r="354" spans="1:8" x14ac:dyDescent="0.25">
      <c r="E354" t="str">
        <f>"201904028272"</f>
        <v>201904028272</v>
      </c>
      <c r="F354" t="str">
        <f>"409143.7M"</f>
        <v>409143.7M</v>
      </c>
      <c r="G354" s="2">
        <v>250</v>
      </c>
      <c r="H354" t="str">
        <f>"409143.7M"</f>
        <v>409143.7M</v>
      </c>
    </row>
    <row r="355" spans="1:8" x14ac:dyDescent="0.25">
      <c r="A355" t="s">
        <v>86</v>
      </c>
      <c r="B355" s="3">
        <v>733</v>
      </c>
      <c r="C355" s="2">
        <v>250</v>
      </c>
      <c r="D355" s="1">
        <v>43578</v>
      </c>
      <c r="E355" t="str">
        <f>"201904158638"</f>
        <v>201904158638</v>
      </c>
      <c r="F355" t="str">
        <f>"56 736"</f>
        <v>56 736</v>
      </c>
      <c r="G355" s="2">
        <v>250</v>
      </c>
      <c r="H355" t="str">
        <f>"56 736"</f>
        <v>56 736</v>
      </c>
    </row>
    <row r="356" spans="1:8" x14ac:dyDescent="0.25">
      <c r="A356" t="s">
        <v>87</v>
      </c>
      <c r="B356" s="3">
        <v>81681</v>
      </c>
      <c r="C356" s="2">
        <v>150</v>
      </c>
      <c r="D356" s="1">
        <v>43563</v>
      </c>
      <c r="E356" t="str">
        <f>"201903298175"</f>
        <v>201903298175</v>
      </c>
      <c r="F356" t="str">
        <f>"OFFICE CONFERENCE W/C. BECKETT"</f>
        <v>OFFICE CONFERENCE W/C. BECKETT</v>
      </c>
      <c r="G356" s="2">
        <v>150</v>
      </c>
      <c r="H356" t="str">
        <f>"OFFICE CONFERENCE W/C. BECKETT"</f>
        <v>OFFICE CONFERENCE W/C. BECKETT</v>
      </c>
    </row>
    <row r="357" spans="1:8" x14ac:dyDescent="0.25">
      <c r="A357" t="s">
        <v>88</v>
      </c>
      <c r="B357" s="3">
        <v>81682</v>
      </c>
      <c r="C357" s="2">
        <v>1974</v>
      </c>
      <c r="D357" s="1">
        <v>43563</v>
      </c>
      <c r="E357" t="str">
        <f>"3994"</f>
        <v>3994</v>
      </c>
      <c r="F357" t="str">
        <f>"ANNUAL MAINT &amp; SUPPORT"</f>
        <v>ANNUAL MAINT &amp; SUPPORT</v>
      </c>
      <c r="G357" s="2">
        <v>1974</v>
      </c>
      <c r="H357" t="str">
        <f>"ANNUAL MAINT &amp; SUPPORT"</f>
        <v>ANNUAL MAINT &amp; SUPPORT</v>
      </c>
    </row>
    <row r="358" spans="1:8" x14ac:dyDescent="0.25">
      <c r="A358" t="s">
        <v>89</v>
      </c>
      <c r="B358" s="3">
        <v>81867</v>
      </c>
      <c r="C358" s="2">
        <v>108.42</v>
      </c>
      <c r="D358" s="1">
        <v>43577</v>
      </c>
      <c r="E358" t="str">
        <f>"5013419681"</f>
        <v>5013419681</v>
      </c>
      <c r="F358" t="str">
        <f>"CUST#0011167190"</f>
        <v>CUST#0011167190</v>
      </c>
      <c r="G358" s="2">
        <v>108.42</v>
      </c>
      <c r="H358" t="str">
        <f>"CUST#0011167190"</f>
        <v>CUST#0011167190</v>
      </c>
    </row>
    <row r="359" spans="1:8" x14ac:dyDescent="0.25">
      <c r="A359" t="s">
        <v>90</v>
      </c>
      <c r="B359" s="3">
        <v>81683</v>
      </c>
      <c r="C359" s="2">
        <v>339.36</v>
      </c>
      <c r="D359" s="1">
        <v>43563</v>
      </c>
      <c r="E359" t="str">
        <f>"8404072564"</f>
        <v>8404072564</v>
      </c>
      <c r="F359" t="str">
        <f>"CUST#10377368/PCT#3"</f>
        <v>CUST#10377368/PCT#3</v>
      </c>
      <c r="G359" s="2">
        <v>339.36</v>
      </c>
      <c r="H359" t="str">
        <f>"CUST#10377368/PCT#3"</f>
        <v>CUST#10377368/PCT#3</v>
      </c>
    </row>
    <row r="360" spans="1:8" x14ac:dyDescent="0.25">
      <c r="A360" t="s">
        <v>90</v>
      </c>
      <c r="B360" s="3">
        <v>81868</v>
      </c>
      <c r="C360" s="2">
        <v>57.02</v>
      </c>
      <c r="D360" s="1">
        <v>43577</v>
      </c>
      <c r="E360" t="str">
        <f>"8404095682"</f>
        <v>8404095682</v>
      </c>
      <c r="F360" t="str">
        <f>"CUST#10377368/PCT#2"</f>
        <v>CUST#10377368/PCT#2</v>
      </c>
      <c r="G360" s="2">
        <v>57.02</v>
      </c>
      <c r="H360" t="str">
        <f>"CUST#10377368/PCT#2"</f>
        <v>CUST#10377368/PCT#2</v>
      </c>
    </row>
    <row r="361" spans="1:8" x14ac:dyDescent="0.25">
      <c r="A361" t="s">
        <v>91</v>
      </c>
      <c r="B361" s="3">
        <v>81869</v>
      </c>
      <c r="C361" s="2">
        <v>4071.81</v>
      </c>
      <c r="D361" s="1">
        <v>43577</v>
      </c>
      <c r="E361" t="str">
        <f>"201904098537"</f>
        <v>201904098537</v>
      </c>
      <c r="F361" t="str">
        <f>"PAYER#14108463/ANIMAL SHELTER"</f>
        <v>PAYER#14108463/ANIMAL SHELTER</v>
      </c>
      <c r="G361" s="2">
        <v>858.27</v>
      </c>
      <c r="H361" t="str">
        <f>"PAYER#14108463/ANIMAL SHELTER"</f>
        <v>PAYER#14108463/ANIMAL SHELTER</v>
      </c>
    </row>
    <row r="362" spans="1:8" x14ac:dyDescent="0.25">
      <c r="E362" t="str">
        <f>"201904108547"</f>
        <v>201904108547</v>
      </c>
      <c r="F362" t="str">
        <f>"PAYER#14108431"</f>
        <v>PAYER#14108431</v>
      </c>
      <c r="G362" s="2">
        <v>48.68</v>
      </c>
      <c r="H362" t="str">
        <f>"PAYER#14108431"</f>
        <v>PAYER#14108431</v>
      </c>
    </row>
    <row r="363" spans="1:8" x14ac:dyDescent="0.25">
      <c r="E363" t="str">
        <f>"201904108567"</f>
        <v>201904108567</v>
      </c>
      <c r="F363" t="str">
        <f>"PAYER#14108431/PCT#1"</f>
        <v>PAYER#14108431/PCT#1</v>
      </c>
      <c r="G363" s="2">
        <v>1159.73</v>
      </c>
      <c r="H363" t="str">
        <f>"PAYER#14108431/PCT#1"</f>
        <v>PAYER#14108431/PCT#1</v>
      </c>
    </row>
    <row r="364" spans="1:8" x14ac:dyDescent="0.25">
      <c r="E364" t="str">
        <f>"201904108570"</f>
        <v>201904108570</v>
      </c>
      <c r="F364" t="str">
        <f>"PAYER#14108367"</f>
        <v>PAYER#14108367</v>
      </c>
      <c r="G364" s="2">
        <v>679.17</v>
      </c>
      <c r="H364" t="str">
        <f>"PAYER#14108367"</f>
        <v>PAYER#14108367</v>
      </c>
    </row>
    <row r="365" spans="1:8" x14ac:dyDescent="0.25">
      <c r="E365" t="str">
        <f>"201904108574"</f>
        <v>201904108574</v>
      </c>
      <c r="F365" t="str">
        <f>"PAYER#14108430/PCT#4"</f>
        <v>PAYER#14108430/PCT#4</v>
      </c>
      <c r="G365" s="2">
        <v>1303.69</v>
      </c>
      <c r="H365" t="str">
        <f>"PAYER#14108430/PCT#4"</f>
        <v>PAYER#14108430/PCT#4</v>
      </c>
    </row>
    <row r="366" spans="1:8" x14ac:dyDescent="0.25">
      <c r="E366" t="str">
        <f>"201904108578"</f>
        <v>201904108578</v>
      </c>
      <c r="F366" t="str">
        <f>"ACCT#13230106/PCT#1"</f>
        <v>ACCT#13230106/PCT#1</v>
      </c>
      <c r="G366" s="2">
        <v>22.27</v>
      </c>
      <c r="H366" t="str">
        <f>"ACCT#13230106/PCT#1"</f>
        <v>ACCT#13230106/PCT#1</v>
      </c>
    </row>
    <row r="367" spans="1:8" x14ac:dyDescent="0.25">
      <c r="A367" t="s">
        <v>92</v>
      </c>
      <c r="B367" s="3">
        <v>81643</v>
      </c>
      <c r="C367" s="2">
        <v>38997.279999999999</v>
      </c>
      <c r="D367" s="1">
        <v>43560</v>
      </c>
      <c r="E367" t="str">
        <f>"201904058501"</f>
        <v>201904058501</v>
      </c>
      <c r="F367" t="str">
        <f>"ACCT#02-2083-04 / 03292019"</f>
        <v>ACCT#02-2083-04 / 03292019</v>
      </c>
      <c r="G367" s="2">
        <v>619.63</v>
      </c>
      <c r="H367" t="str">
        <f>"ACCT#02-2083-04 / 03292019"</f>
        <v>ACCT#02-2083-04 / 03292019</v>
      </c>
    </row>
    <row r="368" spans="1:8" x14ac:dyDescent="0.25">
      <c r="E368" t="str">
        <f>"201904058502"</f>
        <v>201904058502</v>
      </c>
      <c r="F368" t="str">
        <f>"CTY DEV CR / 03292019"</f>
        <v>CTY DEV CR / 03292019</v>
      </c>
      <c r="G368" s="2">
        <v>1804.45</v>
      </c>
      <c r="H368" t="str">
        <f>"CTY DEV CR / 03292019"</f>
        <v>CTY DEV CR / 03292019</v>
      </c>
    </row>
    <row r="369" spans="1:8" x14ac:dyDescent="0.25">
      <c r="E369" t="str">
        <f>"201904058503"</f>
        <v>201904058503</v>
      </c>
      <c r="F369" t="str">
        <f>"COUNTY / 03292019"</f>
        <v>COUNTY / 03292019</v>
      </c>
      <c r="G369" s="2">
        <v>22346.240000000002</v>
      </c>
      <c r="H369" t="str">
        <f>"COUNTY / 03292019"</f>
        <v>COUNTY / 03292019</v>
      </c>
    </row>
    <row r="370" spans="1:8" x14ac:dyDescent="0.25">
      <c r="E370" t="str">
        <f>"201904058504"</f>
        <v>201904058504</v>
      </c>
      <c r="F370" t="str">
        <f>"BASTROP CO / 03292019"</f>
        <v>BASTROP CO / 03292019</v>
      </c>
      <c r="G370" s="2">
        <v>14226.96</v>
      </c>
      <c r="H370" t="str">
        <f>"BASTROP CO / 03292019"</f>
        <v>BASTROP CO / 03292019</v>
      </c>
    </row>
    <row r="371" spans="1:8" x14ac:dyDescent="0.25">
      <c r="A371" t="s">
        <v>92</v>
      </c>
      <c r="B371" s="3">
        <v>81870</v>
      </c>
      <c r="C371" s="2">
        <v>750</v>
      </c>
      <c r="D371" s="1">
        <v>43577</v>
      </c>
      <c r="E371" t="str">
        <f>"201904098540"</f>
        <v>201904098540</v>
      </c>
      <c r="F371" t="str">
        <f>"RENTAL PARKING LOT"</f>
        <v>RENTAL PARKING LOT</v>
      </c>
      <c r="G371" s="2">
        <v>750</v>
      </c>
      <c r="H371" t="str">
        <f>"RENTAL PARKING LOT"</f>
        <v>RENTAL PARKING LOT</v>
      </c>
    </row>
    <row r="372" spans="1:8" x14ac:dyDescent="0.25">
      <c r="A372" t="s">
        <v>93</v>
      </c>
      <c r="B372" s="3">
        <v>81684</v>
      </c>
      <c r="C372" s="2">
        <v>750</v>
      </c>
      <c r="D372" s="1">
        <v>43563</v>
      </c>
      <c r="E372" t="str">
        <f>"201904038367"</f>
        <v>201904038367</v>
      </c>
      <c r="F372" t="str">
        <f>"TRAINING"</f>
        <v>TRAINING</v>
      </c>
      <c r="G372" s="2">
        <v>750</v>
      </c>
      <c r="H372" t="str">
        <f>"TRAINING"</f>
        <v>TRAINING</v>
      </c>
    </row>
    <row r="373" spans="1:8" x14ac:dyDescent="0.25">
      <c r="A373" t="s">
        <v>94</v>
      </c>
      <c r="B373" s="3">
        <v>81644</v>
      </c>
      <c r="C373" s="2">
        <v>904.18</v>
      </c>
      <c r="D373" s="1">
        <v>43560</v>
      </c>
      <c r="E373" t="str">
        <f>"201904058512"</f>
        <v>201904058512</v>
      </c>
      <c r="F373" t="str">
        <f>"ACCT#007-0000388-000/03212019"</f>
        <v>ACCT#007-0000388-000/03212019</v>
      </c>
      <c r="G373" s="2">
        <v>374.16</v>
      </c>
      <c r="H373" t="str">
        <f>"ACCT#007-0000388-000/03212019"</f>
        <v>ACCT#007-0000388-000/03212019</v>
      </c>
    </row>
    <row r="374" spans="1:8" x14ac:dyDescent="0.25">
      <c r="E374" t="str">
        <f>"201904058513"</f>
        <v>201904058513</v>
      </c>
      <c r="F374" t="str">
        <f>"ACCT#007-0000389-000/03212019"</f>
        <v>ACCT#007-0000389-000/03212019</v>
      </c>
      <c r="G374" s="2">
        <v>22.86</v>
      </c>
      <c r="H374" t="str">
        <f>"ACCT#007-0000389-000/03212019"</f>
        <v>ACCT#007-0000389-000/03212019</v>
      </c>
    </row>
    <row r="375" spans="1:8" x14ac:dyDescent="0.25">
      <c r="E375" t="str">
        <f>"201904058514"</f>
        <v>201904058514</v>
      </c>
      <c r="F375" t="str">
        <f>"ACCT#044-0001240-000/03212019"</f>
        <v>ACCT#044-0001240-000/03212019</v>
      </c>
      <c r="G375" s="2">
        <v>277.89999999999998</v>
      </c>
      <c r="H375" t="str">
        <f>"ACCT#044-0001240-000/03212019"</f>
        <v>ACCT#044-0001240-000/03212019</v>
      </c>
    </row>
    <row r="376" spans="1:8" x14ac:dyDescent="0.25">
      <c r="E376" t="str">
        <f>"201904058515"</f>
        <v>201904058515</v>
      </c>
      <c r="F376" t="str">
        <f>"ACCT#044-0001250-000/03212019"</f>
        <v>ACCT#044-0001250-000/03212019</v>
      </c>
      <c r="G376" s="2">
        <v>90.48</v>
      </c>
      <c r="H376" t="str">
        <f>"ACCT#044-0001250-000/03212019"</f>
        <v>ACCT#044-0001250-000/03212019</v>
      </c>
    </row>
    <row r="377" spans="1:8" x14ac:dyDescent="0.25">
      <c r="E377" t="str">
        <f>"201904058516"</f>
        <v>201904058516</v>
      </c>
      <c r="F377" t="str">
        <f>"ACCT#044-0001252-000/03212019"</f>
        <v>ACCT#044-0001252-000/03212019</v>
      </c>
      <c r="G377" s="2">
        <v>14.67</v>
      </c>
      <c r="H377" t="str">
        <f>"ACCT#044-0001252-000/03212019"</f>
        <v>ACCT#044-0001252-000/03212019</v>
      </c>
    </row>
    <row r="378" spans="1:8" x14ac:dyDescent="0.25">
      <c r="E378" t="str">
        <f>"201904058517"</f>
        <v>201904058517</v>
      </c>
      <c r="F378" t="str">
        <f>"ACCT#044-0001253-000/03212019"</f>
        <v>ACCT#044-0001253-000/03212019</v>
      </c>
      <c r="G378" s="2">
        <v>124.11</v>
      </c>
      <c r="H378" t="str">
        <f>"ACCT#044-0001253-000/03212019"</f>
        <v>ACCT#044-0001253-000/03212019</v>
      </c>
    </row>
    <row r="379" spans="1:8" x14ac:dyDescent="0.25">
      <c r="A379" t="s">
        <v>95</v>
      </c>
      <c r="B379" s="3">
        <v>81871</v>
      </c>
      <c r="C379" s="2">
        <v>15</v>
      </c>
      <c r="D379" s="1">
        <v>43577</v>
      </c>
      <c r="E379" t="str">
        <f>"201904158688"</f>
        <v>201904158688</v>
      </c>
      <c r="F379" t="str">
        <f>"FERAL HOGS"</f>
        <v>FERAL HOGS</v>
      </c>
      <c r="G379" s="2">
        <v>15</v>
      </c>
      <c r="H379" t="str">
        <f>"FERAL HOGS"</f>
        <v>FERAL HOGS</v>
      </c>
    </row>
    <row r="380" spans="1:8" x14ac:dyDescent="0.25">
      <c r="A380" t="s">
        <v>96</v>
      </c>
      <c r="B380" s="3">
        <v>692</v>
      </c>
      <c r="C380" s="2">
        <v>1573.9</v>
      </c>
      <c r="D380" s="1">
        <v>43578</v>
      </c>
      <c r="E380" t="str">
        <f>"PMA-0049751"</f>
        <v>PMA-0049751</v>
      </c>
      <c r="F380" t="str">
        <f>"INV PMA-0049751"</f>
        <v>INV PMA-0049751</v>
      </c>
      <c r="G380" s="2">
        <v>749</v>
      </c>
      <c r="H380" t="str">
        <f>"INV PMA-0049751"</f>
        <v>INV PMA-0049751</v>
      </c>
    </row>
    <row r="381" spans="1:8" x14ac:dyDescent="0.25">
      <c r="E381" t="str">
        <f>"SVC-0084846"</f>
        <v>SVC-0084846</v>
      </c>
      <c r="F381" t="str">
        <f>"CUST#0020272"</f>
        <v>CUST#0020272</v>
      </c>
      <c r="G381" s="2">
        <v>824.9</v>
      </c>
      <c r="H381" t="str">
        <f>"CUST#0020272"</f>
        <v>CUST#0020272</v>
      </c>
    </row>
    <row r="382" spans="1:8" x14ac:dyDescent="0.25">
      <c r="A382" t="s">
        <v>97</v>
      </c>
      <c r="B382" s="3">
        <v>713</v>
      </c>
      <c r="C382" s="2">
        <v>282.22000000000003</v>
      </c>
      <c r="D382" s="1">
        <v>43578</v>
      </c>
      <c r="E382" t="str">
        <f>"201903-0"</f>
        <v>201903-0</v>
      </c>
      <c r="F382" t="str">
        <f>"INV 201903-0"</f>
        <v>INV 201903-0</v>
      </c>
      <c r="G382" s="2">
        <v>80.150000000000006</v>
      </c>
      <c r="H382" t="str">
        <f>"INV 201903-0"</f>
        <v>INV 201903-0</v>
      </c>
    </row>
    <row r="383" spans="1:8" x14ac:dyDescent="0.25">
      <c r="E383" t="str">
        <f>"201904158664"</f>
        <v>201904158664</v>
      </c>
      <c r="F383" t="str">
        <f>"INDIGENT HEALTH"</f>
        <v>INDIGENT HEALTH</v>
      </c>
      <c r="G383" s="2">
        <v>202.07</v>
      </c>
      <c r="H383" t="str">
        <f>"INDIGENT HEALTH"</f>
        <v>INDIGENT HEALTH</v>
      </c>
    </row>
    <row r="384" spans="1:8" x14ac:dyDescent="0.25">
      <c r="A384" t="s">
        <v>98</v>
      </c>
      <c r="B384" s="3">
        <v>641</v>
      </c>
      <c r="C384" s="2">
        <v>1064.3800000000001</v>
      </c>
      <c r="D384" s="1">
        <v>43564</v>
      </c>
      <c r="E384" t="str">
        <f>"IN240292"</f>
        <v>IN240292</v>
      </c>
      <c r="F384" t="str">
        <f>"TRAINING FUZES"</f>
        <v>TRAINING FUZES</v>
      </c>
      <c r="G384" s="2">
        <v>1064.3800000000001</v>
      </c>
      <c r="H384" t="str">
        <f>"item# CTS-7200M"</f>
        <v>item# CTS-7200M</v>
      </c>
    </row>
    <row r="385" spans="1:9" x14ac:dyDescent="0.25">
      <c r="E385" t="str">
        <f>""</f>
        <v/>
      </c>
      <c r="F385" t="str">
        <f>""</f>
        <v/>
      </c>
      <c r="H385" t="str">
        <f>"SHIPPING"</f>
        <v>SHIPPING</v>
      </c>
    </row>
    <row r="386" spans="1:9" x14ac:dyDescent="0.25">
      <c r="A386" t="s">
        <v>99</v>
      </c>
      <c r="B386" s="3">
        <v>81685</v>
      </c>
      <c r="C386" s="2">
        <v>425</v>
      </c>
      <c r="D386" s="1">
        <v>43563</v>
      </c>
      <c r="E386" t="str">
        <f>"8022001"</f>
        <v>8022001</v>
      </c>
      <c r="F386" t="str">
        <f>"INV 8022001"</f>
        <v>INV 8022001</v>
      </c>
      <c r="G386" s="2">
        <v>425</v>
      </c>
      <c r="H386" t="str">
        <f>"INV 8022001"</f>
        <v>INV 8022001</v>
      </c>
    </row>
    <row r="387" spans="1:9" x14ac:dyDescent="0.25">
      <c r="A387" t="s">
        <v>100</v>
      </c>
      <c r="B387" s="3">
        <v>81686</v>
      </c>
      <c r="C387" s="2">
        <v>193.24</v>
      </c>
      <c r="D387" s="1">
        <v>43563</v>
      </c>
      <c r="E387" t="str">
        <f>"201904038368"</f>
        <v>201904038368</v>
      </c>
      <c r="F387" t="str">
        <f>"LODGING"</f>
        <v>LODGING</v>
      </c>
      <c r="G387" s="2">
        <v>193.24</v>
      </c>
      <c r="H387" t="str">
        <f>"LODGING"</f>
        <v>LODGING</v>
      </c>
    </row>
    <row r="388" spans="1:9" x14ac:dyDescent="0.25">
      <c r="A388" t="s">
        <v>101</v>
      </c>
      <c r="B388" s="3">
        <v>81872</v>
      </c>
      <c r="C388" s="2">
        <v>849.87</v>
      </c>
      <c r="D388" s="1">
        <v>43577</v>
      </c>
      <c r="E388" t="str">
        <f>"0522012-IN 0522013"</f>
        <v>0522012-IN 0522013</v>
      </c>
      <c r="F388" t="str">
        <f>"INV 0552013-IN"</f>
        <v>INV 0552013-IN</v>
      </c>
      <c r="G388" s="2">
        <v>849.87</v>
      </c>
      <c r="H388" t="str">
        <f>"INV 0552013-IN"</f>
        <v>INV 0552013-IN</v>
      </c>
    </row>
    <row r="389" spans="1:9" x14ac:dyDescent="0.25">
      <c r="E389" t="str">
        <f>""</f>
        <v/>
      </c>
      <c r="F389" t="str">
        <f>""</f>
        <v/>
      </c>
      <c r="H389" t="str">
        <f>"INV 0552012-IN"</f>
        <v>INV 0552012-IN</v>
      </c>
    </row>
    <row r="390" spans="1:9" x14ac:dyDescent="0.25">
      <c r="A390" t="s">
        <v>102</v>
      </c>
      <c r="B390" s="3">
        <v>635</v>
      </c>
      <c r="C390" s="2">
        <v>168</v>
      </c>
      <c r="D390" s="1">
        <v>43564</v>
      </c>
      <c r="E390" t="str">
        <f>"12457908501"</f>
        <v>12457908501</v>
      </c>
      <c r="F390" t="str">
        <f>"INV 12457908501"</f>
        <v>INV 12457908501</v>
      </c>
      <c r="G390" s="2">
        <v>168</v>
      </c>
      <c r="H390" t="str">
        <f>"INV 12457908501"</f>
        <v>INV 12457908501</v>
      </c>
    </row>
    <row r="391" spans="1:9" x14ac:dyDescent="0.25">
      <c r="A391" t="s">
        <v>103</v>
      </c>
      <c r="B391" s="3">
        <v>699</v>
      </c>
      <c r="C391" s="2">
        <v>309.73</v>
      </c>
      <c r="D391" s="1">
        <v>43578</v>
      </c>
      <c r="E391" t="str">
        <f>"201904158665"</f>
        <v>201904158665</v>
      </c>
      <c r="F391" t="str">
        <f>"INDIGENT HEALTH"</f>
        <v>INDIGENT HEALTH</v>
      </c>
      <c r="G391" s="2">
        <v>309.73</v>
      </c>
      <c r="H391" t="str">
        <f>"INDIGENT HEALTH"</f>
        <v>INDIGENT HEALTH</v>
      </c>
    </row>
    <row r="392" spans="1:9" x14ac:dyDescent="0.25">
      <c r="E392" t="str">
        <f>""</f>
        <v/>
      </c>
      <c r="F392" t="str">
        <f>""</f>
        <v/>
      </c>
      <c r="H392" t="str">
        <f>"INDIGENT HEALTH"</f>
        <v>INDIGENT HEALTH</v>
      </c>
    </row>
    <row r="393" spans="1:9" x14ac:dyDescent="0.25">
      <c r="E393" t="str">
        <f>""</f>
        <v/>
      </c>
      <c r="F393" t="str">
        <f>""</f>
        <v/>
      </c>
      <c r="H393" t="str">
        <f>"INDIGENT HEALTH"</f>
        <v>INDIGENT HEALTH</v>
      </c>
    </row>
    <row r="394" spans="1:9" x14ac:dyDescent="0.25">
      <c r="A394" t="s">
        <v>104</v>
      </c>
      <c r="B394" s="3">
        <v>81873</v>
      </c>
      <c r="C394" s="2">
        <v>25</v>
      </c>
      <c r="D394" s="1">
        <v>43577</v>
      </c>
      <c r="E394" t="s">
        <v>105</v>
      </c>
      <c r="F394" t="s">
        <v>106</v>
      </c>
      <c r="G394" s="2" t="str">
        <f>"RESTITUTION-KATHY PURCELL"</f>
        <v>RESTITUTION-KATHY PURCELL</v>
      </c>
      <c r="H394" t="str">
        <f>"210-0000"</f>
        <v>210-0000</v>
      </c>
      <c r="I394" t="str">
        <f>""</f>
        <v/>
      </c>
    </row>
    <row r="395" spans="1:9" x14ac:dyDescent="0.25">
      <c r="A395" t="s">
        <v>107</v>
      </c>
      <c r="B395" s="3">
        <v>81687</v>
      </c>
      <c r="C395" s="2">
        <v>331.2</v>
      </c>
      <c r="D395" s="1">
        <v>43563</v>
      </c>
      <c r="E395" t="str">
        <f>"18101701"</f>
        <v>18101701</v>
      </c>
      <c r="F395" t="str">
        <f>"ACCT#434304/PCT#4"</f>
        <v>ACCT#434304/PCT#4</v>
      </c>
      <c r="G395" s="2">
        <v>331.2</v>
      </c>
      <c r="H395" t="str">
        <f>"ACCT#434304/PCT#4"</f>
        <v>ACCT#434304/PCT#4</v>
      </c>
    </row>
    <row r="396" spans="1:9" x14ac:dyDescent="0.25">
      <c r="A396" t="s">
        <v>107</v>
      </c>
      <c r="B396" s="3">
        <v>81874</v>
      </c>
      <c r="C396" s="2">
        <v>10549.46</v>
      </c>
      <c r="D396" s="1">
        <v>43577</v>
      </c>
      <c r="E396" t="str">
        <f>"18177598"</f>
        <v>18177598</v>
      </c>
      <c r="F396" t="str">
        <f>"inv# 18177598"</f>
        <v>inv# 18177598</v>
      </c>
      <c r="G396" s="2">
        <v>9870.5</v>
      </c>
      <c r="H396" t="str">
        <f>"inv# 18177598"</f>
        <v>inv# 18177598</v>
      </c>
    </row>
    <row r="397" spans="1:9" x14ac:dyDescent="0.25">
      <c r="E397" t="str">
        <f>"18198099"</f>
        <v>18198099</v>
      </c>
      <c r="F397" t="str">
        <f>"ACCT#434304/PCT#4"</f>
        <v>ACCT#434304/PCT#4</v>
      </c>
      <c r="G397" s="2">
        <v>678.96</v>
      </c>
      <c r="H397" t="str">
        <f>"ACCT#434304/PCT#4"</f>
        <v>ACCT#434304/PCT#4</v>
      </c>
    </row>
    <row r="398" spans="1:9" x14ac:dyDescent="0.25">
      <c r="A398" t="s">
        <v>108</v>
      </c>
      <c r="B398" s="3">
        <v>81688</v>
      </c>
      <c r="C398" s="2">
        <v>90</v>
      </c>
      <c r="D398" s="1">
        <v>43563</v>
      </c>
      <c r="E398" t="str">
        <f>"20100"</f>
        <v>20100</v>
      </c>
      <c r="F398" t="str">
        <f>"LABOR &amp; MATERIALS"</f>
        <v>LABOR &amp; MATERIALS</v>
      </c>
      <c r="G398" s="2">
        <v>90</v>
      </c>
      <c r="H398" t="str">
        <f>"LABOR &amp; MATERIALS"</f>
        <v>LABOR &amp; MATERIALS</v>
      </c>
    </row>
    <row r="399" spans="1:9" x14ac:dyDescent="0.25">
      <c r="A399" t="s">
        <v>109</v>
      </c>
      <c r="B399" s="3">
        <v>81673</v>
      </c>
      <c r="C399" s="2">
        <v>75</v>
      </c>
      <c r="D399" s="1">
        <v>43563</v>
      </c>
      <c r="E399" t="str">
        <f>"12567"</f>
        <v>12567</v>
      </c>
      <c r="F399" t="str">
        <f>"SERVICE  02/08/19"</f>
        <v>SERVICE  02/08/19</v>
      </c>
      <c r="G399" s="2">
        <v>75</v>
      </c>
      <c r="H399" t="str">
        <f>"SERVICE  02/08/19"</f>
        <v>SERVICE  02/08/19</v>
      </c>
    </row>
    <row r="400" spans="1:9" x14ac:dyDescent="0.25">
      <c r="A400" t="s">
        <v>110</v>
      </c>
      <c r="B400" s="3">
        <v>81689</v>
      </c>
      <c r="C400" s="2">
        <v>19.63</v>
      </c>
      <c r="D400" s="1">
        <v>43563</v>
      </c>
      <c r="E400" t="str">
        <f>"77262"</f>
        <v>77262</v>
      </c>
      <c r="F400" t="str">
        <f>"ACCT#1839/RABIES/ANIMAL CONTRO"</f>
        <v>ACCT#1839/RABIES/ANIMAL CONTRO</v>
      </c>
      <c r="G400" s="2">
        <v>19.63</v>
      </c>
      <c r="H400" t="str">
        <f>"ACCT#1839/RABIES/ANIMAL CONTRO"</f>
        <v>ACCT#1839/RABIES/ANIMAL CONTRO</v>
      </c>
    </row>
    <row r="401" spans="1:8" x14ac:dyDescent="0.25">
      <c r="A401" t="s">
        <v>111</v>
      </c>
      <c r="B401" s="3">
        <v>81690</v>
      </c>
      <c r="C401" s="2">
        <v>1585.95</v>
      </c>
      <c r="D401" s="1">
        <v>43563</v>
      </c>
      <c r="E401" t="str">
        <f>"4845 1907 4193 302"</f>
        <v>4845 1907 4193 302</v>
      </c>
      <c r="F401" t="str">
        <f>"CONTRACT#042-1434-2"</f>
        <v>CONTRACT#042-1434-2</v>
      </c>
      <c r="G401" s="2">
        <v>1585.95</v>
      </c>
      <c r="H401" t="str">
        <f>"CONTRACT#042-1434-2"</f>
        <v>CONTRACT#042-1434-2</v>
      </c>
    </row>
    <row r="402" spans="1:8" x14ac:dyDescent="0.25">
      <c r="A402" t="s">
        <v>112</v>
      </c>
      <c r="B402" s="3">
        <v>81875</v>
      </c>
      <c r="C402" s="2">
        <v>520</v>
      </c>
      <c r="D402" s="1">
        <v>43577</v>
      </c>
      <c r="E402" t="str">
        <f>"201904158689"</f>
        <v>201904158689</v>
      </c>
      <c r="F402" t="str">
        <f>"FERAL HOGS"</f>
        <v>FERAL HOGS</v>
      </c>
      <c r="G402" s="2">
        <v>15</v>
      </c>
      <c r="H402" t="str">
        <f>"FERAL HOGS"</f>
        <v>FERAL HOGS</v>
      </c>
    </row>
    <row r="403" spans="1:8" x14ac:dyDescent="0.25">
      <c r="E403" t="str">
        <f>"201904158690"</f>
        <v>201904158690</v>
      </c>
      <c r="F403" t="str">
        <f>"FERAL HOGS"</f>
        <v>FERAL HOGS</v>
      </c>
      <c r="G403" s="2">
        <v>135</v>
      </c>
      <c r="H403" t="str">
        <f>"FERAL HOGS"</f>
        <v>FERAL HOGS</v>
      </c>
    </row>
    <row r="404" spans="1:8" x14ac:dyDescent="0.25">
      <c r="E404" t="str">
        <f>"201904158691"</f>
        <v>201904158691</v>
      </c>
      <c r="F404" t="str">
        <f>"FERAL HOGS"</f>
        <v>FERAL HOGS</v>
      </c>
      <c r="G404" s="2">
        <v>255</v>
      </c>
      <c r="H404" t="str">
        <f>"FERAL HOGS"</f>
        <v>FERAL HOGS</v>
      </c>
    </row>
    <row r="405" spans="1:8" x14ac:dyDescent="0.25">
      <c r="E405" t="str">
        <f>"201904158692"</f>
        <v>201904158692</v>
      </c>
      <c r="F405" t="str">
        <f>"FERAL HOGS"</f>
        <v>FERAL HOGS</v>
      </c>
      <c r="G405" s="2">
        <v>115</v>
      </c>
      <c r="H405" t="str">
        <f>"FERAL HOGS"</f>
        <v>FERAL HOGS</v>
      </c>
    </row>
    <row r="406" spans="1:8" x14ac:dyDescent="0.25">
      <c r="A406" t="s">
        <v>113</v>
      </c>
      <c r="B406" s="3">
        <v>81691</v>
      </c>
      <c r="C406" s="2">
        <v>55</v>
      </c>
      <c r="D406" s="1">
        <v>43563</v>
      </c>
      <c r="E406" t="str">
        <f>"8296"</f>
        <v>8296</v>
      </c>
      <c r="F406" t="str">
        <f>"SERVICE  02/11/19"</f>
        <v>SERVICE  02/11/19</v>
      </c>
      <c r="G406" s="2">
        <v>55</v>
      </c>
      <c r="H406" t="str">
        <f>"SERVICE  02/11/19"</f>
        <v>SERVICE  02/11/19</v>
      </c>
    </row>
    <row r="407" spans="1:8" x14ac:dyDescent="0.25">
      <c r="A407" t="s">
        <v>114</v>
      </c>
      <c r="B407" s="3">
        <v>81692</v>
      </c>
      <c r="C407" s="2">
        <v>46.98</v>
      </c>
      <c r="D407" s="1">
        <v>43563</v>
      </c>
      <c r="E407" t="str">
        <f>"201904028311"</f>
        <v>201904028311</v>
      </c>
      <c r="F407" t="str">
        <f>"MILEAGE REIMBURSEMENT"</f>
        <v>MILEAGE REIMBURSEMENT</v>
      </c>
      <c r="G407" s="2">
        <v>46.98</v>
      </c>
      <c r="H407" t="str">
        <f>"MILEAGE REIMBURSEMENT"</f>
        <v>MILEAGE REIMBURSEMENT</v>
      </c>
    </row>
    <row r="408" spans="1:8" x14ac:dyDescent="0.25">
      <c r="A408" t="s">
        <v>115</v>
      </c>
      <c r="B408" s="3">
        <v>81876</v>
      </c>
      <c r="C408" s="2">
        <v>45</v>
      </c>
      <c r="D408" s="1">
        <v>43577</v>
      </c>
      <c r="E408" t="str">
        <f>"201904158693"</f>
        <v>201904158693</v>
      </c>
      <c r="F408" t="str">
        <f>"FERAL HOGS"</f>
        <v>FERAL HOGS</v>
      </c>
      <c r="G408" s="2">
        <v>45</v>
      </c>
      <c r="H408" t="str">
        <f>"FERAL HOGS"</f>
        <v>FERAL HOGS</v>
      </c>
    </row>
    <row r="409" spans="1:8" x14ac:dyDescent="0.25">
      <c r="A409" t="s">
        <v>116</v>
      </c>
      <c r="B409" s="3">
        <v>81877</v>
      </c>
      <c r="C409" s="2">
        <v>140</v>
      </c>
      <c r="D409" s="1">
        <v>43577</v>
      </c>
      <c r="E409" t="str">
        <f>"201904158694"</f>
        <v>201904158694</v>
      </c>
      <c r="F409" t="str">
        <f>"FERAL HOGS"</f>
        <v>FERAL HOGS</v>
      </c>
      <c r="G409" s="2">
        <v>140</v>
      </c>
      <c r="H409" t="str">
        <f>"FERAL HOGS"</f>
        <v>FERAL HOGS</v>
      </c>
    </row>
    <row r="410" spans="1:8" x14ac:dyDescent="0.25">
      <c r="A410" t="s">
        <v>117</v>
      </c>
      <c r="B410" s="3">
        <v>81693</v>
      </c>
      <c r="C410" s="2">
        <v>100</v>
      </c>
      <c r="D410" s="1">
        <v>43563</v>
      </c>
      <c r="E410" t="str">
        <f>"201904038354"</f>
        <v>201904038354</v>
      </c>
      <c r="F410" t="str">
        <f>"LEGAL CONSULT SVCS-MARCH"</f>
        <v>LEGAL CONSULT SVCS-MARCH</v>
      </c>
      <c r="G410" s="2">
        <v>100</v>
      </c>
      <c r="H410" t="str">
        <f>"LEGAL CONSULT SVCS-MARCH"</f>
        <v>LEGAL CONSULT SVCS-MARCH</v>
      </c>
    </row>
    <row r="411" spans="1:8" x14ac:dyDescent="0.25">
      <c r="A411" t="s">
        <v>118</v>
      </c>
      <c r="B411" s="3">
        <v>81878</v>
      </c>
      <c r="C411" s="2">
        <v>981.58</v>
      </c>
      <c r="D411" s="1">
        <v>43577</v>
      </c>
      <c r="E411" t="str">
        <f>"201904158668"</f>
        <v>201904158668</v>
      </c>
      <c r="F411" t="str">
        <f>"INDIGENT HEALTH"</f>
        <v>INDIGENT HEALTH</v>
      </c>
      <c r="G411" s="2">
        <v>981.58</v>
      </c>
      <c r="H411" t="str">
        <f>"INDIGENT HEALTH"</f>
        <v>INDIGENT HEALTH</v>
      </c>
    </row>
    <row r="412" spans="1:8" x14ac:dyDescent="0.25">
      <c r="A412" t="s">
        <v>119</v>
      </c>
      <c r="B412" s="3">
        <v>81879</v>
      </c>
      <c r="C412" s="2">
        <v>240</v>
      </c>
      <c r="D412" s="1">
        <v>43577</v>
      </c>
      <c r="E412" t="str">
        <f>"201904158695"</f>
        <v>201904158695</v>
      </c>
      <c r="F412" t="str">
        <f>"FERAL HOGS"</f>
        <v>FERAL HOGS</v>
      </c>
      <c r="G412" s="2">
        <v>240</v>
      </c>
      <c r="H412" t="str">
        <f>"FERAL HOGS"</f>
        <v>FERAL HOGS</v>
      </c>
    </row>
    <row r="413" spans="1:8" x14ac:dyDescent="0.25">
      <c r="A413" t="s">
        <v>120</v>
      </c>
      <c r="B413" s="3">
        <v>638</v>
      </c>
      <c r="C413" s="2">
        <v>705</v>
      </c>
      <c r="D413" s="1">
        <v>43564</v>
      </c>
      <c r="E413" t="str">
        <f>"201904028246"</f>
        <v>201904028246</v>
      </c>
      <c r="F413" t="str">
        <f>"19-19463"</f>
        <v>19-19463</v>
      </c>
      <c r="G413" s="2">
        <v>285</v>
      </c>
      <c r="H413" t="str">
        <f>"19-19463"</f>
        <v>19-19463</v>
      </c>
    </row>
    <row r="414" spans="1:8" x14ac:dyDescent="0.25">
      <c r="E414" t="str">
        <f>"201904028247"</f>
        <v>201904028247</v>
      </c>
      <c r="F414" t="str">
        <f>"18-19054"</f>
        <v>18-19054</v>
      </c>
      <c r="G414" s="2">
        <v>112.5</v>
      </c>
      <c r="H414" t="str">
        <f>"18-19054"</f>
        <v>18-19054</v>
      </c>
    </row>
    <row r="415" spans="1:8" x14ac:dyDescent="0.25">
      <c r="E415" t="str">
        <f>"201904028248"</f>
        <v>201904028248</v>
      </c>
      <c r="F415" t="str">
        <f>"18-19392"</f>
        <v>18-19392</v>
      </c>
      <c r="G415" s="2">
        <v>165</v>
      </c>
      <c r="H415" t="str">
        <f>"18-19392"</f>
        <v>18-19392</v>
      </c>
    </row>
    <row r="416" spans="1:8" x14ac:dyDescent="0.25">
      <c r="E416" t="str">
        <f>"201904028249"</f>
        <v>201904028249</v>
      </c>
      <c r="F416" t="str">
        <f>"15-17513"</f>
        <v>15-17513</v>
      </c>
      <c r="G416" s="2">
        <v>142.5</v>
      </c>
      <c r="H416" t="str">
        <f>"15-17513"</f>
        <v>15-17513</v>
      </c>
    </row>
    <row r="417" spans="1:8" x14ac:dyDescent="0.25">
      <c r="A417" t="s">
        <v>121</v>
      </c>
      <c r="B417" s="3">
        <v>81694</v>
      </c>
      <c r="C417" s="2">
        <v>535</v>
      </c>
      <c r="D417" s="1">
        <v>43563</v>
      </c>
      <c r="E417" t="str">
        <f>"135159"</f>
        <v>135159</v>
      </c>
      <c r="F417" t="str">
        <f>"INV 135159"</f>
        <v>INV 135159</v>
      </c>
      <c r="G417" s="2">
        <v>535</v>
      </c>
      <c r="H417" t="str">
        <f>"INV 135159"</f>
        <v>INV 135159</v>
      </c>
    </row>
    <row r="418" spans="1:8" x14ac:dyDescent="0.25">
      <c r="A418" t="s">
        <v>122</v>
      </c>
      <c r="B418" s="3">
        <v>81695</v>
      </c>
      <c r="C418" s="2">
        <v>23039.06</v>
      </c>
      <c r="D418" s="1">
        <v>43563</v>
      </c>
      <c r="E418" t="str">
        <f>"10306373033"</f>
        <v>10306373033</v>
      </c>
      <c r="F418" t="str">
        <f>"JP 3 Laptop- Dell Latitud"</f>
        <v>JP 3 Laptop- Dell Latitud</v>
      </c>
      <c r="G418" s="2">
        <v>926.62</v>
      </c>
      <c r="H418" t="str">
        <f>"Dell Latitude 5590"</f>
        <v>Dell Latitude 5590</v>
      </c>
    </row>
    <row r="419" spans="1:8" x14ac:dyDescent="0.25">
      <c r="E419" t="str">
        <f>""</f>
        <v/>
      </c>
      <c r="F419" t="str">
        <f>""</f>
        <v/>
      </c>
      <c r="H419" t="str">
        <f>"discount"</f>
        <v>discount</v>
      </c>
    </row>
    <row r="420" spans="1:8" x14ac:dyDescent="0.25">
      <c r="E420" t="str">
        <f>"10306469178"</f>
        <v>10306469178</v>
      </c>
      <c r="F420" t="str">
        <f>"DELL"</f>
        <v>DELL</v>
      </c>
      <c r="G420" s="2">
        <v>2274.23</v>
      </c>
      <c r="H420" t="str">
        <f>"K13A Docking Station"</f>
        <v>K13A Docking Station</v>
      </c>
    </row>
    <row r="421" spans="1:8" x14ac:dyDescent="0.25">
      <c r="E421" t="str">
        <f>""</f>
        <v/>
      </c>
      <c r="F421" t="str">
        <f>""</f>
        <v/>
      </c>
      <c r="H421" t="str">
        <f>"Discount"</f>
        <v>Discount</v>
      </c>
    </row>
    <row r="422" spans="1:8" x14ac:dyDescent="0.25">
      <c r="E422" t="str">
        <f>"201904038342"</f>
        <v>201904038342</v>
      </c>
      <c r="F422" t="str">
        <f>"DELL"</f>
        <v>DELL</v>
      </c>
      <c r="G422" s="2">
        <v>1372.89</v>
      </c>
      <c r="H422" t="str">
        <f>"Dell Latitude 5590"</f>
        <v>Dell Latitude 5590</v>
      </c>
    </row>
    <row r="423" spans="1:8" x14ac:dyDescent="0.25">
      <c r="E423" t="str">
        <f>"201904038343"</f>
        <v>201904038343</v>
      </c>
      <c r="F423" t="str">
        <f>"Kevin Unger"</f>
        <v>Kevin Unger</v>
      </c>
      <c r="G423" s="2">
        <v>854.67</v>
      </c>
      <c r="H423" t="str">
        <f>"Kevin Unger"</f>
        <v>Kevin Unger</v>
      </c>
    </row>
    <row r="424" spans="1:8" x14ac:dyDescent="0.25">
      <c r="E424" t="str">
        <f>""</f>
        <v/>
      </c>
      <c r="F424" t="str">
        <f>""</f>
        <v/>
      </c>
      <c r="H424" t="str">
        <f>"Kevin Unger"</f>
        <v>Kevin Unger</v>
      </c>
    </row>
    <row r="425" spans="1:8" x14ac:dyDescent="0.25">
      <c r="E425" t="str">
        <f>"201904038346"</f>
        <v>201904038346</v>
      </c>
      <c r="F425" t="str">
        <f>"DELL ORDER"</f>
        <v>DELL ORDER</v>
      </c>
      <c r="G425" s="2">
        <v>17610.650000000001</v>
      </c>
      <c r="H425" t="str">
        <f>"DELL ORDER"</f>
        <v>DELL ORDER</v>
      </c>
    </row>
    <row r="426" spans="1:8" x14ac:dyDescent="0.25">
      <c r="A426" t="s">
        <v>122</v>
      </c>
      <c r="B426" s="3">
        <v>81880</v>
      </c>
      <c r="C426" s="2">
        <v>5381.27</v>
      </c>
      <c r="D426" s="1">
        <v>43577</v>
      </c>
      <c r="E426" t="str">
        <f>"10308759527"</f>
        <v>10308759527</v>
      </c>
      <c r="F426" t="str">
        <f>"Dell Warranty Renewal - R"</f>
        <v>Dell Warranty Renewal - R</v>
      </c>
      <c r="G426" s="2">
        <v>3491.8</v>
      </c>
      <c r="H426" t="str">
        <f>"price"</f>
        <v>price</v>
      </c>
    </row>
    <row r="427" spans="1:8" x14ac:dyDescent="0.25">
      <c r="E427" t="str">
        <f>"10308791438"</f>
        <v>10308791438</v>
      </c>
      <c r="F427" t="str">
        <f>"Dell Warranty Renewal"</f>
        <v>Dell Warranty Renewal</v>
      </c>
      <c r="G427" s="2">
        <v>1889.47</v>
      </c>
      <c r="H427" t="str">
        <f>"v 3000036143285.1"</f>
        <v>v 3000036143285.1</v>
      </c>
    </row>
    <row r="428" spans="1:8" x14ac:dyDescent="0.25">
      <c r="A428" t="s">
        <v>123</v>
      </c>
      <c r="B428" s="3">
        <v>656</v>
      </c>
      <c r="C428" s="2">
        <v>1755</v>
      </c>
      <c r="D428" s="1">
        <v>43564</v>
      </c>
      <c r="E428" t="str">
        <f>"BATX016011"</f>
        <v>BATX016011</v>
      </c>
      <c r="F428" t="str">
        <f>"INV BATX016011"</f>
        <v>INV BATX016011</v>
      </c>
      <c r="G428" s="2">
        <v>1755</v>
      </c>
      <c r="H428" t="str">
        <f>"INV BATX016011"</f>
        <v>INV BATX016011</v>
      </c>
    </row>
    <row r="429" spans="1:8" x14ac:dyDescent="0.25">
      <c r="A429" t="s">
        <v>124</v>
      </c>
      <c r="B429" s="3">
        <v>81881</v>
      </c>
      <c r="C429" s="2">
        <v>150</v>
      </c>
      <c r="D429" s="1">
        <v>43577</v>
      </c>
      <c r="E429" t="str">
        <f>"201904098542"</f>
        <v>201904098542</v>
      </c>
      <c r="F429" t="str">
        <f>"TRAVEL ADV REQUEST-PER DIEM"</f>
        <v>TRAVEL ADV REQUEST-PER DIEM</v>
      </c>
      <c r="G429" s="2">
        <v>150</v>
      </c>
      <c r="H429" t="str">
        <f>"TRAVEL ADV REQUEST-PER DIEM"</f>
        <v>TRAVEL ADV REQUEST-PER DIEM</v>
      </c>
    </row>
    <row r="430" spans="1:8" x14ac:dyDescent="0.25">
      <c r="A430" t="s">
        <v>125</v>
      </c>
      <c r="B430" s="3">
        <v>81696</v>
      </c>
      <c r="C430" s="2">
        <v>2376.0500000000002</v>
      </c>
      <c r="D430" s="1">
        <v>43563</v>
      </c>
      <c r="E430" t="str">
        <f>"19021121N"</f>
        <v>19021121N</v>
      </c>
      <c r="F430" t="str">
        <f>"CUST#PKE5000/02/01-02/28"</f>
        <v>CUST#PKE5000/02/01-02/28</v>
      </c>
      <c r="G430" s="2">
        <v>2376.0500000000002</v>
      </c>
      <c r="H430" t="str">
        <f>"CUST#PKE5000/02/01-02/28"</f>
        <v>CUST#PKE5000/02/01-02/28</v>
      </c>
    </row>
    <row r="431" spans="1:8" x14ac:dyDescent="0.25">
      <c r="E431" t="str">
        <f>""</f>
        <v/>
      </c>
      <c r="F431" t="str">
        <f>""</f>
        <v/>
      </c>
      <c r="H431" t="str">
        <f>"CUST#PKE5000/02/01-02/28"</f>
        <v>CUST#PKE5000/02/01-02/28</v>
      </c>
    </row>
    <row r="432" spans="1:8" x14ac:dyDescent="0.25">
      <c r="A432" t="s">
        <v>126</v>
      </c>
      <c r="B432" s="3">
        <v>81697</v>
      </c>
      <c r="C432" s="2">
        <v>3413.01</v>
      </c>
      <c r="D432" s="1">
        <v>43563</v>
      </c>
      <c r="E432" t="str">
        <f>"2327"</f>
        <v>2327</v>
      </c>
      <c r="F432" t="str">
        <f>"GALVALUME/ANIMAL SHELTER"</f>
        <v>GALVALUME/ANIMAL SHELTER</v>
      </c>
      <c r="G432" s="2">
        <v>58.5</v>
      </c>
      <c r="H432" t="str">
        <f>"GALVALUME/ANIMAL SHELTER"</f>
        <v>GALVALUME/ANIMAL SHELTER</v>
      </c>
    </row>
    <row r="433" spans="1:8" x14ac:dyDescent="0.25">
      <c r="E433" t="str">
        <f>"2559"</f>
        <v>2559</v>
      </c>
      <c r="F433" t="str">
        <f>"PARTS/PCT#4"</f>
        <v>PARTS/PCT#4</v>
      </c>
      <c r="G433" s="2">
        <v>168.49</v>
      </c>
      <c r="H433" t="str">
        <f>"PARTS/PCT#4"</f>
        <v>PARTS/PCT#4</v>
      </c>
    </row>
    <row r="434" spans="1:8" x14ac:dyDescent="0.25">
      <c r="E434" t="str">
        <f>"2560"</f>
        <v>2560</v>
      </c>
      <c r="F434" t="str">
        <f>"PARTS/HWY 20 BRIDGE/PCT#4"</f>
        <v>PARTS/HWY 20 BRIDGE/PCT#4</v>
      </c>
      <c r="G434" s="2">
        <v>2776.76</v>
      </c>
      <c r="H434" t="str">
        <f>"PARTS/HWY 20 BRIDGE/PCT#4"</f>
        <v>PARTS/HWY 20 BRIDGE/PCT#4</v>
      </c>
    </row>
    <row r="435" spans="1:8" x14ac:dyDescent="0.25">
      <c r="E435" t="str">
        <f>"2586"</f>
        <v>2586</v>
      </c>
      <c r="F435" t="str">
        <f>"WELD PLATE/PARTS/PCT#4"</f>
        <v>WELD PLATE/PARTS/PCT#4</v>
      </c>
      <c r="G435" s="2">
        <v>301.76</v>
      </c>
      <c r="H435" t="str">
        <f>"WELD PLATE/PARTS/PCT#4"</f>
        <v>WELD PLATE/PARTS/PCT#4</v>
      </c>
    </row>
    <row r="436" spans="1:8" x14ac:dyDescent="0.25">
      <c r="E436" t="str">
        <f>"2621"</f>
        <v>2621</v>
      </c>
      <c r="F436" t="str">
        <f>"WELD ON GRAB HOOKS/PCT#1"</f>
        <v>WELD ON GRAB HOOKS/PCT#1</v>
      </c>
      <c r="G436" s="2">
        <v>18.05</v>
      </c>
      <c r="H436" t="str">
        <f>"WELD ON GRAB HOOKS/PCT#1"</f>
        <v>WELD ON GRAB HOOKS/PCT#1</v>
      </c>
    </row>
    <row r="437" spans="1:8" x14ac:dyDescent="0.25">
      <c r="E437" t="str">
        <f>"2679"</f>
        <v>2679</v>
      </c>
      <c r="F437" t="str">
        <f>"PBR GALVALUME/CUTTING CHARGE"</f>
        <v>PBR GALVALUME/CUTTING CHARGE</v>
      </c>
      <c r="G437" s="2">
        <v>89.45</v>
      </c>
      <c r="H437" t="str">
        <f>"PBR GALVALUME/CUTTING CHARGE"</f>
        <v>PBR GALVALUME/CUTTING CHARGE</v>
      </c>
    </row>
    <row r="438" spans="1:8" x14ac:dyDescent="0.25">
      <c r="A438" t="s">
        <v>126</v>
      </c>
      <c r="B438" s="3">
        <v>81882</v>
      </c>
      <c r="C438" s="2">
        <v>303.41000000000003</v>
      </c>
      <c r="D438" s="1">
        <v>43577</v>
      </c>
      <c r="E438" t="str">
        <f>"1941"</f>
        <v>1941</v>
      </c>
      <c r="F438" t="str">
        <f>"Estimate 317"</f>
        <v>Estimate 317</v>
      </c>
      <c r="G438" s="2">
        <v>256</v>
      </c>
      <c r="H438" t="str">
        <f>"item"</f>
        <v>item</v>
      </c>
    </row>
    <row r="439" spans="1:8" x14ac:dyDescent="0.25">
      <c r="E439" t="str">
        <f>"3130"</f>
        <v>3130</v>
      </c>
      <c r="F439" t="str">
        <f>"DOOR/PCT#1"</f>
        <v>DOOR/PCT#1</v>
      </c>
      <c r="G439" s="2">
        <v>47.41</v>
      </c>
      <c r="H439" t="str">
        <f>"DOOR/PCT#1"</f>
        <v>DOOR/PCT#1</v>
      </c>
    </row>
    <row r="440" spans="1:8" x14ac:dyDescent="0.25">
      <c r="A440" t="s">
        <v>127</v>
      </c>
      <c r="B440" s="3">
        <v>81698</v>
      </c>
      <c r="C440" s="2">
        <v>34.25</v>
      </c>
      <c r="D440" s="1">
        <v>43563</v>
      </c>
      <c r="E440" t="str">
        <f>"2774400"</f>
        <v>2774400</v>
      </c>
      <c r="F440" t="str">
        <f>"ACCT#27917/TIRES/PCT#4"</f>
        <v>ACCT#27917/TIRES/PCT#4</v>
      </c>
      <c r="G440" s="2">
        <v>34.25</v>
      </c>
      <c r="H440" t="str">
        <f>"ACCT#27917/TIRES/PCT#4"</f>
        <v>ACCT#27917/TIRES/PCT#4</v>
      </c>
    </row>
    <row r="441" spans="1:8" x14ac:dyDescent="0.25">
      <c r="A441" t="s">
        <v>128</v>
      </c>
      <c r="B441" s="3">
        <v>81883</v>
      </c>
      <c r="C441" s="2">
        <v>110</v>
      </c>
      <c r="D441" s="1">
        <v>43577</v>
      </c>
      <c r="E441" t="str">
        <f>"201904158696"</f>
        <v>201904158696</v>
      </c>
      <c r="F441" t="str">
        <f>"FERAL HOGS"</f>
        <v>FERAL HOGS</v>
      </c>
      <c r="G441" s="2">
        <v>40</v>
      </c>
      <c r="H441" t="str">
        <f>"FERAL HOGS"</f>
        <v>FERAL HOGS</v>
      </c>
    </row>
    <row r="442" spans="1:8" x14ac:dyDescent="0.25">
      <c r="E442" t="str">
        <f>"201904158697"</f>
        <v>201904158697</v>
      </c>
      <c r="F442" t="str">
        <f>"FERAL HOGS"</f>
        <v>FERAL HOGS</v>
      </c>
      <c r="G442" s="2">
        <v>70</v>
      </c>
      <c r="H442" t="str">
        <f>"FERAL HOGS"</f>
        <v>FERAL HOGS</v>
      </c>
    </row>
    <row r="443" spans="1:8" x14ac:dyDescent="0.25">
      <c r="A443" t="s">
        <v>129</v>
      </c>
      <c r="B443" s="3">
        <v>81884</v>
      </c>
      <c r="C443" s="2">
        <v>960</v>
      </c>
      <c r="D443" s="1">
        <v>43577</v>
      </c>
      <c r="E443" t="str">
        <f>"28901A"</f>
        <v>28901A</v>
      </c>
      <c r="F443" t="str">
        <f>"INV 28901A"</f>
        <v>INV 28901A</v>
      </c>
      <c r="G443" s="2">
        <v>960</v>
      </c>
      <c r="H443" t="str">
        <f>"INV 28901A"</f>
        <v>INV 28901A</v>
      </c>
    </row>
    <row r="444" spans="1:8" x14ac:dyDescent="0.25">
      <c r="A444" t="s">
        <v>130</v>
      </c>
      <c r="B444" s="3">
        <v>81885</v>
      </c>
      <c r="C444" s="2">
        <v>544.54</v>
      </c>
      <c r="D444" s="1">
        <v>43577</v>
      </c>
      <c r="E444" t="str">
        <f>"34514"</f>
        <v>34514</v>
      </c>
      <c r="F444" t="str">
        <f>"MESH TARP/PARTS/PCT#2"</f>
        <v>MESH TARP/PARTS/PCT#2</v>
      </c>
      <c r="G444" s="2">
        <v>544.54</v>
      </c>
      <c r="H444" t="str">
        <f>"MESH TARP/PARTS/PCT#2"</f>
        <v>MESH TARP/PARTS/PCT#2</v>
      </c>
    </row>
    <row r="445" spans="1:8" x14ac:dyDescent="0.25">
      <c r="A445" t="s">
        <v>131</v>
      </c>
      <c r="B445" s="3">
        <v>679</v>
      </c>
      <c r="C445" s="2">
        <v>4562.5</v>
      </c>
      <c r="D445" s="1">
        <v>43564</v>
      </c>
      <c r="E445" t="str">
        <f>"201903288137"</f>
        <v>201903288137</v>
      </c>
      <c r="F445" t="str">
        <f>"423-4038"</f>
        <v>423-4038</v>
      </c>
      <c r="G445" s="2">
        <v>212.5</v>
      </c>
      <c r="H445" t="str">
        <f>"423-4038"</f>
        <v>423-4038</v>
      </c>
    </row>
    <row r="446" spans="1:8" x14ac:dyDescent="0.25">
      <c r="E446" t="str">
        <f>"201903288138"</f>
        <v>201903288138</v>
      </c>
      <c r="F446" t="str">
        <f>"16063"</f>
        <v>16063</v>
      </c>
      <c r="G446" s="2">
        <v>400</v>
      </c>
      <c r="H446" t="str">
        <f>"16063"</f>
        <v>16063</v>
      </c>
    </row>
    <row r="447" spans="1:8" x14ac:dyDescent="0.25">
      <c r="E447" t="str">
        <f>"201903288139"</f>
        <v>201903288139</v>
      </c>
      <c r="F447" t="str">
        <f>"16424  DCPC-18-170"</f>
        <v>16424  DCPC-18-170</v>
      </c>
      <c r="G447" s="2">
        <v>600</v>
      </c>
      <c r="H447" t="str">
        <f>"16424  DCPC-18-170"</f>
        <v>16424  DCPC-18-170</v>
      </c>
    </row>
    <row r="448" spans="1:8" x14ac:dyDescent="0.25">
      <c r="E448" t="str">
        <f>"201903288140"</f>
        <v>201903288140</v>
      </c>
      <c r="F448" t="str">
        <f>"16230"</f>
        <v>16230</v>
      </c>
      <c r="G448" s="2">
        <v>400</v>
      </c>
      <c r="H448" t="str">
        <f>"16230"</f>
        <v>16230</v>
      </c>
    </row>
    <row r="449" spans="1:8" x14ac:dyDescent="0.25">
      <c r="E449" t="str">
        <f>"201903288157"</f>
        <v>201903288157</v>
      </c>
      <c r="F449" t="str">
        <f>"C170080  C170082  C190010"</f>
        <v>C170080  C170082  C190010</v>
      </c>
      <c r="G449" s="2">
        <v>300</v>
      </c>
      <c r="H449" t="str">
        <f>"C170080  C170082  C190010"</f>
        <v>C170080  C170082  C190010</v>
      </c>
    </row>
    <row r="450" spans="1:8" x14ac:dyDescent="0.25">
      <c r="E450" t="str">
        <f>"201903288158"</f>
        <v>201903288158</v>
      </c>
      <c r="F450" t="str">
        <f>"DCPC-19-019  WRIT NO.1096-335"</f>
        <v>DCPC-19-019  WRIT NO.1096-335</v>
      </c>
      <c r="G450" s="2">
        <v>100</v>
      </c>
      <c r="H450" t="str">
        <f>"DCPC-19-019  WRIT NO.1096-335"</f>
        <v>DCPC-19-019  WRIT NO.1096-335</v>
      </c>
    </row>
    <row r="451" spans="1:8" x14ac:dyDescent="0.25">
      <c r="E451" t="str">
        <f>"201904018226"</f>
        <v>201904018226</v>
      </c>
      <c r="F451" t="str">
        <f>"312282018J  312282018H"</f>
        <v>312282018J  312282018H</v>
      </c>
      <c r="G451" s="2">
        <v>200</v>
      </c>
      <c r="H451" t="str">
        <f>"312282018J  312282018H"</f>
        <v>312282018J  312282018H</v>
      </c>
    </row>
    <row r="452" spans="1:8" x14ac:dyDescent="0.25">
      <c r="E452" t="str">
        <f>"201904018227"</f>
        <v>201904018227</v>
      </c>
      <c r="F452" t="str">
        <f>"18-19299"</f>
        <v>18-19299</v>
      </c>
      <c r="G452" s="2">
        <v>187.5</v>
      </c>
      <c r="H452" t="str">
        <f>"18-19299"</f>
        <v>18-19299</v>
      </c>
    </row>
    <row r="453" spans="1:8" x14ac:dyDescent="0.25">
      <c r="E453" t="str">
        <f>"201904018228"</f>
        <v>201904018228</v>
      </c>
      <c r="F453" t="str">
        <f>"C170081  WRIT NO.19-19538"</f>
        <v>C170081  WRIT NO.19-19538</v>
      </c>
      <c r="G453" s="2">
        <v>100</v>
      </c>
      <c r="H453" t="str">
        <f>"C170081  WRIT NO.19-19538"</f>
        <v>C170081  WRIT NO.19-19538</v>
      </c>
    </row>
    <row r="454" spans="1:8" x14ac:dyDescent="0.25">
      <c r="E454" t="str">
        <f>"201904028256"</f>
        <v>201904028256</v>
      </c>
      <c r="F454" t="str">
        <f>"54400  54401"</f>
        <v>54400  54401</v>
      </c>
      <c r="G454" s="2">
        <v>375</v>
      </c>
      <c r="H454" t="str">
        <f>"54400  54401"</f>
        <v>54400  54401</v>
      </c>
    </row>
    <row r="455" spans="1:8" x14ac:dyDescent="0.25">
      <c r="E455" t="str">
        <f>"201904028257"</f>
        <v>201904028257</v>
      </c>
      <c r="F455" t="str">
        <f>"403178-10"</f>
        <v>403178-10</v>
      </c>
      <c r="G455" s="2">
        <v>250</v>
      </c>
      <c r="H455" t="str">
        <f>"403178-10"</f>
        <v>403178-10</v>
      </c>
    </row>
    <row r="456" spans="1:8" x14ac:dyDescent="0.25">
      <c r="E456" t="str">
        <f>"201904028259"</f>
        <v>201904028259</v>
      </c>
      <c r="F456" t="str">
        <f>"55520  55521"</f>
        <v>55520  55521</v>
      </c>
      <c r="G456" s="2">
        <v>375</v>
      </c>
      <c r="H456" t="str">
        <f>"55520  55521"</f>
        <v>55520  55521</v>
      </c>
    </row>
    <row r="457" spans="1:8" x14ac:dyDescent="0.25">
      <c r="E457" t="str">
        <f>"201904028278"</f>
        <v>201904028278</v>
      </c>
      <c r="F457" t="str">
        <f>"1JP1006182"</f>
        <v>1JP1006182</v>
      </c>
      <c r="G457" s="2">
        <v>250</v>
      </c>
      <c r="H457" t="str">
        <f>"1JP1006182"</f>
        <v>1JP1006182</v>
      </c>
    </row>
    <row r="458" spans="1:8" x14ac:dyDescent="0.25">
      <c r="E458" t="str">
        <f>"201904028279"</f>
        <v>201904028279</v>
      </c>
      <c r="F458" t="str">
        <f>"02-1030-3"</f>
        <v>02-1030-3</v>
      </c>
      <c r="G458" s="2">
        <v>250</v>
      </c>
      <c r="H458" t="str">
        <f>"02-1030-3"</f>
        <v>02-1030-3</v>
      </c>
    </row>
    <row r="459" spans="1:8" x14ac:dyDescent="0.25">
      <c r="E459" t="str">
        <f>"201904038390"</f>
        <v>201904038390</v>
      </c>
      <c r="F459" t="str">
        <f>"19-19414"</f>
        <v>19-19414</v>
      </c>
      <c r="G459" s="2">
        <v>250</v>
      </c>
      <c r="H459" t="str">
        <f>"19-19414"</f>
        <v>19-19414</v>
      </c>
    </row>
    <row r="460" spans="1:8" x14ac:dyDescent="0.25">
      <c r="E460" t="str">
        <f>"201904038391"</f>
        <v>201904038391</v>
      </c>
      <c r="F460" t="str">
        <f>"19-19465"</f>
        <v>19-19465</v>
      </c>
      <c r="G460" s="2">
        <v>100</v>
      </c>
      <c r="H460" t="str">
        <f>"19-19465"</f>
        <v>19-19465</v>
      </c>
    </row>
    <row r="461" spans="1:8" x14ac:dyDescent="0.25">
      <c r="E461" t="str">
        <f>"201904038392"</f>
        <v>201904038392</v>
      </c>
      <c r="F461" t="str">
        <f>"16-17840"</f>
        <v>16-17840</v>
      </c>
      <c r="G461" s="2">
        <v>212.5</v>
      </c>
      <c r="H461" t="str">
        <f>"16-17840"</f>
        <v>16-17840</v>
      </c>
    </row>
    <row r="462" spans="1:8" x14ac:dyDescent="0.25">
      <c r="A462" t="s">
        <v>131</v>
      </c>
      <c r="B462" s="3">
        <v>734</v>
      </c>
      <c r="C462" s="2">
        <v>1612.5</v>
      </c>
      <c r="D462" s="1">
        <v>43578</v>
      </c>
      <c r="E462" t="str">
        <f>"201904158608"</f>
        <v>201904158608</v>
      </c>
      <c r="F462" t="str">
        <f>"423-5732"</f>
        <v>423-5732</v>
      </c>
      <c r="G462" s="2">
        <v>1612.5</v>
      </c>
      <c r="H462" t="str">
        <f>"423-5732"</f>
        <v>423-5732</v>
      </c>
    </row>
    <row r="463" spans="1:8" x14ac:dyDescent="0.25">
      <c r="A463" t="s">
        <v>132</v>
      </c>
      <c r="B463" s="3">
        <v>714</v>
      </c>
      <c r="C463" s="2">
        <v>2286.48</v>
      </c>
      <c r="D463" s="1">
        <v>43578</v>
      </c>
      <c r="E463" t="str">
        <f>"2985278"</f>
        <v>2985278</v>
      </c>
      <c r="F463" t="str">
        <f>"INV 2985278"</f>
        <v>INV 2985278</v>
      </c>
      <c r="G463" s="2">
        <v>1243.5</v>
      </c>
      <c r="H463" t="str">
        <f>"INV 2985278"</f>
        <v>INV 2985278</v>
      </c>
    </row>
    <row r="464" spans="1:8" x14ac:dyDescent="0.25">
      <c r="E464" t="str">
        <f>"2985279"</f>
        <v>2985279</v>
      </c>
      <c r="F464" t="str">
        <f>"INV 2985279"</f>
        <v>INV 2985279</v>
      </c>
      <c r="G464" s="2">
        <v>292.97000000000003</v>
      </c>
      <c r="H464" t="str">
        <f>"INV 2985279"</f>
        <v>INV 2985279</v>
      </c>
    </row>
    <row r="465" spans="1:8" x14ac:dyDescent="0.25">
      <c r="E465" t="str">
        <f>"3080721"</f>
        <v>3080721</v>
      </c>
      <c r="F465" t="str">
        <f>"INV 3080721"</f>
        <v>INV 3080721</v>
      </c>
      <c r="G465" s="2">
        <v>750.01</v>
      </c>
      <c r="H465" t="str">
        <f>"INV 3080721"</f>
        <v>INV 3080721</v>
      </c>
    </row>
    <row r="466" spans="1:8" x14ac:dyDescent="0.25">
      <c r="A466" t="s">
        <v>133</v>
      </c>
      <c r="B466" s="3">
        <v>81886</v>
      </c>
      <c r="C466" s="2">
        <v>350</v>
      </c>
      <c r="D466" s="1">
        <v>43577</v>
      </c>
      <c r="E466" t="str">
        <f>"201904158637"</f>
        <v>201904158637</v>
      </c>
      <c r="F466" t="str">
        <f>"ELEVATOR INSPECTIONS"</f>
        <v>ELEVATOR INSPECTIONS</v>
      </c>
      <c r="G466" s="2">
        <v>350</v>
      </c>
      <c r="H466" t="str">
        <f>"ELEVATOR INSPECTIONS"</f>
        <v>ELEVATOR INSPECTIONS</v>
      </c>
    </row>
    <row r="467" spans="1:8" x14ac:dyDescent="0.25">
      <c r="A467" t="s">
        <v>134</v>
      </c>
      <c r="B467" s="3">
        <v>81699</v>
      </c>
      <c r="C467" s="2">
        <v>4521.5600000000004</v>
      </c>
      <c r="D467" s="1">
        <v>43563</v>
      </c>
      <c r="E467" t="str">
        <f>"1083703"</f>
        <v>1083703</v>
      </c>
      <c r="F467" t="str">
        <f>"ACCT#B06875/ELECTIONS"</f>
        <v>ACCT#B06875/ELECTIONS</v>
      </c>
      <c r="G467" s="2">
        <v>1691.71</v>
      </c>
      <c r="H467" t="str">
        <f>"ACCT#B06875/ELECTIONS"</f>
        <v>ACCT#B06875/ELECTIONS</v>
      </c>
    </row>
    <row r="468" spans="1:8" x14ac:dyDescent="0.25">
      <c r="E468" t="str">
        <f>"1083704"</f>
        <v>1083704</v>
      </c>
      <c r="F468" t="str">
        <f>"ACCT#B06875/ELECTIONS"</f>
        <v>ACCT#B06875/ELECTIONS</v>
      </c>
      <c r="G468" s="2">
        <v>1366.45</v>
      </c>
      <c r="H468" t="str">
        <f>"ACCT#B06875/ELECTIONS"</f>
        <v>ACCT#B06875/ELECTIONS</v>
      </c>
    </row>
    <row r="469" spans="1:8" x14ac:dyDescent="0.25">
      <c r="E469" t="str">
        <f>"1083705"</f>
        <v>1083705</v>
      </c>
      <c r="F469" t="str">
        <f>"ACCT#B06875/ELECTIONS"</f>
        <v>ACCT#B06875/ELECTIONS</v>
      </c>
      <c r="G469" s="2">
        <v>730.45</v>
      </c>
      <c r="H469" t="str">
        <f>"ACCT#B06875/ELECTIONS"</f>
        <v>ACCT#B06875/ELECTIONS</v>
      </c>
    </row>
    <row r="470" spans="1:8" x14ac:dyDescent="0.25">
      <c r="E470" t="str">
        <f>"1083706"</f>
        <v>1083706</v>
      </c>
      <c r="F470" t="str">
        <f>"ACCT#B06875/ELECTIONS"</f>
        <v>ACCT#B06875/ELECTIONS</v>
      </c>
      <c r="G470" s="2">
        <v>732.95</v>
      </c>
      <c r="H470" t="str">
        <f>"ACCT#B06875/ELECTIONS"</f>
        <v>ACCT#B06875/ELECTIONS</v>
      </c>
    </row>
    <row r="471" spans="1:8" x14ac:dyDescent="0.25">
      <c r="A471" t="s">
        <v>134</v>
      </c>
      <c r="B471" s="3">
        <v>81887</v>
      </c>
      <c r="C471" s="2">
        <v>2277.2600000000002</v>
      </c>
      <c r="D471" s="1">
        <v>43577</v>
      </c>
      <c r="E471" t="str">
        <f>"1083163"</f>
        <v>1083163</v>
      </c>
      <c r="F471" t="str">
        <f t="shared" ref="F471:F478" si="7">"ACCT#B06875/BALLOTS/ELECTIONS"</f>
        <v>ACCT#B06875/BALLOTS/ELECTIONS</v>
      </c>
      <c r="G471" s="2">
        <v>893.49</v>
      </c>
      <c r="H471" t="str">
        <f t="shared" ref="H471:H478" si="8">"ACCT#B06875/BALLOTS/ELECTIONS"</f>
        <v>ACCT#B06875/BALLOTS/ELECTIONS</v>
      </c>
    </row>
    <row r="472" spans="1:8" x14ac:dyDescent="0.25">
      <c r="E472" t="str">
        <f>"1083164"</f>
        <v>1083164</v>
      </c>
      <c r="F472" t="str">
        <f t="shared" si="7"/>
        <v>ACCT#B06875/BALLOTS/ELECTIONS</v>
      </c>
      <c r="G472" s="2">
        <v>275.43</v>
      </c>
      <c r="H472" t="str">
        <f t="shared" si="8"/>
        <v>ACCT#B06875/BALLOTS/ELECTIONS</v>
      </c>
    </row>
    <row r="473" spans="1:8" x14ac:dyDescent="0.25">
      <c r="E473" t="str">
        <f>"1083165"</f>
        <v>1083165</v>
      </c>
      <c r="F473" t="str">
        <f t="shared" si="7"/>
        <v>ACCT#B06875/BALLOTS/ELECTIONS</v>
      </c>
      <c r="G473" s="2">
        <v>79.36</v>
      </c>
      <c r="H473" t="str">
        <f t="shared" si="8"/>
        <v>ACCT#B06875/BALLOTS/ELECTIONS</v>
      </c>
    </row>
    <row r="474" spans="1:8" x14ac:dyDescent="0.25">
      <c r="E474" t="str">
        <f>"1083166"</f>
        <v>1083166</v>
      </c>
      <c r="F474" t="str">
        <f t="shared" si="7"/>
        <v>ACCT#B06875/BALLOTS/ELECTIONS</v>
      </c>
      <c r="G474" s="2">
        <v>79.36</v>
      </c>
      <c r="H474" t="str">
        <f t="shared" si="8"/>
        <v>ACCT#B06875/BALLOTS/ELECTIONS</v>
      </c>
    </row>
    <row r="475" spans="1:8" x14ac:dyDescent="0.25">
      <c r="E475" t="str">
        <f>"1083325"</f>
        <v>1083325</v>
      </c>
      <c r="F475" t="str">
        <f t="shared" si="7"/>
        <v>ACCT#B06875/BALLOTS/ELECTIONS</v>
      </c>
      <c r="G475" s="2">
        <v>609.39</v>
      </c>
      <c r="H475" t="str">
        <f t="shared" si="8"/>
        <v>ACCT#B06875/BALLOTS/ELECTIONS</v>
      </c>
    </row>
    <row r="476" spans="1:8" x14ac:dyDescent="0.25">
      <c r="E476" t="str">
        <f>"1083326"</f>
        <v>1083326</v>
      </c>
      <c r="F476" t="str">
        <f t="shared" si="7"/>
        <v>ACCT#B06875/BALLOTS/ELECTIONS</v>
      </c>
      <c r="G476" s="2">
        <v>82.32</v>
      </c>
      <c r="H476" t="str">
        <f t="shared" si="8"/>
        <v>ACCT#B06875/BALLOTS/ELECTIONS</v>
      </c>
    </row>
    <row r="477" spans="1:8" x14ac:dyDescent="0.25">
      <c r="E477" t="str">
        <f>"1083327"</f>
        <v>1083327</v>
      </c>
      <c r="F477" t="str">
        <f t="shared" si="7"/>
        <v>ACCT#B06875/BALLOTS/ELECTIONS</v>
      </c>
      <c r="G477" s="2">
        <v>80.849999999999994</v>
      </c>
      <c r="H477" t="str">
        <f t="shared" si="8"/>
        <v>ACCT#B06875/BALLOTS/ELECTIONS</v>
      </c>
    </row>
    <row r="478" spans="1:8" x14ac:dyDescent="0.25">
      <c r="E478" t="str">
        <f>"1083331"</f>
        <v>1083331</v>
      </c>
      <c r="F478" t="str">
        <f t="shared" si="7"/>
        <v>ACCT#B06875/BALLOTS/ELECTIONS</v>
      </c>
      <c r="G478" s="2">
        <v>177.06</v>
      </c>
      <c r="H478" t="str">
        <f t="shared" si="8"/>
        <v>ACCT#B06875/BALLOTS/ELECTIONS</v>
      </c>
    </row>
    <row r="479" spans="1:8" x14ac:dyDescent="0.25">
      <c r="A479" t="s">
        <v>135</v>
      </c>
      <c r="B479" s="3">
        <v>81700</v>
      </c>
      <c r="C479" s="2">
        <v>75</v>
      </c>
      <c r="D479" s="1">
        <v>43563</v>
      </c>
      <c r="E479" t="str">
        <f>"13002"</f>
        <v>13002</v>
      </c>
      <c r="F479" t="str">
        <f>"SERVICE NOT PERFECTED IN LEE C"</f>
        <v>SERVICE NOT PERFECTED IN LEE C</v>
      </c>
      <c r="G479" s="2">
        <v>75</v>
      </c>
      <c r="H479" t="str">
        <f>"SERVICE NOT PERFECTED IN LEE C"</f>
        <v>SERVICE NOT PERFECTED IN LEE C</v>
      </c>
    </row>
    <row r="480" spans="1:8" x14ac:dyDescent="0.25">
      <c r="A480" t="s">
        <v>136</v>
      </c>
      <c r="B480" s="3">
        <v>657</v>
      </c>
      <c r="C480" s="2">
        <v>244</v>
      </c>
      <c r="D480" s="1">
        <v>43564</v>
      </c>
      <c r="E480" t="str">
        <f>"52421-16644"</f>
        <v>52421-16644</v>
      </c>
      <c r="F480" t="str">
        <f>"Early Floodplain Notice"</f>
        <v>Early Floodplain Notice</v>
      </c>
      <c r="G480" s="2">
        <v>210</v>
      </c>
      <c r="H480" t="str">
        <f>"run date March 20"</f>
        <v>run date March 20</v>
      </c>
    </row>
    <row r="481" spans="1:8" x14ac:dyDescent="0.25">
      <c r="E481" t="str">
        <f>"52421-16798"</f>
        <v>52421-16798</v>
      </c>
      <c r="F481" t="str">
        <f>"Wed 03/27/2019"</f>
        <v>Wed 03/27/2019</v>
      </c>
      <c r="G481" s="2">
        <v>34</v>
      </c>
      <c r="H481" t="str">
        <f>"Ad"</f>
        <v>Ad</v>
      </c>
    </row>
    <row r="482" spans="1:8" x14ac:dyDescent="0.25">
      <c r="A482" t="s">
        <v>137</v>
      </c>
      <c r="B482" s="3">
        <v>81888</v>
      </c>
      <c r="C482" s="2">
        <v>128.99</v>
      </c>
      <c r="D482" s="1">
        <v>43577</v>
      </c>
      <c r="E482" t="str">
        <f>"12404"</f>
        <v>12404</v>
      </c>
      <c r="F482" t="str">
        <f>"BO0OTS/PCT#4"</f>
        <v>BO0OTS/PCT#4</v>
      </c>
      <c r="G482" s="2">
        <v>128.99</v>
      </c>
      <c r="H482" t="str">
        <f>"BO0OTS/PCT#4"</f>
        <v>BO0OTS/PCT#4</v>
      </c>
    </row>
    <row r="483" spans="1:8" x14ac:dyDescent="0.25">
      <c r="A483" t="s">
        <v>138</v>
      </c>
      <c r="B483" s="3">
        <v>81889</v>
      </c>
      <c r="C483" s="2">
        <v>58.15</v>
      </c>
      <c r="D483" s="1">
        <v>43577</v>
      </c>
      <c r="E483" t="str">
        <f>"201904128602"</f>
        <v>201904128602</v>
      </c>
      <c r="F483" t="str">
        <f>"ARREST FEES-1ST QTR 2019"</f>
        <v>ARREST FEES-1ST QTR 2019</v>
      </c>
      <c r="G483" s="2">
        <v>58.15</v>
      </c>
      <c r="H483" t="str">
        <f>"ARREST FEES-1ST QTR 2019"</f>
        <v>ARREST FEES-1ST QTR 2019</v>
      </c>
    </row>
    <row r="484" spans="1:8" x14ac:dyDescent="0.25">
      <c r="A484" t="s">
        <v>139</v>
      </c>
      <c r="B484" s="3">
        <v>81701</v>
      </c>
      <c r="C484" s="2">
        <v>315000</v>
      </c>
      <c r="D484" s="1">
        <v>43563</v>
      </c>
      <c r="E484" t="str">
        <f>"201904028322"</f>
        <v>201904028322</v>
      </c>
      <c r="F484" t="str">
        <f>"CNTY CONTRIB FOR CONS TIRZ#1"</f>
        <v>CNTY CONTRIB FOR CONS TIRZ#1</v>
      </c>
      <c r="G484" s="2">
        <v>315000</v>
      </c>
      <c r="H484" t="str">
        <f>"CNTY CONTRIB FOR CONS TIRZ#1"</f>
        <v>CNTY CONTRIB FOR CONS TIRZ#1</v>
      </c>
    </row>
    <row r="485" spans="1:8" x14ac:dyDescent="0.25">
      <c r="A485" t="s">
        <v>139</v>
      </c>
      <c r="B485" s="3">
        <v>81890</v>
      </c>
      <c r="C485" s="2">
        <v>86620.4</v>
      </c>
      <c r="D485" s="1">
        <v>43577</v>
      </c>
      <c r="E485" t="str">
        <f>"201904178724"</f>
        <v>201904178724</v>
      </c>
      <c r="F485" t="str">
        <f>"ELGIN TIF AD VALOREM"</f>
        <v>ELGIN TIF AD VALOREM</v>
      </c>
      <c r="G485" s="2">
        <v>86620.4</v>
      </c>
      <c r="H485" t="str">
        <f>"ELGIN TIF AD VALOREM"</f>
        <v>ELGIN TIF AD VALOREM</v>
      </c>
    </row>
    <row r="486" spans="1:8" x14ac:dyDescent="0.25">
      <c r="A486" t="s">
        <v>140</v>
      </c>
      <c r="B486" s="3">
        <v>81645</v>
      </c>
      <c r="C486" s="2">
        <v>1363.48</v>
      </c>
      <c r="D486" s="1">
        <v>43560</v>
      </c>
      <c r="E486" t="str">
        <f>"201904058505"</f>
        <v>201904058505</v>
      </c>
      <c r="F486" t="str">
        <f>"ACCT#007-0008410-0002/03312019"</f>
        <v>ACCT#007-0008410-0002/03312019</v>
      </c>
      <c r="G486" s="2">
        <v>311.23</v>
      </c>
      <c r="H486" t="str">
        <f>"ACCT#007-0008410-0002/03312019"</f>
        <v>ACCT#007-0008410-0002/03312019</v>
      </c>
    </row>
    <row r="487" spans="1:8" x14ac:dyDescent="0.25">
      <c r="E487" t="str">
        <f>"201904058506"</f>
        <v>201904058506</v>
      </c>
      <c r="F487" t="str">
        <f>"ACCT#007-0011501-000/03312019"</f>
        <v>ACCT#007-0011501-000/03312019</v>
      </c>
      <c r="G487" s="2">
        <v>329.08</v>
      </c>
      <c r="H487" t="str">
        <f>"ACCT#007-0011501-000/03312019"</f>
        <v>ACCT#007-0011501-000/03312019</v>
      </c>
    </row>
    <row r="488" spans="1:8" x14ac:dyDescent="0.25">
      <c r="E488" t="str">
        <f>"201904058507"</f>
        <v>201904058507</v>
      </c>
      <c r="F488" t="str">
        <f>"ACCT#007-0011510-000/03312019"</f>
        <v>ACCT#007-0011510-000/03312019</v>
      </c>
      <c r="G488" s="2">
        <v>235.91</v>
      </c>
      <c r="H488" t="str">
        <f>"ACCT#007-0011510-000/03312019"</f>
        <v>ACCT#007-0011510-000/03312019</v>
      </c>
    </row>
    <row r="489" spans="1:8" x14ac:dyDescent="0.25">
      <c r="E489" t="str">
        <f>"201904058508"</f>
        <v>201904058508</v>
      </c>
      <c r="F489" t="str">
        <f>"ACCT#007-0011530-000/03312019"</f>
        <v>ACCT#007-0011530-000/03312019</v>
      </c>
      <c r="G489" s="2">
        <v>97.4</v>
      </c>
      <c r="H489" t="str">
        <f>"ACCT#007-0011530-000/03312019"</f>
        <v>ACCT#007-0011530-000/03312019</v>
      </c>
    </row>
    <row r="490" spans="1:8" x14ac:dyDescent="0.25">
      <c r="E490" t="str">
        <f>"201904058509"</f>
        <v>201904058509</v>
      </c>
      <c r="F490" t="str">
        <f>"ACCT#007-0011534-001/03312019"</f>
        <v>ACCT#007-0011534-001/03312019</v>
      </c>
      <c r="G490" s="2">
        <v>166.88</v>
      </c>
      <c r="H490" t="str">
        <f>"ACCT#007-0011534-001/03312019"</f>
        <v>ACCT#007-0011534-001/03312019</v>
      </c>
    </row>
    <row r="491" spans="1:8" x14ac:dyDescent="0.25">
      <c r="E491" t="str">
        <f>"201904058510"</f>
        <v>201904058510</v>
      </c>
      <c r="F491" t="str">
        <f>"ACCT#007-0011535-000/03312019"</f>
        <v>ACCT#007-0011535-000/03312019</v>
      </c>
      <c r="G491" s="2">
        <v>111.49</v>
      </c>
      <c r="H491" t="str">
        <f>"ACCT#007-0011535-000/03312019"</f>
        <v>ACCT#007-0011535-000/03312019</v>
      </c>
    </row>
    <row r="492" spans="1:8" x14ac:dyDescent="0.25">
      <c r="E492" t="str">
        <f>"201904058511"</f>
        <v>201904058511</v>
      </c>
      <c r="F492" t="str">
        <f>"ACCT#007-0011544-001/03312019"</f>
        <v>ACCT#007-0011544-001/03312019</v>
      </c>
      <c r="G492" s="2">
        <v>111.49</v>
      </c>
      <c r="H492" t="str">
        <f>"ACCT#007-0011544-001/03312019"</f>
        <v>ACCT#007-0011544-001/03312019</v>
      </c>
    </row>
    <row r="493" spans="1:8" x14ac:dyDescent="0.25">
      <c r="A493" t="s">
        <v>141</v>
      </c>
      <c r="B493" s="3">
        <v>81702</v>
      </c>
      <c r="C493" s="2">
        <v>2699.26</v>
      </c>
      <c r="D493" s="1">
        <v>43563</v>
      </c>
      <c r="E493" t="str">
        <f>"145-26062-01"</f>
        <v>145-26062-01</v>
      </c>
      <c r="F493" t="str">
        <f>"CUST#0888336/MIKE FISHER BLDG"</f>
        <v>CUST#0888336/MIKE FISHER BLDG</v>
      </c>
      <c r="G493" s="2">
        <v>581.75</v>
      </c>
      <c r="H493" t="str">
        <f>"CUST#0888336/MIKE FISHER BLDG"</f>
        <v>CUST#0888336/MIKE FISHER BLDG</v>
      </c>
    </row>
    <row r="494" spans="1:8" x14ac:dyDescent="0.25">
      <c r="E494" t="str">
        <f>"145-26668-01"</f>
        <v>145-26668-01</v>
      </c>
      <c r="F494" t="str">
        <f>"CUST#0888336/GEN SVCS"</f>
        <v>CUST#0888336/GEN SVCS</v>
      </c>
      <c r="G494" s="2">
        <v>2117.5100000000002</v>
      </c>
      <c r="H494" t="str">
        <f>"CUST#0888336/GEN SVCS"</f>
        <v>CUST#0888336/GEN SVCS</v>
      </c>
    </row>
    <row r="495" spans="1:8" x14ac:dyDescent="0.25">
      <c r="A495" t="s">
        <v>141</v>
      </c>
      <c r="B495" s="3">
        <v>81891</v>
      </c>
      <c r="C495" s="2">
        <v>207.9</v>
      </c>
      <c r="D495" s="1">
        <v>43577</v>
      </c>
      <c r="E495" t="str">
        <f>"145-26712-01/02/03"</f>
        <v>145-26712-01/02/03</v>
      </c>
      <c r="F495" t="str">
        <f>"INV 145-26712-01"</f>
        <v>INV 145-26712-01</v>
      </c>
      <c r="G495" s="2">
        <v>180</v>
      </c>
      <c r="H495" t="str">
        <f>"INV 145-26712-01"</f>
        <v>INV 145-26712-01</v>
      </c>
    </row>
    <row r="496" spans="1:8" x14ac:dyDescent="0.25">
      <c r="E496" t="str">
        <f>""</f>
        <v/>
      </c>
      <c r="F496" t="str">
        <f>""</f>
        <v/>
      </c>
      <c r="H496" t="str">
        <f>"INV 145-26712-02"</f>
        <v>INV 145-26712-02</v>
      </c>
    </row>
    <row r="497" spans="1:8" x14ac:dyDescent="0.25">
      <c r="E497" t="str">
        <f>""</f>
        <v/>
      </c>
      <c r="F497" t="str">
        <f>""</f>
        <v/>
      </c>
      <c r="H497" t="str">
        <f>"INV 145-26712-03"</f>
        <v>INV 145-26712-03</v>
      </c>
    </row>
    <row r="498" spans="1:8" x14ac:dyDescent="0.25">
      <c r="E498" t="str">
        <f>"145-26995-01"</f>
        <v>145-26995-01</v>
      </c>
      <c r="F498" t="str">
        <f>"ACCT#0888336/PROBATION"</f>
        <v>ACCT#0888336/PROBATION</v>
      </c>
      <c r="G498" s="2">
        <v>2.59</v>
      </c>
      <c r="H498" t="str">
        <f>"ACCT#0888336/PROBATION"</f>
        <v>ACCT#0888336/PROBATION</v>
      </c>
    </row>
    <row r="499" spans="1:8" x14ac:dyDescent="0.25">
      <c r="E499" t="str">
        <f>"145-27057-01"</f>
        <v>145-27057-01</v>
      </c>
      <c r="F499" t="str">
        <f>"ACCT#0888336/GEN SVCS"</f>
        <v>ACCT#0888336/GEN SVCS</v>
      </c>
      <c r="G499" s="2">
        <v>25.31</v>
      </c>
      <c r="H499" t="str">
        <f>"ACCT#0888336/GEN SVCS"</f>
        <v>ACCT#0888336/GEN SVCS</v>
      </c>
    </row>
    <row r="500" spans="1:8" x14ac:dyDescent="0.25">
      <c r="A500" t="s">
        <v>142</v>
      </c>
      <c r="B500" s="3">
        <v>81703</v>
      </c>
      <c r="C500" s="2">
        <v>5686.76</v>
      </c>
      <c r="D500" s="1">
        <v>43563</v>
      </c>
      <c r="E500" t="str">
        <f>"9402010889"</f>
        <v>9402010889</v>
      </c>
      <c r="F500" t="str">
        <f>"ACCT#912923/BOL#24223/PCT#4"</f>
        <v>ACCT#912923/BOL#24223/PCT#4</v>
      </c>
      <c r="G500" s="2">
        <v>5686.76</v>
      </c>
      <c r="H500" t="str">
        <f>"ACCT#912923/BOL#24223/PCT#4"</f>
        <v>ACCT#912923/BOL#24223/PCT#4</v>
      </c>
    </row>
    <row r="501" spans="1:8" x14ac:dyDescent="0.25">
      <c r="A501" t="s">
        <v>142</v>
      </c>
      <c r="B501" s="3">
        <v>81892</v>
      </c>
      <c r="C501" s="2">
        <v>5403.85</v>
      </c>
      <c r="D501" s="1">
        <v>43577</v>
      </c>
      <c r="E501" t="str">
        <f>"9402016260"</f>
        <v>9402016260</v>
      </c>
      <c r="F501" t="str">
        <f>"ACCT#912923/BOL#24280/PCT#4"</f>
        <v>ACCT#912923/BOL#24280/PCT#4</v>
      </c>
      <c r="G501" s="2">
        <v>5403.85</v>
      </c>
      <c r="H501" t="str">
        <f>"ACCT#912923/BOL#24280/PCT#4"</f>
        <v>ACCT#912923/BOL#24280/PCT#4</v>
      </c>
    </row>
    <row r="502" spans="1:8" x14ac:dyDescent="0.25">
      <c r="A502" t="s">
        <v>143</v>
      </c>
      <c r="B502" s="3">
        <v>81893</v>
      </c>
      <c r="C502" s="2">
        <v>37.119999999999997</v>
      </c>
      <c r="D502" s="1">
        <v>43577</v>
      </c>
      <c r="E502" t="str">
        <f>"201904158631"</f>
        <v>201904158631</v>
      </c>
      <c r="F502" t="str">
        <f>"MILEAGE REIMBURSEMENT"</f>
        <v>MILEAGE REIMBURSEMENT</v>
      </c>
      <c r="G502" s="2">
        <v>37.119999999999997</v>
      </c>
      <c r="H502" t="str">
        <f>"MILEAGE REIMBURSEMENT"</f>
        <v>MILEAGE REIMBURSEMENT</v>
      </c>
    </row>
    <row r="503" spans="1:8" x14ac:dyDescent="0.25">
      <c r="A503" t="s">
        <v>144</v>
      </c>
      <c r="B503" s="3">
        <v>81894</v>
      </c>
      <c r="C503" s="2">
        <v>5</v>
      </c>
      <c r="D503" s="1">
        <v>43577</v>
      </c>
      <c r="E503" t="str">
        <f>"201904158698"</f>
        <v>201904158698</v>
      </c>
      <c r="F503" t="str">
        <f>"FERAL HOGS"</f>
        <v>FERAL HOGS</v>
      </c>
      <c r="G503" s="2">
        <v>5</v>
      </c>
      <c r="H503" t="str">
        <f>"FERAL HOGS"</f>
        <v>FERAL HOGS</v>
      </c>
    </row>
    <row r="504" spans="1:8" x14ac:dyDescent="0.25">
      <c r="A504" t="s">
        <v>145</v>
      </c>
      <c r="B504" s="3">
        <v>81895</v>
      </c>
      <c r="C504" s="2">
        <v>3599.82</v>
      </c>
      <c r="D504" s="1">
        <v>43577</v>
      </c>
      <c r="E504" t="str">
        <f>"201904158635"</f>
        <v>201904158635</v>
      </c>
      <c r="F504" t="str">
        <f>"CONSULTING"</f>
        <v>CONSULTING</v>
      </c>
      <c r="G504" s="2">
        <v>3599.82</v>
      </c>
      <c r="H504" t="str">
        <f>"CONSULTING"</f>
        <v>CONSULTING</v>
      </c>
    </row>
    <row r="505" spans="1:8" x14ac:dyDescent="0.25">
      <c r="A505" t="s">
        <v>146</v>
      </c>
      <c r="B505" s="3">
        <v>81704</v>
      </c>
      <c r="C505" s="2">
        <v>87.71</v>
      </c>
      <c r="D505" s="1">
        <v>43563</v>
      </c>
      <c r="E505" t="str">
        <f>"7001972"</f>
        <v>7001972</v>
      </c>
      <c r="F505" t="str">
        <f>"CUST#39808/ORD#39808/GEN SVCS"</f>
        <v>CUST#39808/ORD#39808/GEN SVCS</v>
      </c>
      <c r="G505" s="2">
        <v>87.71</v>
      </c>
      <c r="H505" t="str">
        <f>"CUST#39808/ORD#39808/GEN SVCS"</f>
        <v>CUST#39808/ORD#39808/GEN SVCS</v>
      </c>
    </row>
    <row r="506" spans="1:8" x14ac:dyDescent="0.25">
      <c r="A506" t="s">
        <v>147</v>
      </c>
      <c r="B506" s="3">
        <v>81705</v>
      </c>
      <c r="C506" s="2">
        <v>8020.91</v>
      </c>
      <c r="D506" s="1">
        <v>43563</v>
      </c>
      <c r="E506" t="str">
        <f>"201904028298"</f>
        <v>201904028298</v>
      </c>
      <c r="F506" t="str">
        <f>"GRANT REIMBURSEMENT"</f>
        <v>GRANT REIMBURSEMENT</v>
      </c>
      <c r="G506" s="2">
        <v>8020.91</v>
      </c>
      <c r="H506" t="str">
        <f>"GRANT REIMBURSEMENT"</f>
        <v>GRANT REIMBURSEMENT</v>
      </c>
    </row>
    <row r="507" spans="1:8" x14ac:dyDescent="0.25">
      <c r="A507" t="s">
        <v>147</v>
      </c>
      <c r="B507" s="3">
        <v>81896</v>
      </c>
      <c r="C507" s="2">
        <v>1467</v>
      </c>
      <c r="D507" s="1">
        <v>43577</v>
      </c>
      <c r="E507" t="str">
        <f>"201904158632"</f>
        <v>201904158632</v>
      </c>
      <c r="F507" t="str">
        <f>"SANE EXAM 19-S-01628"</f>
        <v>SANE EXAM 19-S-01628</v>
      </c>
      <c r="G507" s="2">
        <v>489</v>
      </c>
      <c r="H507" t="str">
        <f>"SANE EXAM 19-S-01628"</f>
        <v>SANE EXAM 19-S-01628</v>
      </c>
    </row>
    <row r="508" spans="1:8" x14ac:dyDescent="0.25">
      <c r="E508" t="str">
        <f>"201904158633"</f>
        <v>201904158633</v>
      </c>
      <c r="F508" t="str">
        <f>"SANE EXAM 19-S-01766"</f>
        <v>SANE EXAM 19-S-01766</v>
      </c>
      <c r="G508" s="2">
        <v>489</v>
      </c>
      <c r="H508" t="str">
        <f>"SANE EXAM 19-S-01766"</f>
        <v>SANE EXAM 19-S-01766</v>
      </c>
    </row>
    <row r="509" spans="1:8" x14ac:dyDescent="0.25">
      <c r="E509" t="str">
        <f>"201904158634"</f>
        <v>201904158634</v>
      </c>
      <c r="F509" t="str">
        <f>"SANE EXAM  19-S-01827"</f>
        <v>SANE EXAM  19-S-01827</v>
      </c>
      <c r="G509" s="2">
        <v>489</v>
      </c>
      <c r="H509" t="str">
        <f>"SANE EXAM  19-S-01827"</f>
        <v>SANE EXAM  19-S-01827</v>
      </c>
    </row>
    <row r="510" spans="1:8" x14ac:dyDescent="0.25">
      <c r="A510" t="s">
        <v>148</v>
      </c>
      <c r="B510" s="3">
        <v>81897</v>
      </c>
      <c r="C510" s="2">
        <v>107.56</v>
      </c>
      <c r="D510" s="1">
        <v>43577</v>
      </c>
      <c r="E510" t="str">
        <f>"201904158666"</f>
        <v>201904158666</v>
      </c>
      <c r="F510" t="str">
        <f>"INDIGENT HEALTH"</f>
        <v>INDIGENT HEALTH</v>
      </c>
      <c r="G510" s="2">
        <v>46.73</v>
      </c>
      <c r="H510" t="str">
        <f>"INDIGENT HEALTH"</f>
        <v>INDIGENT HEALTH</v>
      </c>
    </row>
    <row r="511" spans="1:8" x14ac:dyDescent="0.25">
      <c r="E511" t="str">
        <f>"4523*73*1"</f>
        <v>4523*73*1</v>
      </c>
      <c r="F511" t="str">
        <f>"JAIL MEDICAL"</f>
        <v>JAIL MEDICAL</v>
      </c>
      <c r="G511" s="2">
        <v>60.83</v>
      </c>
      <c r="H511" t="str">
        <f>"JAIL MEDICAL"</f>
        <v>JAIL MEDICAL</v>
      </c>
    </row>
    <row r="512" spans="1:8" x14ac:dyDescent="0.25">
      <c r="A512" t="s">
        <v>149</v>
      </c>
      <c r="B512" s="3">
        <v>688</v>
      </c>
      <c r="C512" s="2">
        <v>158</v>
      </c>
      <c r="D512" s="1">
        <v>43578</v>
      </c>
      <c r="E512" t="str">
        <f>"201904158667"</f>
        <v>201904158667</v>
      </c>
      <c r="F512" t="str">
        <f>"INDIGENT HEALTH"</f>
        <v>INDIGENT HEALTH</v>
      </c>
      <c r="G512" s="2">
        <v>158</v>
      </c>
      <c r="H512" t="str">
        <f>"INDIGENT HEALTH"</f>
        <v>INDIGENT HEALTH</v>
      </c>
    </row>
    <row r="513" spans="1:9" x14ac:dyDescent="0.25">
      <c r="A513" t="s">
        <v>150</v>
      </c>
      <c r="B513" s="3">
        <v>81706</v>
      </c>
      <c r="C513" s="2">
        <v>30.1</v>
      </c>
      <c r="D513" s="1">
        <v>43563</v>
      </c>
      <c r="E513" t="str">
        <f>"6-497-27442"</f>
        <v>6-497-27442</v>
      </c>
      <c r="F513" t="str">
        <f>"INV 6-497-27442"</f>
        <v>INV 6-497-27442</v>
      </c>
      <c r="G513" s="2">
        <v>30.1</v>
      </c>
      <c r="H513" t="str">
        <f>"INV 6-497-27442"</f>
        <v>INV 6-497-27442</v>
      </c>
    </row>
    <row r="514" spans="1:9" x14ac:dyDescent="0.25">
      <c r="A514" t="s">
        <v>150</v>
      </c>
      <c r="B514" s="3">
        <v>81898</v>
      </c>
      <c r="C514" s="2">
        <v>48.25</v>
      </c>
      <c r="D514" s="1">
        <v>43577</v>
      </c>
      <c r="E514" t="str">
        <f>"6-511-67593"</f>
        <v>6-511-67593</v>
      </c>
      <c r="F514" t="str">
        <f>"ACCT#4702-9210-5/AUDITOR"</f>
        <v>ACCT#4702-9210-5/AUDITOR</v>
      </c>
      <c r="G514" s="2">
        <v>48.25</v>
      </c>
      <c r="H514" t="str">
        <f>"ACCT#4702-9210-5/AUDITOR"</f>
        <v>ACCT#4702-9210-5/AUDITOR</v>
      </c>
    </row>
    <row r="515" spans="1:9" x14ac:dyDescent="0.25">
      <c r="A515" t="s">
        <v>151</v>
      </c>
      <c r="B515" s="3">
        <v>81707</v>
      </c>
      <c r="C515" s="2">
        <v>281.37</v>
      </c>
      <c r="D515" s="1">
        <v>43563</v>
      </c>
      <c r="E515" t="str">
        <f>"6811170"</f>
        <v>6811170</v>
      </c>
      <c r="F515" t="str">
        <f>"CUST#306066/CEDAR CREEK PARK"</f>
        <v>CUST#306066/CEDAR CREEK PARK</v>
      </c>
      <c r="G515" s="2">
        <v>281.37</v>
      </c>
      <c r="H515" t="str">
        <f>"CUST#306066/CEDAR CREEK PARK"</f>
        <v>CUST#306066/CEDAR CREEK PARK</v>
      </c>
    </row>
    <row r="516" spans="1:9" x14ac:dyDescent="0.25">
      <c r="A516" t="s">
        <v>152</v>
      </c>
      <c r="B516" s="3">
        <v>81899</v>
      </c>
      <c r="C516" s="2">
        <v>25</v>
      </c>
      <c r="D516" s="1">
        <v>43577</v>
      </c>
      <c r="E516" t="s">
        <v>153</v>
      </c>
      <c r="F516" t="s">
        <v>154</v>
      </c>
      <c r="G516" s="2" t="str">
        <f>"RESTITUTION-KATHY PURCELL"</f>
        <v>RESTITUTION-KATHY PURCELL</v>
      </c>
      <c r="H516" t="str">
        <f>"210-0000"</f>
        <v>210-0000</v>
      </c>
      <c r="I516" t="str">
        <f>""</f>
        <v/>
      </c>
    </row>
    <row r="517" spans="1:9" x14ac:dyDescent="0.25">
      <c r="A517" t="s">
        <v>155</v>
      </c>
      <c r="B517" s="3">
        <v>81900</v>
      </c>
      <c r="C517" s="2">
        <v>414.13</v>
      </c>
      <c r="D517" s="1">
        <v>43577</v>
      </c>
      <c r="E517" t="str">
        <f>"24108958"</f>
        <v>24108958</v>
      </c>
      <c r="F517" t="str">
        <f>"ACCT#80975-002/PCT#4"</f>
        <v>ACCT#80975-002/PCT#4</v>
      </c>
      <c r="G517" s="2">
        <v>107.37</v>
      </c>
      <c r="H517" t="str">
        <f>"ACCT#80975-002/PCT#4"</f>
        <v>ACCT#80975-002/PCT#4</v>
      </c>
    </row>
    <row r="518" spans="1:9" x14ac:dyDescent="0.25">
      <c r="E518" t="str">
        <f>"24187595"</f>
        <v>24187595</v>
      </c>
      <c r="F518" t="str">
        <f>"ACCT#80975-002/PCT#4"</f>
        <v>ACCT#80975-002/PCT#4</v>
      </c>
      <c r="G518" s="2">
        <v>306.76</v>
      </c>
      <c r="H518" t="str">
        <f>"ACCT#80975-002/PCT#4"</f>
        <v>ACCT#80975-002/PCT#4</v>
      </c>
    </row>
    <row r="519" spans="1:9" x14ac:dyDescent="0.25">
      <c r="A519" t="s">
        <v>156</v>
      </c>
      <c r="B519" s="3">
        <v>81901</v>
      </c>
      <c r="C519" s="2">
        <v>60</v>
      </c>
      <c r="D519" s="1">
        <v>43577</v>
      </c>
      <c r="E519" t="s">
        <v>23</v>
      </c>
      <c r="F519" t="s">
        <v>157</v>
      </c>
      <c r="G519" s="2" t="str">
        <f>"RESTITUTION-DONALD CORKILL"</f>
        <v>RESTITUTION-DONALD CORKILL</v>
      </c>
      <c r="H519" t="str">
        <f>"210-0000"</f>
        <v>210-0000</v>
      </c>
      <c r="I519" t="str">
        <f>""</f>
        <v/>
      </c>
    </row>
    <row r="520" spans="1:9" x14ac:dyDescent="0.25">
      <c r="A520" t="s">
        <v>158</v>
      </c>
      <c r="B520" s="3">
        <v>658</v>
      </c>
      <c r="C520" s="2">
        <v>1400</v>
      </c>
      <c r="D520" s="1">
        <v>43564</v>
      </c>
      <c r="E520" t="str">
        <f>"201903288156"</f>
        <v>201903288156</v>
      </c>
      <c r="F520" t="str">
        <f>"16 642"</f>
        <v>16 642</v>
      </c>
      <c r="G520" s="2">
        <v>400</v>
      </c>
      <c r="H520" t="str">
        <f>"16 642"</f>
        <v>16 642</v>
      </c>
    </row>
    <row r="521" spans="1:9" x14ac:dyDescent="0.25">
      <c r="E521" t="str">
        <f>"201904018214"</f>
        <v>201904018214</v>
      </c>
      <c r="F521" t="str">
        <f>"56 071"</f>
        <v>56 071</v>
      </c>
      <c r="G521" s="2">
        <v>250</v>
      </c>
      <c r="H521" t="str">
        <f>"56 071"</f>
        <v>56 071</v>
      </c>
    </row>
    <row r="522" spans="1:9" x14ac:dyDescent="0.25">
      <c r="E522" t="str">
        <f>"201904028267"</f>
        <v>201904028267</v>
      </c>
      <c r="F522" t="str">
        <f>"56 024"</f>
        <v>56 024</v>
      </c>
      <c r="G522" s="2">
        <v>250</v>
      </c>
      <c r="H522" t="str">
        <f>"56 024"</f>
        <v>56 024</v>
      </c>
    </row>
    <row r="523" spans="1:9" x14ac:dyDescent="0.25">
      <c r="E523" t="str">
        <f>"201904028270"</f>
        <v>201904028270</v>
      </c>
      <c r="F523" t="str">
        <f>"N/A (UNFILED)"</f>
        <v>N/A (UNFILED)</v>
      </c>
      <c r="G523" s="2">
        <v>250</v>
      </c>
      <c r="H523" t="str">
        <f>"N/A (UNFILED)"</f>
        <v>N/A (UNFILED)</v>
      </c>
    </row>
    <row r="524" spans="1:9" x14ac:dyDescent="0.25">
      <c r="E524" t="str">
        <f>"201904038421"</f>
        <v>201904038421</v>
      </c>
      <c r="F524" t="str">
        <f>"56 586"</f>
        <v>56 586</v>
      </c>
      <c r="G524" s="2">
        <v>250</v>
      </c>
      <c r="H524" t="str">
        <f>"56 586"</f>
        <v>56 586</v>
      </c>
    </row>
    <row r="525" spans="1:9" x14ac:dyDescent="0.25">
      <c r="A525" t="s">
        <v>158</v>
      </c>
      <c r="B525" s="3">
        <v>715</v>
      </c>
      <c r="C525" s="2">
        <v>450</v>
      </c>
      <c r="D525" s="1">
        <v>43578</v>
      </c>
      <c r="E525" t="str">
        <f>"201904108563"</f>
        <v>201904108563</v>
      </c>
      <c r="F525" t="str">
        <f>"WRIT#100-21"</f>
        <v>WRIT#100-21</v>
      </c>
      <c r="G525" s="2">
        <v>100</v>
      </c>
      <c r="H525" t="str">
        <f>"WRIT#100-21"</f>
        <v>WRIT#100-21</v>
      </c>
    </row>
    <row r="526" spans="1:9" x14ac:dyDescent="0.25">
      <c r="E526" t="str">
        <f>"201904158646"</f>
        <v>201904158646</v>
      </c>
      <c r="F526" t="str">
        <f>"56 734"</f>
        <v>56 734</v>
      </c>
      <c r="G526" s="2">
        <v>250</v>
      </c>
      <c r="H526" t="str">
        <f>"56 734"</f>
        <v>56 734</v>
      </c>
    </row>
    <row r="527" spans="1:9" x14ac:dyDescent="0.25">
      <c r="E527" t="str">
        <f>"201904158647"</f>
        <v>201904158647</v>
      </c>
      <c r="F527" t="str">
        <f>"N/A"</f>
        <v>N/A</v>
      </c>
      <c r="G527" s="2">
        <v>100</v>
      </c>
      <c r="H527" t="str">
        <f>"N/A"</f>
        <v>N/A</v>
      </c>
    </row>
    <row r="528" spans="1:9" x14ac:dyDescent="0.25">
      <c r="A528" t="s">
        <v>159</v>
      </c>
      <c r="B528" s="3">
        <v>653</v>
      </c>
      <c r="C528" s="2">
        <v>235.76</v>
      </c>
      <c r="D528" s="1">
        <v>43564</v>
      </c>
      <c r="E528" t="str">
        <f>"201904028301"</f>
        <v>201904028301</v>
      </c>
      <c r="F528" t="str">
        <f>"REIMBURSEMENT-SEMINAR"</f>
        <v>REIMBURSEMENT-SEMINAR</v>
      </c>
      <c r="G528" s="2">
        <v>20</v>
      </c>
      <c r="H528" t="str">
        <f>"REIMBURSEMENT-SEMINAR"</f>
        <v>REIMBURSEMENT-SEMINAR</v>
      </c>
    </row>
    <row r="529" spans="1:8" x14ac:dyDescent="0.25">
      <c r="E529" t="str">
        <f>"201904028308"</f>
        <v>201904028308</v>
      </c>
      <c r="F529" t="str">
        <f>"MILEAGE REIMBURSEMENT"</f>
        <v>MILEAGE REIMBURSEMENT</v>
      </c>
      <c r="G529" s="2">
        <v>215.76</v>
      </c>
      <c r="H529" t="str">
        <f>"MILEAGE REIMBURSEMENT"</f>
        <v>MILEAGE REIMBURSEMENT</v>
      </c>
    </row>
    <row r="530" spans="1:8" x14ac:dyDescent="0.25">
      <c r="A530" t="s">
        <v>159</v>
      </c>
      <c r="B530" s="3">
        <v>711</v>
      </c>
      <c r="C530" s="2">
        <v>180</v>
      </c>
      <c r="D530" s="1">
        <v>43578</v>
      </c>
      <c r="E530" t="str">
        <f>"201904098544"</f>
        <v>201904098544</v>
      </c>
      <c r="F530" t="str">
        <f>"TRAVEL ADV REQUEST-PER DIEM"</f>
        <v>TRAVEL ADV REQUEST-PER DIEM</v>
      </c>
      <c r="G530" s="2">
        <v>180</v>
      </c>
      <c r="H530" t="str">
        <f>"TRAVEL ADV REQUEST-PER DIEM"</f>
        <v>TRAVEL ADV REQUEST-PER DIEM</v>
      </c>
    </row>
    <row r="531" spans="1:8" x14ac:dyDescent="0.25">
      <c r="A531" t="s">
        <v>160</v>
      </c>
      <c r="B531" s="3">
        <v>654</v>
      </c>
      <c r="C531" s="2">
        <v>3456.53</v>
      </c>
      <c r="D531" s="1">
        <v>43564</v>
      </c>
      <c r="E531" t="str">
        <f>"AP395559"</f>
        <v>AP395559</v>
      </c>
      <c r="F531" t="str">
        <f>"ACCT#3325/FAN DRIVE/PCT#2"</f>
        <v>ACCT#3325/FAN DRIVE/PCT#2</v>
      </c>
      <c r="G531" s="2">
        <v>837.8</v>
      </c>
      <c r="H531" t="str">
        <f>"ACCT#3325/FAN DRIVE/PCT#2"</f>
        <v>ACCT#3325/FAN DRIVE/PCT#2</v>
      </c>
    </row>
    <row r="532" spans="1:8" x14ac:dyDescent="0.25">
      <c r="E532" t="str">
        <f>"AP395587"</f>
        <v>AP395587</v>
      </c>
      <c r="F532" t="str">
        <f>"ACCT#3326/PCT#4"</f>
        <v>ACCT#3326/PCT#4</v>
      </c>
      <c r="G532" s="2">
        <v>847.28</v>
      </c>
      <c r="H532" t="str">
        <f>"ACCT#3326/PCT#4"</f>
        <v>ACCT#3326/PCT#4</v>
      </c>
    </row>
    <row r="533" spans="1:8" x14ac:dyDescent="0.25">
      <c r="E533" t="str">
        <f>"AP395711"</f>
        <v>AP395711</v>
      </c>
      <c r="F533" t="str">
        <f>"ACCT#3326/RED&amp;AMBER LED/PCT#4"</f>
        <v>ACCT#3326/RED&amp;AMBER LED/PCT#4</v>
      </c>
      <c r="G533" s="2">
        <v>32.880000000000003</v>
      </c>
      <c r="H533" t="str">
        <f>"ACCT#3326/RED&amp;AMBER LED/PCT#4"</f>
        <v>ACCT#3326/RED&amp;AMBER LED/PCT#4</v>
      </c>
    </row>
    <row r="534" spans="1:8" x14ac:dyDescent="0.25">
      <c r="E534" t="str">
        <f>"AP395801"</f>
        <v>AP395801</v>
      </c>
      <c r="F534" t="str">
        <f>"ACCT#3325/PARTS/PCT#2"</f>
        <v>ACCT#3325/PARTS/PCT#2</v>
      </c>
      <c r="G534" s="2">
        <v>258.08999999999997</v>
      </c>
      <c r="H534" t="str">
        <f>"ACCT#3325/PARTS/PCT#2"</f>
        <v>ACCT#3325/PARTS/PCT#2</v>
      </c>
    </row>
    <row r="535" spans="1:8" x14ac:dyDescent="0.25">
      <c r="E535" t="str">
        <f>"AP396426"</f>
        <v>AP396426</v>
      </c>
      <c r="F535" t="str">
        <f>"ACCT#3325/PCT#2"</f>
        <v>ACCT#3325/PCT#2</v>
      </c>
      <c r="G535" s="2">
        <v>1371.36</v>
      </c>
      <c r="H535" t="str">
        <f>"ACCT#3325/PCT#2"</f>
        <v>ACCT#3325/PCT#2</v>
      </c>
    </row>
    <row r="536" spans="1:8" x14ac:dyDescent="0.25">
      <c r="E536" t="str">
        <f>"AP396459"</f>
        <v>AP396459</v>
      </c>
      <c r="F536" t="str">
        <f>"ACCT#3325/PCT#2"</f>
        <v>ACCT#3325/PCT#2</v>
      </c>
      <c r="G536" s="2">
        <v>109.12</v>
      </c>
      <c r="H536" t="str">
        <f>"ACCT#3325/PCT#2"</f>
        <v>ACCT#3325/PCT#2</v>
      </c>
    </row>
    <row r="537" spans="1:8" x14ac:dyDescent="0.25">
      <c r="A537" t="s">
        <v>160</v>
      </c>
      <c r="B537" s="3">
        <v>712</v>
      </c>
      <c r="C537" s="2">
        <v>5315.24</v>
      </c>
      <c r="D537" s="1">
        <v>43578</v>
      </c>
      <c r="E537" t="str">
        <f>"AS77176"</f>
        <v>AS77176</v>
      </c>
      <c r="F537" t="str">
        <f>"2015 FRHT REPAIRS/PCT#2"</f>
        <v>2015 FRHT REPAIRS/PCT#2</v>
      </c>
      <c r="G537" s="2">
        <v>3893.15</v>
      </c>
      <c r="H537" t="str">
        <f>"2015 FRHT REPAIRS/PCT#2"</f>
        <v>2015 FRHT REPAIRS/PCT#2</v>
      </c>
    </row>
    <row r="538" spans="1:8" x14ac:dyDescent="0.25">
      <c r="E538" t="str">
        <f>"AS77220"</f>
        <v>AS77220</v>
      </c>
      <c r="F538" t="str">
        <f>"2016 FRHT REPAIRS/PCT#2"</f>
        <v>2016 FRHT REPAIRS/PCT#2</v>
      </c>
      <c r="G538" s="2">
        <v>1422.09</v>
      </c>
      <c r="H538" t="str">
        <f>"2016 FRHT REPAIRS/PCT#2"</f>
        <v>2016 FRHT REPAIRS/PCT#2</v>
      </c>
    </row>
    <row r="539" spans="1:8" x14ac:dyDescent="0.25">
      <c r="A539" t="s">
        <v>161</v>
      </c>
      <c r="B539" s="3">
        <v>659</v>
      </c>
      <c r="C539" s="2">
        <v>207.53</v>
      </c>
      <c r="D539" s="1">
        <v>43564</v>
      </c>
      <c r="E539" t="str">
        <f>"108255"</f>
        <v>108255</v>
      </c>
      <c r="F539" t="str">
        <f>"WINDOW ENVELOPES-DEVELOPMENT S"</f>
        <v>WINDOW ENVELOPES-DEVELOPMENT S</v>
      </c>
      <c r="G539" s="2">
        <v>85.98</v>
      </c>
      <c r="H539" t="str">
        <f>"WINDOW ENVELOPES-DEVELOPMENT S"</f>
        <v>WINDOW ENVELOPES-DEVELOPMENT S</v>
      </c>
    </row>
    <row r="540" spans="1:8" x14ac:dyDescent="0.25">
      <c r="E540" t="str">
        <f>"GC108152"</f>
        <v>GC108152</v>
      </c>
      <c r="F540" t="str">
        <f>"INV GC108152"</f>
        <v>INV GC108152</v>
      </c>
      <c r="G540" s="2">
        <v>80.59</v>
      </c>
      <c r="H540" t="str">
        <f>"INV GC108152"</f>
        <v>INV GC108152</v>
      </c>
    </row>
    <row r="541" spans="1:8" x14ac:dyDescent="0.25">
      <c r="E541" t="str">
        <f>"GC108153"</f>
        <v>GC108153</v>
      </c>
      <c r="F541" t="str">
        <f>"INV GC108153"</f>
        <v>INV GC108153</v>
      </c>
      <c r="G541" s="2">
        <v>40.96</v>
      </c>
      <c r="H541" t="str">
        <f>"INV GC108153"</f>
        <v>INV GC108153</v>
      </c>
    </row>
    <row r="542" spans="1:8" x14ac:dyDescent="0.25">
      <c r="A542" t="s">
        <v>161</v>
      </c>
      <c r="B542" s="3">
        <v>716</v>
      </c>
      <c r="C542" s="2">
        <v>909.31</v>
      </c>
      <c r="D542" s="1">
        <v>43578</v>
      </c>
      <c r="E542" t="str">
        <f>"107806"</f>
        <v>107806</v>
      </c>
      <c r="F542" t="str">
        <f>"BUSINESS CARDS-JP1"</f>
        <v>BUSINESS CARDS-JP1</v>
      </c>
      <c r="G542" s="2">
        <v>173.58</v>
      </c>
      <c r="H542" t="str">
        <f>"BUSINESS CARDS-JP1"</f>
        <v>BUSINESS CARDS-JP1</v>
      </c>
    </row>
    <row r="543" spans="1:8" x14ac:dyDescent="0.25">
      <c r="E543" t="str">
        <f>"108290"</f>
        <v>108290</v>
      </c>
      <c r="F543" t="str">
        <f>"FOOD ESTABLISHMENT INSP REPORT"</f>
        <v>FOOD ESTABLISHMENT INSP REPORT</v>
      </c>
      <c r="G543" s="2">
        <v>186.45</v>
      </c>
      <c r="H543" t="str">
        <f>"FOOD ESTABLISHMENT INSP REPORT"</f>
        <v>FOOD ESTABLISHMENT INSP REPORT</v>
      </c>
    </row>
    <row r="544" spans="1:8" x14ac:dyDescent="0.25">
      <c r="E544" t="str">
        <f>"108376"</f>
        <v>108376</v>
      </c>
      <c r="F544" t="str">
        <f>"INV GC 108376"</f>
        <v>INV GC 108376</v>
      </c>
      <c r="G544" s="2">
        <v>40.96</v>
      </c>
      <c r="H544" t="str">
        <f>"INV GC 108376"</f>
        <v>INV GC 108376</v>
      </c>
    </row>
    <row r="545" spans="1:8" x14ac:dyDescent="0.25">
      <c r="E545" t="str">
        <f>"108385"</f>
        <v>108385</v>
      </c>
      <c r="F545" t="str">
        <f>"BUSINESS CARDS-CARI CROFT"</f>
        <v>BUSINESS CARDS-CARI CROFT</v>
      </c>
      <c r="G545" s="2">
        <v>77.22</v>
      </c>
      <c r="H545" t="str">
        <f>"BUSINESS CARDS-CARI CROFT"</f>
        <v>BUSINESS CARDS-CARI CROFT</v>
      </c>
    </row>
    <row r="546" spans="1:8" x14ac:dyDescent="0.25">
      <c r="E546" t="str">
        <f>"108387"</f>
        <v>108387</v>
      </c>
      <c r="F546" t="str">
        <f>"PAPER SUPPLIES/EXTENSION OFFIC"</f>
        <v>PAPER SUPPLIES/EXTENSION OFFIC</v>
      </c>
      <c r="G546" s="2">
        <v>431.1</v>
      </c>
      <c r="H546" t="str">
        <f>"PAPER SUPPLIES/EXTENSION OFFIC"</f>
        <v>PAPER SUPPLIES/EXTENSION OFFIC</v>
      </c>
    </row>
    <row r="547" spans="1:8" x14ac:dyDescent="0.25">
      <c r="A547" t="s">
        <v>162</v>
      </c>
      <c r="B547" s="3">
        <v>81708</v>
      </c>
      <c r="C547" s="2">
        <v>2493.09</v>
      </c>
      <c r="D547" s="1">
        <v>43563</v>
      </c>
      <c r="E547" t="str">
        <f>"201904038369"</f>
        <v>201904038369</v>
      </c>
      <c r="F547" t="str">
        <f>"GARLAND T MURLEY"</f>
        <v>GARLAND T MURLEY</v>
      </c>
      <c r="G547" s="2">
        <v>684.97</v>
      </c>
      <c r="H547" t="str">
        <f>""</f>
        <v/>
      </c>
    </row>
    <row r="548" spans="1:8" x14ac:dyDescent="0.25">
      <c r="E548" t="str">
        <f>"358519"</f>
        <v>358519</v>
      </c>
      <c r="F548" t="str">
        <f>"INV 358519"</f>
        <v>INV 358519</v>
      </c>
      <c r="G548" s="2">
        <v>534.69000000000005</v>
      </c>
      <c r="H548" t="str">
        <f>"INV 358519"</f>
        <v>INV 358519</v>
      </c>
    </row>
    <row r="549" spans="1:8" x14ac:dyDescent="0.25">
      <c r="E549" t="str">
        <f>"358705"</f>
        <v>358705</v>
      </c>
      <c r="F549" t="str">
        <f>"INV 358705"</f>
        <v>INV 358705</v>
      </c>
      <c r="G549" s="2">
        <v>1273.43</v>
      </c>
      <c r="H549" t="str">
        <f>"INV 358705"</f>
        <v>INV 358705</v>
      </c>
    </row>
    <row r="550" spans="1:8" x14ac:dyDescent="0.25">
      <c r="A550" t="s">
        <v>163</v>
      </c>
      <c r="B550" s="3">
        <v>704</v>
      </c>
      <c r="C550" s="2">
        <v>824.59</v>
      </c>
      <c r="D550" s="1">
        <v>43578</v>
      </c>
      <c r="E550" t="str">
        <f>"CI-GUS0155499"</f>
        <v>CI-GUS0155499</v>
      </c>
      <c r="F550" t="str">
        <f>"CUST#1000768/ORD#SO1903173"</f>
        <v>CUST#1000768/ORD#SO1903173</v>
      </c>
      <c r="G550" s="2">
        <v>824.59</v>
      </c>
      <c r="H550" t="str">
        <f>"CUST#1000768/ORD#SO1903173"</f>
        <v>CUST#1000768/ORD#SO1903173</v>
      </c>
    </row>
    <row r="551" spans="1:8" x14ac:dyDescent="0.25">
      <c r="A551" t="s">
        <v>164</v>
      </c>
      <c r="B551" s="3">
        <v>81709</v>
      </c>
      <c r="C551" s="2">
        <v>425</v>
      </c>
      <c r="D551" s="1">
        <v>43563</v>
      </c>
      <c r="E551" t="str">
        <f>"1051"</f>
        <v>1051</v>
      </c>
      <c r="F551" t="str">
        <f>"TRANSPORT-J.P. WILLIAMS"</f>
        <v>TRANSPORT-J.P. WILLIAMS</v>
      </c>
      <c r="G551" s="2">
        <v>425</v>
      </c>
      <c r="H551" t="str">
        <f>"TRANSPORT-J.P. WILLIAMS"</f>
        <v>TRANSPORT-J.P. WILLIAMS</v>
      </c>
    </row>
    <row r="552" spans="1:8" x14ac:dyDescent="0.25">
      <c r="A552" t="s">
        <v>165</v>
      </c>
      <c r="B552" s="3">
        <v>81902</v>
      </c>
      <c r="C552" s="2">
        <v>6632.5</v>
      </c>
      <c r="D552" s="1">
        <v>43577</v>
      </c>
      <c r="E552" t="str">
        <f>"6"</f>
        <v>6</v>
      </c>
      <c r="F552" t="str">
        <f>"EXPERT SVCS 03/01-03/31"</f>
        <v>EXPERT SVCS 03/01-03/31</v>
      </c>
      <c r="G552" s="2">
        <v>6632.5</v>
      </c>
      <c r="H552" t="str">
        <f>"EXPERT SVCS 03/01-03/31"</f>
        <v>EXPERT SVCS 03/01-03/31</v>
      </c>
    </row>
    <row r="553" spans="1:8" x14ac:dyDescent="0.25">
      <c r="A553" t="s">
        <v>166</v>
      </c>
      <c r="B553" s="3">
        <v>81903</v>
      </c>
      <c r="C553" s="2">
        <v>3802.5</v>
      </c>
      <c r="D553" s="1">
        <v>43577</v>
      </c>
      <c r="E553" t="str">
        <f>"445037"</f>
        <v>445037</v>
      </c>
      <c r="F553" t="str">
        <f>"CLIENT#3366/PROJ#3366-004/OPEB"</f>
        <v>CLIENT#3366/PROJ#3366-004/OPEB</v>
      </c>
      <c r="G553" s="2">
        <v>3802.5</v>
      </c>
      <c r="H553" t="str">
        <f>"CLIENT#3366/PROJ#3366-004/OPEB"</f>
        <v>CLIENT#3366/PROJ#3366-004/OPEB</v>
      </c>
    </row>
    <row r="554" spans="1:8" x14ac:dyDescent="0.25">
      <c r="A554" t="s">
        <v>167</v>
      </c>
      <c r="B554" s="3">
        <v>660</v>
      </c>
      <c r="C554" s="2">
        <v>67.489999999999995</v>
      </c>
      <c r="D554" s="1">
        <v>43564</v>
      </c>
      <c r="E554" t="str">
        <f>"0701984"</f>
        <v>0701984</v>
      </c>
      <c r="F554" t="str">
        <f>"INV 0701984"</f>
        <v>INV 0701984</v>
      </c>
      <c r="G554" s="2">
        <v>67.489999999999995</v>
      </c>
      <c r="H554" t="str">
        <f>"INV 0701984"</f>
        <v>INV 0701984</v>
      </c>
    </row>
    <row r="555" spans="1:8" x14ac:dyDescent="0.25">
      <c r="A555" t="s">
        <v>167</v>
      </c>
      <c r="B555" s="3">
        <v>717</v>
      </c>
      <c r="C555" s="2">
        <v>850</v>
      </c>
      <c r="D555" s="1">
        <v>43578</v>
      </c>
      <c r="E555" t="str">
        <f>"0704700"</f>
        <v>0704700</v>
      </c>
      <c r="F555" t="str">
        <f>"INV 0704700"</f>
        <v>INV 0704700</v>
      </c>
      <c r="G555" s="2">
        <v>850</v>
      </c>
      <c r="H555" t="str">
        <f>"INV 0704700"</f>
        <v>INV 0704700</v>
      </c>
    </row>
    <row r="556" spans="1:8" x14ac:dyDescent="0.25">
      <c r="E556" t="str">
        <f>""</f>
        <v/>
      </c>
      <c r="F556" t="str">
        <f>""</f>
        <v/>
      </c>
      <c r="H556" t="str">
        <f>"INV 0704700"</f>
        <v>INV 0704700</v>
      </c>
    </row>
    <row r="557" spans="1:8" x14ac:dyDescent="0.25">
      <c r="A557" t="s">
        <v>168</v>
      </c>
      <c r="B557" s="3">
        <v>673</v>
      </c>
      <c r="C557" s="2">
        <v>2711.35</v>
      </c>
      <c r="D557" s="1">
        <v>43564</v>
      </c>
      <c r="E557" t="str">
        <f>"1650888"</f>
        <v>1650888</v>
      </c>
      <c r="F557" t="str">
        <f>"INV 1650888"</f>
        <v>INV 1650888</v>
      </c>
      <c r="G557" s="2">
        <v>183.3</v>
      </c>
      <c r="H557" t="str">
        <f>"INV 1650888"</f>
        <v>INV 1650888</v>
      </c>
    </row>
    <row r="558" spans="1:8" x14ac:dyDescent="0.25">
      <c r="E558" t="str">
        <f>"1650889"</f>
        <v>1650889</v>
      </c>
      <c r="F558" t="str">
        <f>"INV 1650889"</f>
        <v>INV 1650889</v>
      </c>
      <c r="G558" s="2">
        <v>2528.0500000000002</v>
      </c>
      <c r="H558" t="str">
        <f>"INV 1650889"</f>
        <v>INV 1650889</v>
      </c>
    </row>
    <row r="559" spans="1:8" x14ac:dyDescent="0.25">
      <c r="A559" t="s">
        <v>169</v>
      </c>
      <c r="B559" s="3">
        <v>81904</v>
      </c>
      <c r="C559" s="2">
        <v>23996.720000000001</v>
      </c>
      <c r="D559" s="1">
        <v>43577</v>
      </c>
      <c r="E559" t="str">
        <f>"00020780"</f>
        <v>00020780</v>
      </c>
      <c r="F559" t="str">
        <f>"PROJ#032318.003/PCT#1"</f>
        <v>PROJ#032318.003/PCT#1</v>
      </c>
      <c r="G559" s="2">
        <v>12852.75</v>
      </c>
      <c r="H559" t="str">
        <f>"PROJ#032318.003/PCT#1"</f>
        <v>PROJ#032318.003/PCT#1</v>
      </c>
    </row>
    <row r="560" spans="1:8" x14ac:dyDescent="0.25">
      <c r="E560" t="str">
        <f>"00022888"</f>
        <v>00022888</v>
      </c>
      <c r="F560" t="str">
        <f>"PROJ#032318.003"</f>
        <v>PROJ#032318.003</v>
      </c>
      <c r="G560" s="2">
        <v>11143.97</v>
      </c>
      <c r="H560" t="str">
        <f>"PROJ#032318.003"</f>
        <v>PROJ#032318.003</v>
      </c>
    </row>
    <row r="561" spans="1:9" x14ac:dyDescent="0.25">
      <c r="A561" t="s">
        <v>170</v>
      </c>
      <c r="B561" s="3">
        <v>661</v>
      </c>
      <c r="C561" s="2">
        <v>643.09</v>
      </c>
      <c r="D561" s="1">
        <v>43564</v>
      </c>
      <c r="E561" t="str">
        <f>"560359"</f>
        <v>560359</v>
      </c>
      <c r="F561" t="str">
        <f>"CUST#5557/ORD#536209/PCT#4"</f>
        <v>CUST#5557/ORD#536209/PCT#4</v>
      </c>
      <c r="G561" s="2">
        <v>643.09</v>
      </c>
      <c r="H561" t="str">
        <f>"CUST#5557/ORD#536209/PCT#4"</f>
        <v>CUST#5557/ORD#536209/PCT#4</v>
      </c>
    </row>
    <row r="562" spans="1:9" x14ac:dyDescent="0.25">
      <c r="A562" t="s">
        <v>171</v>
      </c>
      <c r="B562" s="3">
        <v>81710</v>
      </c>
      <c r="C562" s="2">
        <v>75</v>
      </c>
      <c r="D562" s="1">
        <v>43563</v>
      </c>
      <c r="E562" t="str">
        <f>"12567"</f>
        <v>12567</v>
      </c>
      <c r="F562" t="str">
        <f>"SERVICE  02/08/19"</f>
        <v>SERVICE  02/08/19</v>
      </c>
      <c r="G562" s="2">
        <v>75</v>
      </c>
      <c r="H562" t="str">
        <f>"SERVICE  02/08/19"</f>
        <v>SERVICE  02/08/19</v>
      </c>
    </row>
    <row r="563" spans="1:9" x14ac:dyDescent="0.25">
      <c r="A563" t="s">
        <v>172</v>
      </c>
      <c r="B563" s="3">
        <v>81905</v>
      </c>
      <c r="C563" s="2">
        <v>33372.410000000003</v>
      </c>
      <c r="D563" s="1">
        <v>43577</v>
      </c>
      <c r="E563" t="str">
        <f>"201904178728"</f>
        <v>201904178728</v>
      </c>
      <c r="F563" t="str">
        <f>"INV 809418"</f>
        <v>INV 809418</v>
      </c>
      <c r="G563" s="2">
        <v>3300</v>
      </c>
      <c r="H563" t="str">
        <f>"INV 809418"</f>
        <v>INV 809418</v>
      </c>
    </row>
    <row r="564" spans="1:9" x14ac:dyDescent="0.25">
      <c r="E564" t="str">
        <f>"INV0809716"</f>
        <v>INV0809716</v>
      </c>
      <c r="F564" t="str">
        <f>"INV0809716"</f>
        <v>INV0809716</v>
      </c>
      <c r="G564" s="2">
        <v>27892.41</v>
      </c>
      <c r="H564" t="str">
        <f>"INV0809716"</f>
        <v>INV0809716</v>
      </c>
    </row>
    <row r="565" spans="1:9" x14ac:dyDescent="0.25">
      <c r="E565" t="str">
        <f>"INV809782"</f>
        <v>INV809782</v>
      </c>
      <c r="F565" t="str">
        <f>"INV809782"</f>
        <v>INV809782</v>
      </c>
      <c r="G565" s="2">
        <v>2180</v>
      </c>
      <c r="H565" t="str">
        <f>"INV809782"</f>
        <v>INV809782</v>
      </c>
    </row>
    <row r="566" spans="1:9" x14ac:dyDescent="0.25">
      <c r="A566" t="s">
        <v>173</v>
      </c>
      <c r="B566" s="3">
        <v>81906</v>
      </c>
      <c r="C566" s="2">
        <v>528.4</v>
      </c>
      <c r="D566" s="1">
        <v>43577</v>
      </c>
      <c r="E566" t="str">
        <f>"564605-01"</f>
        <v>564605-01</v>
      </c>
      <c r="F566" t="str">
        <f>"CUST#180474-0/PCT#3"</f>
        <v>CUST#180474-0/PCT#3</v>
      </c>
      <c r="G566" s="2">
        <v>528.4</v>
      </c>
      <c r="H566" t="str">
        <f>"CUST#180474-0/PCT#3"</f>
        <v>CUST#180474-0/PCT#3</v>
      </c>
    </row>
    <row r="567" spans="1:9" x14ac:dyDescent="0.25">
      <c r="A567" t="s">
        <v>174</v>
      </c>
      <c r="B567" s="3">
        <v>81711</v>
      </c>
      <c r="C567" s="2">
        <v>5812.07</v>
      </c>
      <c r="D567" s="1">
        <v>43563</v>
      </c>
      <c r="E567" t="str">
        <f>"PY83389"</f>
        <v>PY83389</v>
      </c>
      <c r="F567" t="str">
        <f>"ACCT#68930-000/ANIMAL SVCS"</f>
        <v>ACCT#68930-000/ANIMAL SVCS</v>
      </c>
      <c r="G567" s="2">
        <v>275.35000000000002</v>
      </c>
      <c r="H567" t="str">
        <f>"ACCT#68930-000/ANIMAL SVCS"</f>
        <v>ACCT#68930-000/ANIMAL SVCS</v>
      </c>
    </row>
    <row r="568" spans="1:9" x14ac:dyDescent="0.25">
      <c r="E568" t="str">
        <f>"RA08548"</f>
        <v>RA08548</v>
      </c>
      <c r="F568" t="str">
        <f>"ACCT#68930-000/ANIMAL SVCS"</f>
        <v>ACCT#68930-000/ANIMAL SVCS</v>
      </c>
      <c r="G568" s="2">
        <v>417.13</v>
      </c>
      <c r="H568" t="str">
        <f>"ACCT#68930-000/ANIMAL SVCS"</f>
        <v>ACCT#68930-000/ANIMAL SVCS</v>
      </c>
    </row>
    <row r="569" spans="1:9" x14ac:dyDescent="0.25">
      <c r="E569" t="str">
        <f>""</f>
        <v/>
      </c>
      <c r="F569" t="str">
        <f>""</f>
        <v/>
      </c>
      <c r="H569" t="str">
        <f>"ACCT#68930-000/ANIMAL SVCS"</f>
        <v>ACCT#68930-000/ANIMAL SVCS</v>
      </c>
    </row>
    <row r="570" spans="1:9" x14ac:dyDescent="0.25">
      <c r="E570" t="str">
        <f>"RA09571"</f>
        <v>RA09571</v>
      </c>
      <c r="F570" t="str">
        <f>"ACCT#68930-000/ANIMAL SVCS"</f>
        <v>ACCT#68930-000/ANIMAL SVCS</v>
      </c>
      <c r="G570" s="2">
        <v>5119.59</v>
      </c>
      <c r="H570" t="str">
        <f>"ACCT#68930-000/ANIMAL SVCS"</f>
        <v>ACCT#68930-000/ANIMAL SVCS</v>
      </c>
    </row>
    <row r="571" spans="1:9" x14ac:dyDescent="0.25">
      <c r="A571" t="s">
        <v>175</v>
      </c>
      <c r="B571" s="3">
        <v>81907</v>
      </c>
      <c r="C571" s="2">
        <v>90</v>
      </c>
      <c r="D571" s="1">
        <v>43577</v>
      </c>
      <c r="E571" t="str">
        <f>"201904158699"</f>
        <v>201904158699</v>
      </c>
      <c r="F571" t="str">
        <f>"FERAL HOGS"</f>
        <v>FERAL HOGS</v>
      </c>
      <c r="G571" s="2">
        <v>90</v>
      </c>
      <c r="H571" t="str">
        <f>"FERAL HOGS"</f>
        <v>FERAL HOGS</v>
      </c>
    </row>
    <row r="572" spans="1:9" x14ac:dyDescent="0.25">
      <c r="A572" t="s">
        <v>176</v>
      </c>
      <c r="B572" s="3">
        <v>81908</v>
      </c>
      <c r="C572" s="2">
        <v>100</v>
      </c>
      <c r="D572" s="1">
        <v>43577</v>
      </c>
      <c r="E572" t="s">
        <v>177</v>
      </c>
      <c r="F572" t="s">
        <v>178</v>
      </c>
      <c r="G572" s="2" t="str">
        <f>"RESTITUTION-MICHAEL FELTS"</f>
        <v>RESTITUTION-MICHAEL FELTS</v>
      </c>
      <c r="H572" t="str">
        <f>"210-0000"</f>
        <v>210-0000</v>
      </c>
      <c r="I572" t="str">
        <f>""</f>
        <v/>
      </c>
    </row>
    <row r="573" spans="1:9" x14ac:dyDescent="0.25">
      <c r="A573" t="s">
        <v>179</v>
      </c>
      <c r="B573" s="3">
        <v>718</v>
      </c>
      <c r="C573" s="2">
        <v>650</v>
      </c>
      <c r="D573" s="1">
        <v>43578</v>
      </c>
      <c r="E573" t="str">
        <f>"201904158625"</f>
        <v>201904158625</v>
      </c>
      <c r="F573" t="str">
        <f>"BASCOM L HODGES JR"</f>
        <v>BASCOM L HODGES JR</v>
      </c>
      <c r="G573" s="2">
        <v>650</v>
      </c>
      <c r="H573" t="str">
        <f>""</f>
        <v/>
      </c>
    </row>
    <row r="574" spans="1:9" x14ac:dyDescent="0.25">
      <c r="A574" t="s">
        <v>180</v>
      </c>
      <c r="B574" s="3">
        <v>81712</v>
      </c>
      <c r="C574" s="2">
        <v>1187.5</v>
      </c>
      <c r="D574" s="1">
        <v>43563</v>
      </c>
      <c r="E574" t="str">
        <f>"201904018224"</f>
        <v>201904018224</v>
      </c>
      <c r="F574" t="str">
        <f>"18-19094"</f>
        <v>18-19094</v>
      </c>
      <c r="G574" s="2">
        <v>100</v>
      </c>
      <c r="H574" t="str">
        <f>"18-19094"</f>
        <v>18-19094</v>
      </c>
    </row>
    <row r="575" spans="1:9" x14ac:dyDescent="0.25">
      <c r="E575" t="str">
        <f>"201904018225"</f>
        <v>201904018225</v>
      </c>
      <c r="F575" t="str">
        <f>"18-19011"</f>
        <v>18-19011</v>
      </c>
      <c r="G575" s="2">
        <v>100</v>
      </c>
      <c r="H575" t="str">
        <f>"18-19011"</f>
        <v>18-19011</v>
      </c>
    </row>
    <row r="576" spans="1:9" x14ac:dyDescent="0.25">
      <c r="E576" t="str">
        <f>"201904018232"</f>
        <v>201904018232</v>
      </c>
      <c r="F576" t="str">
        <f>"18-14011"</f>
        <v>18-14011</v>
      </c>
      <c r="G576" s="2">
        <v>175</v>
      </c>
      <c r="H576" t="str">
        <f>"18-14011"</f>
        <v>18-14011</v>
      </c>
    </row>
    <row r="577" spans="1:8" x14ac:dyDescent="0.25">
      <c r="E577" t="str">
        <f>"201904038380"</f>
        <v>201904038380</v>
      </c>
      <c r="F577" t="str">
        <f>"11-14791"</f>
        <v>11-14791</v>
      </c>
      <c r="G577" s="2">
        <v>100</v>
      </c>
      <c r="H577" t="str">
        <f>"11-14791"</f>
        <v>11-14791</v>
      </c>
    </row>
    <row r="578" spans="1:8" x14ac:dyDescent="0.25">
      <c r="E578" t="str">
        <f>"201904038381"</f>
        <v>201904038381</v>
      </c>
      <c r="F578" t="str">
        <f>"17-18576"</f>
        <v>17-18576</v>
      </c>
      <c r="G578" s="2">
        <v>212.5</v>
      </c>
      <c r="H578" t="str">
        <f>"17-18576"</f>
        <v>17-18576</v>
      </c>
    </row>
    <row r="579" spans="1:8" x14ac:dyDescent="0.25">
      <c r="E579" t="str">
        <f>"201904038404"</f>
        <v>201904038404</v>
      </c>
      <c r="F579" t="str">
        <f>"54 753"</f>
        <v>54 753</v>
      </c>
      <c r="G579" s="2">
        <v>250</v>
      </c>
      <c r="H579" t="str">
        <f>"54 753"</f>
        <v>54 753</v>
      </c>
    </row>
    <row r="580" spans="1:8" x14ac:dyDescent="0.25">
      <c r="E580" t="str">
        <f>"201904038405"</f>
        <v>201904038405</v>
      </c>
      <c r="F580" t="str">
        <f>"56 601"</f>
        <v>56 601</v>
      </c>
      <c r="G580" s="2">
        <v>250</v>
      </c>
      <c r="H580" t="str">
        <f>"56 601"</f>
        <v>56 601</v>
      </c>
    </row>
    <row r="581" spans="1:8" x14ac:dyDescent="0.25">
      <c r="A581" t="s">
        <v>181</v>
      </c>
      <c r="B581" s="3">
        <v>81713</v>
      </c>
      <c r="C581" s="2">
        <v>210</v>
      </c>
      <c r="D581" s="1">
        <v>43563</v>
      </c>
      <c r="E581" t="str">
        <f>"201903288162"</f>
        <v>201903288162</v>
      </c>
      <c r="F581" t="str">
        <f>"PER DIEM"</f>
        <v>PER DIEM</v>
      </c>
      <c r="G581" s="2">
        <v>210</v>
      </c>
      <c r="H581" t="str">
        <f>"PER DIEM"</f>
        <v>PER DIEM</v>
      </c>
    </row>
    <row r="582" spans="1:8" x14ac:dyDescent="0.25">
      <c r="A582" t="s">
        <v>182</v>
      </c>
      <c r="B582" s="3">
        <v>81714</v>
      </c>
      <c r="C582" s="2">
        <v>31493.9</v>
      </c>
      <c r="D582" s="1">
        <v>43563</v>
      </c>
      <c r="E582" t="str">
        <f>"201904038344"</f>
        <v>201904038344</v>
      </c>
      <c r="F582" t="str">
        <f>"BD HOLT CO"</f>
        <v>BD HOLT CO</v>
      </c>
      <c r="G582" s="2">
        <v>28746</v>
      </c>
      <c r="H582" t="str">
        <f>"CB1.8 Compact Roller"</f>
        <v>CB1.8 Compact Roller</v>
      </c>
    </row>
    <row r="583" spans="1:8" x14ac:dyDescent="0.25">
      <c r="E583" t="str">
        <f>"PIKP0082867"</f>
        <v>PIKP0082867</v>
      </c>
      <c r="F583" t="str">
        <f>"CUST#0129200/PCT#4"</f>
        <v>CUST#0129200/PCT#4</v>
      </c>
      <c r="G583" s="2">
        <v>51.53</v>
      </c>
      <c r="H583" t="str">
        <f>"CUST#0129200/PCT#4"</f>
        <v>CUST#0129200/PCT#4</v>
      </c>
    </row>
    <row r="584" spans="1:8" x14ac:dyDescent="0.25">
      <c r="E584" t="str">
        <f>"PIMA0305995"</f>
        <v>PIMA0305995</v>
      </c>
      <c r="F584" t="str">
        <f>"CUST#0129150/PCT#3"</f>
        <v>CUST#0129150/PCT#3</v>
      </c>
      <c r="G584" s="2">
        <v>75.099999999999994</v>
      </c>
      <c r="H584" t="str">
        <f>"CUST#0129150/PCT#3"</f>
        <v>CUST#0129150/PCT#3</v>
      </c>
    </row>
    <row r="585" spans="1:8" x14ac:dyDescent="0.25">
      <c r="E585" t="str">
        <f>"PIMP0301846"</f>
        <v>PIMP0301846</v>
      </c>
      <c r="F585" t="str">
        <f>"CUST#0129050/ALARM/PCT#1"</f>
        <v>CUST#0129050/ALARM/PCT#1</v>
      </c>
      <c r="G585" s="2">
        <v>237.23</v>
      </c>
      <c r="H585" t="str">
        <f>"CUST#0129050/ALARM/PCT#1"</f>
        <v>CUST#0129050/ALARM/PCT#1</v>
      </c>
    </row>
    <row r="586" spans="1:8" x14ac:dyDescent="0.25">
      <c r="E586" t="str">
        <f>"PIMP0301937"</f>
        <v>PIMP0301937</v>
      </c>
      <c r="F586" t="str">
        <f>"CUST#0129050/TOOTH/PCT#1"</f>
        <v>CUST#0129050/TOOTH/PCT#1</v>
      </c>
      <c r="G586" s="2">
        <v>274.88</v>
      </c>
      <c r="H586" t="str">
        <f>"CUST#0129050/TOOTH/PCT#1"</f>
        <v>CUST#0129050/TOOTH/PCT#1</v>
      </c>
    </row>
    <row r="587" spans="1:8" x14ac:dyDescent="0.25">
      <c r="E587" t="str">
        <f>"PIMP0302396"</f>
        <v>PIMP0302396</v>
      </c>
      <c r="F587" t="str">
        <f>"CUST#0129050/PARTS/PCT#1"</f>
        <v>CUST#0129050/PARTS/PCT#1</v>
      </c>
      <c r="G587" s="2">
        <v>9.06</v>
      </c>
      <c r="H587" t="str">
        <f>"CUST#0129050/PARTS/PCT#1"</f>
        <v>CUST#0129050/PARTS/PCT#1</v>
      </c>
    </row>
    <row r="588" spans="1:8" x14ac:dyDescent="0.25">
      <c r="E588" t="str">
        <f>"PIMP0302476"</f>
        <v>PIMP0302476</v>
      </c>
      <c r="F588" t="str">
        <f>"CUST#0129050/BRACKET/PCT#1"</f>
        <v>CUST#0129050/BRACKET/PCT#1</v>
      </c>
      <c r="G588" s="2">
        <v>52.99</v>
      </c>
      <c r="H588" t="str">
        <f>"CUST#0129050/BRACKET/PCT#1"</f>
        <v>CUST#0129050/BRACKET/PCT#1</v>
      </c>
    </row>
    <row r="589" spans="1:8" x14ac:dyDescent="0.25">
      <c r="E589" t="str">
        <f>"PIMP0302782"</f>
        <v>PIMP0302782</v>
      </c>
      <c r="F589" t="str">
        <f>"CUST#0129050/BOLT/KNOB/PCT#1"</f>
        <v>CUST#0129050/BOLT/KNOB/PCT#1</v>
      </c>
      <c r="G589" s="2">
        <v>36.619999999999997</v>
      </c>
      <c r="H589" t="str">
        <f>"CUST#0129050/BOLT/KNOB/PCT#1"</f>
        <v>CUST#0129050/BOLT/KNOB/PCT#1</v>
      </c>
    </row>
    <row r="590" spans="1:8" x14ac:dyDescent="0.25">
      <c r="E590" t="str">
        <f>"WIUS0123346"</f>
        <v>WIUS0123346</v>
      </c>
      <c r="F590" t="str">
        <f>"CUST#0129200/PCT#4"</f>
        <v>CUST#0129200/PCT#4</v>
      </c>
      <c r="G590" s="2">
        <v>1081.02</v>
      </c>
      <c r="H590" t="str">
        <f>"CUST#0129200/PCT#4"</f>
        <v>CUST#0129200/PCT#4</v>
      </c>
    </row>
    <row r="591" spans="1:8" x14ac:dyDescent="0.25">
      <c r="E591" t="str">
        <f>"WIUS0123347"</f>
        <v>WIUS0123347</v>
      </c>
      <c r="F591" t="str">
        <f>"CUST#0129200/PCT#4"</f>
        <v>CUST#0129200/PCT#4</v>
      </c>
      <c r="G591" s="2">
        <v>929.47</v>
      </c>
      <c r="H591" t="str">
        <f>"CUST#0129200/PCT#4"</f>
        <v>CUST#0129200/PCT#4</v>
      </c>
    </row>
    <row r="592" spans="1:8" x14ac:dyDescent="0.25">
      <c r="A592" t="s">
        <v>182</v>
      </c>
      <c r="B592" s="3">
        <v>81909</v>
      </c>
      <c r="C592" s="2">
        <v>1659.19</v>
      </c>
      <c r="D592" s="1">
        <v>43577</v>
      </c>
      <c r="E592" t="str">
        <f>"WIUS0123724"</f>
        <v>WIUS0123724</v>
      </c>
      <c r="F592" t="str">
        <f>"CUST#0129150/PCT#3"</f>
        <v>CUST#0129150/PCT#3</v>
      </c>
      <c r="G592" s="2">
        <v>1659.19</v>
      </c>
      <c r="H592" t="str">
        <f>"CUST#0129150/PCT#3"</f>
        <v>CUST#0129150/PCT#3</v>
      </c>
    </row>
    <row r="593" spans="1:8" x14ac:dyDescent="0.25">
      <c r="A593" t="s">
        <v>183</v>
      </c>
      <c r="B593" s="3">
        <v>81715</v>
      </c>
      <c r="C593" s="2">
        <v>2570.09</v>
      </c>
      <c r="D593" s="1">
        <v>43563</v>
      </c>
      <c r="E593" t="str">
        <f>"201904028330"</f>
        <v>201904028330</v>
      </c>
      <c r="F593" t="str">
        <f>"Acct# 6035322531933780"</f>
        <v>Acct# 6035322531933780</v>
      </c>
      <c r="G593" s="2">
        <v>2570.09</v>
      </c>
      <c r="H593" t="str">
        <f>"Inv# 7142089"</f>
        <v>Inv# 7142089</v>
      </c>
    </row>
    <row r="594" spans="1:8" x14ac:dyDescent="0.25">
      <c r="E594" t="str">
        <f>""</f>
        <v/>
      </c>
      <c r="F594" t="str">
        <f>""</f>
        <v/>
      </c>
      <c r="H594" t="str">
        <f>"Inv# 7154347"</f>
        <v>Inv# 7154347</v>
      </c>
    </row>
    <row r="595" spans="1:8" x14ac:dyDescent="0.25">
      <c r="E595" t="str">
        <f>""</f>
        <v/>
      </c>
      <c r="F595" t="str">
        <f>""</f>
        <v/>
      </c>
      <c r="H595" t="str">
        <f>"Inv# 7715454"</f>
        <v>Inv# 7715454</v>
      </c>
    </row>
    <row r="596" spans="1:8" x14ac:dyDescent="0.25">
      <c r="E596" t="str">
        <f>""</f>
        <v/>
      </c>
      <c r="F596" t="str">
        <f>""</f>
        <v/>
      </c>
      <c r="H596" t="str">
        <f>"Inv# 7900866"</f>
        <v>Inv# 7900866</v>
      </c>
    </row>
    <row r="597" spans="1:8" x14ac:dyDescent="0.25">
      <c r="E597" t="str">
        <f>""</f>
        <v/>
      </c>
      <c r="F597" t="str">
        <f>""</f>
        <v/>
      </c>
      <c r="H597" t="str">
        <f>"Inv# 7904766"</f>
        <v>Inv# 7904766</v>
      </c>
    </row>
    <row r="598" spans="1:8" x14ac:dyDescent="0.25">
      <c r="E598" t="str">
        <f>""</f>
        <v/>
      </c>
      <c r="F598" t="str">
        <f>""</f>
        <v/>
      </c>
      <c r="H598" t="str">
        <f>"Inv# 20787"</f>
        <v>Inv# 20787</v>
      </c>
    </row>
    <row r="599" spans="1:8" x14ac:dyDescent="0.25">
      <c r="E599" t="str">
        <f>""</f>
        <v/>
      </c>
      <c r="F599" t="str">
        <f>""</f>
        <v/>
      </c>
      <c r="H599" t="str">
        <f>"Inv# 8020970"</f>
        <v>Inv# 8020970</v>
      </c>
    </row>
    <row r="600" spans="1:8" x14ac:dyDescent="0.25">
      <c r="E600" t="str">
        <f>""</f>
        <v/>
      </c>
      <c r="F600" t="str">
        <f>""</f>
        <v/>
      </c>
      <c r="H600" t="str">
        <f>"Inv# 7142088"</f>
        <v>Inv# 7142088</v>
      </c>
    </row>
    <row r="601" spans="1:8" x14ac:dyDescent="0.25">
      <c r="E601" t="str">
        <f>""</f>
        <v/>
      </c>
      <c r="F601" t="str">
        <f>""</f>
        <v/>
      </c>
      <c r="H601" t="str">
        <f>"Inv# 6142102"</f>
        <v>Inv# 6142102</v>
      </c>
    </row>
    <row r="602" spans="1:8" x14ac:dyDescent="0.25">
      <c r="E602" t="str">
        <f>""</f>
        <v/>
      </c>
      <c r="F602" t="str">
        <f>""</f>
        <v/>
      </c>
      <c r="H602" t="str">
        <f>"Inv# 2021638"</f>
        <v>Inv# 2021638</v>
      </c>
    </row>
    <row r="603" spans="1:8" x14ac:dyDescent="0.25">
      <c r="E603" t="str">
        <f>""</f>
        <v/>
      </c>
      <c r="F603" t="str">
        <f>""</f>
        <v/>
      </c>
      <c r="H603" t="str">
        <f>"Inv# 21745"</f>
        <v>Inv# 21745</v>
      </c>
    </row>
    <row r="604" spans="1:8" x14ac:dyDescent="0.25">
      <c r="E604" t="str">
        <f>""</f>
        <v/>
      </c>
      <c r="F604" t="str">
        <f>""</f>
        <v/>
      </c>
      <c r="H604" t="str">
        <f>"Inv# 21770"</f>
        <v>Inv# 21770</v>
      </c>
    </row>
    <row r="605" spans="1:8" x14ac:dyDescent="0.25">
      <c r="E605" t="str">
        <f>""</f>
        <v/>
      </c>
      <c r="F605" t="str">
        <f>""</f>
        <v/>
      </c>
      <c r="H605" t="str">
        <f>"Inv# 9142119"</f>
        <v>Inv# 9142119</v>
      </c>
    </row>
    <row r="606" spans="1:8" x14ac:dyDescent="0.25">
      <c r="E606" t="str">
        <f>""</f>
        <v/>
      </c>
      <c r="F606" t="str">
        <f>""</f>
        <v/>
      </c>
      <c r="H606" t="str">
        <f>"Inv# 3022581"</f>
        <v>Inv# 3022581</v>
      </c>
    </row>
    <row r="607" spans="1:8" x14ac:dyDescent="0.25">
      <c r="E607" t="str">
        <f>""</f>
        <v/>
      </c>
      <c r="F607" t="str">
        <f>""</f>
        <v/>
      </c>
      <c r="H607" t="str">
        <f>"Inv# 91947"</f>
        <v>Inv# 91947</v>
      </c>
    </row>
    <row r="608" spans="1:8" x14ac:dyDescent="0.25">
      <c r="E608" t="str">
        <f>""</f>
        <v/>
      </c>
      <c r="F608" t="str">
        <f>""</f>
        <v/>
      </c>
      <c r="H608" t="str">
        <f>"Inv# 9020840"</f>
        <v>Inv# 9020840</v>
      </c>
    </row>
    <row r="609" spans="5:8" x14ac:dyDescent="0.25">
      <c r="E609" t="str">
        <f>""</f>
        <v/>
      </c>
      <c r="F609" t="str">
        <f>""</f>
        <v/>
      </c>
      <c r="H609" t="str">
        <f>"Inv# 6142097"</f>
        <v>Inv# 6142097</v>
      </c>
    </row>
    <row r="610" spans="5:8" x14ac:dyDescent="0.25">
      <c r="E610" t="str">
        <f>""</f>
        <v/>
      </c>
      <c r="F610" t="str">
        <f>""</f>
        <v/>
      </c>
      <c r="H610" t="str">
        <f>"Inv# 1011671"</f>
        <v>Inv# 1011671</v>
      </c>
    </row>
    <row r="611" spans="5:8" x14ac:dyDescent="0.25">
      <c r="E611" t="str">
        <f>""</f>
        <v/>
      </c>
      <c r="F611" t="str">
        <f>""</f>
        <v/>
      </c>
      <c r="H611" t="str">
        <f>"Inv# 9010455"</f>
        <v>Inv# 9010455</v>
      </c>
    </row>
    <row r="612" spans="5:8" x14ac:dyDescent="0.25">
      <c r="E612" t="str">
        <f>""</f>
        <v/>
      </c>
      <c r="F612" t="str">
        <f>""</f>
        <v/>
      </c>
      <c r="H612" t="str">
        <f>"Inv# 9582486"</f>
        <v>Inv# 9582486</v>
      </c>
    </row>
    <row r="613" spans="5:8" x14ac:dyDescent="0.25">
      <c r="E613" t="str">
        <f>""</f>
        <v/>
      </c>
      <c r="F613" t="str">
        <f>""</f>
        <v/>
      </c>
      <c r="H613" t="str">
        <f>"Inv# 3582479"</f>
        <v>Inv# 3582479</v>
      </c>
    </row>
    <row r="614" spans="5:8" x14ac:dyDescent="0.25">
      <c r="E614" t="str">
        <f>""</f>
        <v/>
      </c>
      <c r="F614" t="str">
        <f>""</f>
        <v/>
      </c>
      <c r="H614" t="str">
        <f>"Inv# 9011923"</f>
        <v>Inv# 9011923</v>
      </c>
    </row>
    <row r="615" spans="5:8" x14ac:dyDescent="0.25">
      <c r="E615" t="str">
        <f>""</f>
        <v/>
      </c>
      <c r="F615" t="str">
        <f>""</f>
        <v/>
      </c>
      <c r="H615" t="str">
        <f>"Inv# 8564383"</f>
        <v>Inv# 8564383</v>
      </c>
    </row>
    <row r="616" spans="5:8" x14ac:dyDescent="0.25">
      <c r="E616" t="str">
        <f>""</f>
        <v/>
      </c>
      <c r="F616" t="str">
        <f>""</f>
        <v/>
      </c>
      <c r="H616" t="str">
        <f>"Inv# 5021313"</f>
        <v>Inv# 5021313</v>
      </c>
    </row>
    <row r="617" spans="5:8" x14ac:dyDescent="0.25">
      <c r="E617" t="str">
        <f>""</f>
        <v/>
      </c>
      <c r="F617" t="str">
        <f>""</f>
        <v/>
      </c>
      <c r="H617" t="str">
        <f>"Inv# 8564382"</f>
        <v>Inv# 8564382</v>
      </c>
    </row>
    <row r="618" spans="5:8" x14ac:dyDescent="0.25">
      <c r="E618" t="str">
        <f>""</f>
        <v/>
      </c>
      <c r="F618" t="str">
        <f>""</f>
        <v/>
      </c>
      <c r="H618" t="str">
        <f>"Inv# 3010857"</f>
        <v>Inv# 3010857</v>
      </c>
    </row>
    <row r="619" spans="5:8" x14ac:dyDescent="0.25">
      <c r="E619" t="str">
        <f>""</f>
        <v/>
      </c>
      <c r="F619" t="str">
        <f>""</f>
        <v/>
      </c>
      <c r="H619" t="str">
        <f>"Inv# 2091877"</f>
        <v>Inv# 2091877</v>
      </c>
    </row>
    <row r="620" spans="5:8" x14ac:dyDescent="0.25">
      <c r="E620" t="str">
        <f>""</f>
        <v/>
      </c>
      <c r="F620" t="str">
        <f>""</f>
        <v/>
      </c>
      <c r="H620" t="str">
        <f>"Inv# 1091905"</f>
        <v>Inv# 1091905</v>
      </c>
    </row>
    <row r="621" spans="5:8" x14ac:dyDescent="0.25">
      <c r="E621" t="str">
        <f>""</f>
        <v/>
      </c>
      <c r="F621" t="str">
        <f>""</f>
        <v/>
      </c>
      <c r="H621" t="str">
        <f>"Inv# 3152498"</f>
        <v>Inv# 3152498</v>
      </c>
    </row>
    <row r="622" spans="5:8" x14ac:dyDescent="0.25">
      <c r="E622" t="str">
        <f>""</f>
        <v/>
      </c>
      <c r="F622" t="str">
        <f>""</f>
        <v/>
      </c>
      <c r="H622" t="str">
        <f>"Inv# 3092361"</f>
        <v>Inv# 3092361</v>
      </c>
    </row>
    <row r="623" spans="5:8" x14ac:dyDescent="0.25">
      <c r="E623" t="str">
        <f>""</f>
        <v/>
      </c>
      <c r="F623" t="str">
        <f>""</f>
        <v/>
      </c>
      <c r="H623" t="str">
        <f>"Inv# 3565372"</f>
        <v>Inv# 3565372</v>
      </c>
    </row>
    <row r="624" spans="5:8" x14ac:dyDescent="0.25">
      <c r="E624" t="str">
        <f>""</f>
        <v/>
      </c>
      <c r="F624" t="str">
        <f>""</f>
        <v/>
      </c>
      <c r="H624" t="str">
        <f>"Inv# 3092360"</f>
        <v>Inv# 3092360</v>
      </c>
    </row>
    <row r="625" spans="1:8" x14ac:dyDescent="0.25">
      <c r="E625" t="str">
        <f>""</f>
        <v/>
      </c>
      <c r="F625" t="str">
        <f>""</f>
        <v/>
      </c>
      <c r="H625" t="str">
        <f>"Inv# 3020453"</f>
        <v>Inv# 3020453</v>
      </c>
    </row>
    <row r="626" spans="1:8" x14ac:dyDescent="0.25">
      <c r="E626" t="str">
        <f>""</f>
        <v/>
      </c>
      <c r="F626" t="str">
        <f>""</f>
        <v/>
      </c>
      <c r="H626" t="str">
        <f>"Inv# 3022542"</f>
        <v>Inv# 3022542</v>
      </c>
    </row>
    <row r="627" spans="1:8" x14ac:dyDescent="0.25">
      <c r="E627" t="str">
        <f>""</f>
        <v/>
      </c>
      <c r="F627" t="str">
        <f>""</f>
        <v/>
      </c>
      <c r="H627" t="str">
        <f>"Inv# 2565416"</f>
        <v>Inv# 2565416</v>
      </c>
    </row>
    <row r="628" spans="1:8" x14ac:dyDescent="0.25">
      <c r="E628" t="str">
        <f>""</f>
        <v/>
      </c>
      <c r="F628" t="str">
        <f>""</f>
        <v/>
      </c>
      <c r="H628" t="str">
        <f>"Inv# 9022980"</f>
        <v>Inv# 9022980</v>
      </c>
    </row>
    <row r="629" spans="1:8" x14ac:dyDescent="0.25">
      <c r="E629" t="str">
        <f>""</f>
        <v/>
      </c>
      <c r="F629" t="str">
        <f>""</f>
        <v/>
      </c>
      <c r="H629" t="str">
        <f>"Inv# 702316"</f>
        <v>Inv# 702316</v>
      </c>
    </row>
    <row r="630" spans="1:8" x14ac:dyDescent="0.25">
      <c r="E630" t="str">
        <f>""</f>
        <v/>
      </c>
      <c r="F630" t="str">
        <f>""</f>
        <v/>
      </c>
      <c r="H630" t="str">
        <f>"Inv# 3091372"</f>
        <v>Inv# 3091372</v>
      </c>
    </row>
    <row r="631" spans="1:8" x14ac:dyDescent="0.25">
      <c r="A631" t="s">
        <v>184</v>
      </c>
      <c r="B631" s="3">
        <v>81910</v>
      </c>
      <c r="C631" s="2">
        <v>254.82</v>
      </c>
      <c r="D631" s="1">
        <v>43577</v>
      </c>
      <c r="E631" t="str">
        <f>"201904158669"</f>
        <v>201904158669</v>
      </c>
      <c r="F631" t="str">
        <f>"INDIGENT HEALTH"</f>
        <v>INDIGENT HEALTH</v>
      </c>
      <c r="G631" s="2">
        <v>254.82</v>
      </c>
      <c r="H631" t="str">
        <f>"INDIGENT HEALTH"</f>
        <v>INDIGENT HEALTH</v>
      </c>
    </row>
    <row r="632" spans="1:8" x14ac:dyDescent="0.25">
      <c r="A632" t="s">
        <v>185</v>
      </c>
      <c r="B632" s="3">
        <v>81911</v>
      </c>
      <c r="C632" s="2">
        <v>342.5</v>
      </c>
      <c r="D632" s="1">
        <v>43577</v>
      </c>
      <c r="E632" t="str">
        <f>"SL2019-03_00029"</f>
        <v>SL2019-03_00029</v>
      </c>
      <c r="F632" t="str">
        <f>"SOFTWARE/ANIMAL SHELTER"</f>
        <v>SOFTWARE/ANIMAL SHELTER</v>
      </c>
      <c r="G632" s="2">
        <v>342.5</v>
      </c>
      <c r="H632" t="str">
        <f>"SOFTWARE/ANIMAL SHELTER"</f>
        <v>SOFTWARE/ANIMAL SHELTER</v>
      </c>
    </row>
    <row r="633" spans="1:8" x14ac:dyDescent="0.25">
      <c r="A633" t="s">
        <v>186</v>
      </c>
      <c r="B633" s="3">
        <v>81912</v>
      </c>
      <c r="C633" s="2">
        <v>35</v>
      </c>
      <c r="D633" s="1">
        <v>43577</v>
      </c>
      <c r="E633" t="str">
        <f>"201904158700"</f>
        <v>201904158700</v>
      </c>
      <c r="F633" t="str">
        <f>"FERAL HOGS"</f>
        <v>FERAL HOGS</v>
      </c>
      <c r="G633" s="2">
        <v>35</v>
      </c>
      <c r="H633" t="str">
        <f>"FERAL HOGS"</f>
        <v>FERAL HOGS</v>
      </c>
    </row>
    <row r="634" spans="1:8" x14ac:dyDescent="0.25">
      <c r="A634" t="s">
        <v>187</v>
      </c>
      <c r="B634" s="3">
        <v>81831</v>
      </c>
      <c r="C634" s="2">
        <v>1749.73</v>
      </c>
      <c r="D634" s="1">
        <v>43564</v>
      </c>
      <c r="E634" t="str">
        <f>"S1904020001-00029"</f>
        <v>S1904020001-00029</v>
      </c>
      <c r="F634" t="str">
        <f>"ACCT#100402264 / 04022019"</f>
        <v>ACCT#100402264 / 04022019</v>
      </c>
      <c r="G634" s="2">
        <v>1749.73</v>
      </c>
      <c r="H634" t="str">
        <f>"ACCT#100402264 / 04022019"</f>
        <v>ACCT#100402264 / 04022019</v>
      </c>
    </row>
    <row r="635" spans="1:8" x14ac:dyDescent="0.25">
      <c r="E635" t="str">
        <f>""</f>
        <v/>
      </c>
      <c r="F635" t="str">
        <f>""</f>
        <v/>
      </c>
      <c r="H635" t="str">
        <f>"ACCT#100402264 / 04022019"</f>
        <v>ACCT#100402264 / 04022019</v>
      </c>
    </row>
    <row r="636" spans="1:8" x14ac:dyDescent="0.25">
      <c r="E636" t="str">
        <f>""</f>
        <v/>
      </c>
      <c r="F636" t="str">
        <f>""</f>
        <v/>
      </c>
      <c r="H636" t="str">
        <f>"ACCT#100402264 / 04022019"</f>
        <v>ACCT#100402264 / 04022019</v>
      </c>
    </row>
    <row r="637" spans="1:8" x14ac:dyDescent="0.25">
      <c r="A637" t="s">
        <v>188</v>
      </c>
      <c r="B637" s="3">
        <v>639</v>
      </c>
      <c r="C637" s="2">
        <v>195</v>
      </c>
      <c r="D637" s="1">
        <v>43564</v>
      </c>
      <c r="E637" t="str">
        <f>"181973"</f>
        <v>181973</v>
      </c>
      <c r="F637" t="str">
        <f>"CYL REPAIR/GEN SVCS"</f>
        <v>CYL REPAIR/GEN SVCS</v>
      </c>
      <c r="G637" s="2">
        <v>195</v>
      </c>
      <c r="H637" t="str">
        <f>"CYL REPAIR/GEN SVCS"</f>
        <v>CYL REPAIR/GEN SVCS</v>
      </c>
    </row>
    <row r="638" spans="1:8" x14ac:dyDescent="0.25">
      <c r="A638" t="s">
        <v>188</v>
      </c>
      <c r="B638" s="3">
        <v>696</v>
      </c>
      <c r="C638" s="2">
        <v>738.28</v>
      </c>
      <c r="D638" s="1">
        <v>43578</v>
      </c>
      <c r="E638" t="str">
        <f>"241"</f>
        <v>241</v>
      </c>
      <c r="F638" t="str">
        <f>"PARTS/PCT#1"</f>
        <v>PARTS/PCT#1</v>
      </c>
      <c r="G638" s="2">
        <v>636.28</v>
      </c>
      <c r="H638" t="str">
        <f>"PARTS/PCT#1"</f>
        <v>PARTS/PCT#1</v>
      </c>
    </row>
    <row r="639" spans="1:8" x14ac:dyDescent="0.25">
      <c r="E639" t="str">
        <f>"309"</f>
        <v>309</v>
      </c>
      <c r="F639" t="str">
        <f>"PARTS/PCT#3"</f>
        <v>PARTS/PCT#3</v>
      </c>
      <c r="G639" s="2">
        <v>102</v>
      </c>
      <c r="H639" t="str">
        <f>"PARTS/PCT#3"</f>
        <v>PARTS/PCT#3</v>
      </c>
    </row>
    <row r="640" spans="1:8" x14ac:dyDescent="0.25">
      <c r="A640" t="s">
        <v>189</v>
      </c>
      <c r="B640" s="3">
        <v>724</v>
      </c>
      <c r="C640" s="2">
        <v>2430</v>
      </c>
      <c r="D640" s="1">
        <v>43578</v>
      </c>
      <c r="E640" t="str">
        <f>"67598"</f>
        <v>67598</v>
      </c>
      <c r="F640" t="str">
        <f>"PROF SVCS-MAY 2019"</f>
        <v>PROF SVCS-MAY 2019</v>
      </c>
      <c r="G640" s="2">
        <v>2430</v>
      </c>
      <c r="H640" t="str">
        <f>"PROF SVCS-MAY 2019"</f>
        <v>PROF SVCS-MAY 2019</v>
      </c>
    </row>
    <row r="641" spans="1:8" x14ac:dyDescent="0.25">
      <c r="E641" t="str">
        <f>""</f>
        <v/>
      </c>
      <c r="F641" t="str">
        <f>""</f>
        <v/>
      </c>
      <c r="H641" t="str">
        <f>"PROF SVCS-MAY 2019"</f>
        <v>PROF SVCS-MAY 2019</v>
      </c>
    </row>
    <row r="642" spans="1:8" x14ac:dyDescent="0.25">
      <c r="A642" t="s">
        <v>190</v>
      </c>
      <c r="B642" s="3">
        <v>81716</v>
      </c>
      <c r="C642" s="2">
        <v>295.48</v>
      </c>
      <c r="D642" s="1">
        <v>43563</v>
      </c>
      <c r="E642" t="str">
        <f>"153670A"</f>
        <v>153670A</v>
      </c>
      <c r="F642" t="str">
        <f>"CUST#31226/ELECTIONS"</f>
        <v>CUST#31226/ELECTIONS</v>
      </c>
      <c r="G642" s="2">
        <v>295.48</v>
      </c>
      <c r="H642" t="str">
        <f>"CUST#31226/ELECTIONS"</f>
        <v>CUST#31226/ELECTIONS</v>
      </c>
    </row>
    <row r="643" spans="1:8" x14ac:dyDescent="0.25">
      <c r="A643" t="s">
        <v>191</v>
      </c>
      <c r="B643" s="3">
        <v>81913</v>
      </c>
      <c r="C643" s="2">
        <v>248.4</v>
      </c>
      <c r="D643" s="1">
        <v>43577</v>
      </c>
      <c r="E643" t="str">
        <f>"201904158670"</f>
        <v>201904158670</v>
      </c>
      <c r="F643" t="str">
        <f>"INDIGENT HEALTH"</f>
        <v>INDIGENT HEALTH</v>
      </c>
      <c r="G643" s="2">
        <v>248.4</v>
      </c>
      <c r="H643" t="str">
        <f>"INDIGENT HEALTH"</f>
        <v>INDIGENT HEALTH</v>
      </c>
    </row>
    <row r="644" spans="1:8" x14ac:dyDescent="0.25">
      <c r="A644" t="s">
        <v>192</v>
      </c>
      <c r="B644" s="3">
        <v>81717</v>
      </c>
      <c r="C644" s="2">
        <v>68.760000000000005</v>
      </c>
      <c r="D644" s="1">
        <v>43563</v>
      </c>
      <c r="E644" t="str">
        <f>"ANEF865"</f>
        <v>ANEF865</v>
      </c>
      <c r="F644" t="str">
        <f>"CUST ID:AX773/COUNTY CLERK"</f>
        <v>CUST ID:AX773/COUNTY CLERK</v>
      </c>
      <c r="G644" s="2">
        <v>68.760000000000005</v>
      </c>
      <c r="H644" t="str">
        <f>"CUST ID:AX773/COUNTY CLERK"</f>
        <v>CUST ID:AX773/COUNTY CLERK</v>
      </c>
    </row>
    <row r="645" spans="1:8" x14ac:dyDescent="0.25">
      <c r="A645" t="s">
        <v>193</v>
      </c>
      <c r="B645" s="3">
        <v>81718</v>
      </c>
      <c r="C645" s="2">
        <v>15072</v>
      </c>
      <c r="D645" s="1">
        <v>43563</v>
      </c>
      <c r="E645" t="str">
        <f>"201904038341"</f>
        <v>201904038341</v>
      </c>
      <c r="F645" t="str">
        <f>"J. EDINGER &amp; SON  INC."</f>
        <v>J. EDINGER &amp; SON  INC.</v>
      </c>
      <c r="G645" s="2">
        <v>15072</v>
      </c>
      <c r="H645" t="str">
        <f>"Bermer Machine"</f>
        <v>Bermer Machine</v>
      </c>
    </row>
    <row r="646" spans="1:8" x14ac:dyDescent="0.25">
      <c r="E646" t="str">
        <f>""</f>
        <v/>
      </c>
      <c r="F646" t="str">
        <f>""</f>
        <v/>
      </c>
      <c r="H646" t="str">
        <f>"Shipping"</f>
        <v>Shipping</v>
      </c>
    </row>
    <row r="647" spans="1:8" x14ac:dyDescent="0.25">
      <c r="A647" t="s">
        <v>194</v>
      </c>
      <c r="B647" s="3">
        <v>81914</v>
      </c>
      <c r="C647" s="2">
        <v>50</v>
      </c>
      <c r="D647" s="1">
        <v>43577</v>
      </c>
      <c r="E647" t="str">
        <f>"201904158701"</f>
        <v>201904158701</v>
      </c>
      <c r="F647" t="str">
        <f t="shared" ref="F647:F653" si="9">"FERAL HOGS"</f>
        <v>FERAL HOGS</v>
      </c>
      <c r="G647" s="2">
        <v>50</v>
      </c>
      <c r="H647" t="str">
        <f t="shared" ref="H647:H653" si="10">"FERAL HOGS"</f>
        <v>FERAL HOGS</v>
      </c>
    </row>
    <row r="648" spans="1:8" x14ac:dyDescent="0.25">
      <c r="A648" t="s">
        <v>195</v>
      </c>
      <c r="B648" s="3">
        <v>81915</v>
      </c>
      <c r="C648" s="2">
        <v>50</v>
      </c>
      <c r="D648" s="1">
        <v>43577</v>
      </c>
      <c r="E648" t="str">
        <f>"201904158702"</f>
        <v>201904158702</v>
      </c>
      <c r="F648" t="str">
        <f t="shared" si="9"/>
        <v>FERAL HOGS</v>
      </c>
      <c r="G648" s="2">
        <v>50</v>
      </c>
      <c r="H648" t="str">
        <f t="shared" si="10"/>
        <v>FERAL HOGS</v>
      </c>
    </row>
    <row r="649" spans="1:8" x14ac:dyDescent="0.25">
      <c r="A649" t="s">
        <v>196</v>
      </c>
      <c r="B649" s="3">
        <v>81916</v>
      </c>
      <c r="C649" s="2">
        <v>95</v>
      </c>
      <c r="D649" s="1">
        <v>43577</v>
      </c>
      <c r="E649" t="str">
        <f>"201904158703"</f>
        <v>201904158703</v>
      </c>
      <c r="F649" t="str">
        <f t="shared" si="9"/>
        <v>FERAL HOGS</v>
      </c>
      <c r="G649" s="2">
        <v>30</v>
      </c>
      <c r="H649" t="str">
        <f t="shared" si="10"/>
        <v>FERAL HOGS</v>
      </c>
    </row>
    <row r="650" spans="1:8" x14ac:dyDescent="0.25">
      <c r="E650" t="str">
        <f>"201904158704"</f>
        <v>201904158704</v>
      </c>
      <c r="F650" t="str">
        <f t="shared" si="9"/>
        <v>FERAL HOGS</v>
      </c>
      <c r="G650" s="2">
        <v>5</v>
      </c>
      <c r="H650" t="str">
        <f t="shared" si="10"/>
        <v>FERAL HOGS</v>
      </c>
    </row>
    <row r="651" spans="1:8" x14ac:dyDescent="0.25">
      <c r="E651" t="str">
        <f>"201904158705"</f>
        <v>201904158705</v>
      </c>
      <c r="F651" t="str">
        <f t="shared" si="9"/>
        <v>FERAL HOGS</v>
      </c>
      <c r="G651" s="2">
        <v>20</v>
      </c>
      <c r="H651" t="str">
        <f t="shared" si="10"/>
        <v>FERAL HOGS</v>
      </c>
    </row>
    <row r="652" spans="1:8" x14ac:dyDescent="0.25">
      <c r="E652" t="str">
        <f>"201904158706"</f>
        <v>201904158706</v>
      </c>
      <c r="F652" t="str">
        <f t="shared" si="9"/>
        <v>FERAL HOGS</v>
      </c>
      <c r="G652" s="2">
        <v>20</v>
      </c>
      <c r="H652" t="str">
        <f t="shared" si="10"/>
        <v>FERAL HOGS</v>
      </c>
    </row>
    <row r="653" spans="1:8" x14ac:dyDescent="0.25">
      <c r="E653" t="str">
        <f>"201904158707"</f>
        <v>201904158707</v>
      </c>
      <c r="F653" t="str">
        <f t="shared" si="9"/>
        <v>FERAL HOGS</v>
      </c>
      <c r="G653" s="2">
        <v>20</v>
      </c>
      <c r="H653" t="str">
        <f t="shared" si="10"/>
        <v>FERAL HOGS</v>
      </c>
    </row>
    <row r="654" spans="1:8" x14ac:dyDescent="0.25">
      <c r="A654" t="s">
        <v>197</v>
      </c>
      <c r="B654" s="3">
        <v>81719</v>
      </c>
      <c r="C654" s="2">
        <v>1800</v>
      </c>
      <c r="D654" s="1">
        <v>43563</v>
      </c>
      <c r="E654" t="str">
        <f>"201904028338"</f>
        <v>201904028338</v>
      </c>
      <c r="F654" t="str">
        <f>"JAMES E. GARON &amp; ASSOC."</f>
        <v>JAMES E. GARON &amp; ASSOC.</v>
      </c>
      <c r="G654" s="2">
        <v>1800</v>
      </c>
      <c r="H654" t="str">
        <f>"Righ Of Way Survey"</f>
        <v>Righ Of Way Survey</v>
      </c>
    </row>
    <row r="655" spans="1:8" x14ac:dyDescent="0.25">
      <c r="A655" t="s">
        <v>197</v>
      </c>
      <c r="B655" s="3">
        <v>81917</v>
      </c>
      <c r="C655" s="2">
        <v>2400</v>
      </c>
      <c r="D655" s="1">
        <v>43577</v>
      </c>
      <c r="E655" t="str">
        <f>"895-17 REISSUE"</f>
        <v>895-17 REISSUE</v>
      </c>
      <c r="F655" t="str">
        <f>"SURVEY SKETCH &amp; LEG DESC/PCT#2"</f>
        <v>SURVEY SKETCH &amp; LEG DESC/PCT#2</v>
      </c>
      <c r="G655" s="2">
        <v>2400</v>
      </c>
      <c r="H655" t="str">
        <f>"SURVEY SKETCH &amp; LEG DESC/PCT#2"</f>
        <v>SURVEY SKETCH &amp; LEG DESC/PCT#2</v>
      </c>
    </row>
    <row r="656" spans="1:8" x14ac:dyDescent="0.25">
      <c r="A656" t="s">
        <v>198</v>
      </c>
      <c r="B656" s="3">
        <v>81720</v>
      </c>
      <c r="C656" s="2">
        <v>1250</v>
      </c>
      <c r="D656" s="1">
        <v>43563</v>
      </c>
      <c r="E656" t="str">
        <f>"201904028260"</f>
        <v>201904028260</v>
      </c>
      <c r="F656" t="str">
        <f>"02-1024-1"</f>
        <v>02-1024-1</v>
      </c>
      <c r="G656" s="2">
        <v>250</v>
      </c>
      <c r="H656" t="str">
        <f>"02-1024-1"</f>
        <v>02-1024-1</v>
      </c>
    </row>
    <row r="657" spans="1:8" x14ac:dyDescent="0.25">
      <c r="E657" t="str">
        <f>"201904028261"</f>
        <v>201904028261</v>
      </c>
      <c r="F657" t="str">
        <f>"CC20181128A"</f>
        <v>CC20181128A</v>
      </c>
      <c r="G657" s="2">
        <v>250</v>
      </c>
      <c r="H657" t="str">
        <f>"CC20181128A"</f>
        <v>CC20181128A</v>
      </c>
    </row>
    <row r="658" spans="1:8" x14ac:dyDescent="0.25">
      <c r="E658" t="str">
        <f>"201904028262"</f>
        <v>201904028262</v>
      </c>
      <c r="F658" t="str">
        <f>"409018-8"</f>
        <v>409018-8</v>
      </c>
      <c r="G658" s="2">
        <v>250</v>
      </c>
      <c r="H658" t="str">
        <f>"409018-8"</f>
        <v>409018-8</v>
      </c>
    </row>
    <row r="659" spans="1:8" x14ac:dyDescent="0.25">
      <c r="E659" t="str">
        <f>"201904028266"</f>
        <v>201904028266</v>
      </c>
      <c r="F659" t="str">
        <f>"409238-1"</f>
        <v>409238-1</v>
      </c>
      <c r="G659" s="2">
        <v>250</v>
      </c>
      <c r="H659" t="str">
        <f>"409238-1"</f>
        <v>409238-1</v>
      </c>
    </row>
    <row r="660" spans="1:8" x14ac:dyDescent="0.25">
      <c r="E660" t="str">
        <f>"201904038420"</f>
        <v>201904038420</v>
      </c>
      <c r="F660" t="str">
        <f>"56 318"</f>
        <v>56 318</v>
      </c>
      <c r="G660" s="2">
        <v>250</v>
      </c>
      <c r="H660" t="str">
        <f>"56 318"</f>
        <v>56 318</v>
      </c>
    </row>
    <row r="661" spans="1:8" x14ac:dyDescent="0.25">
      <c r="A661" t="s">
        <v>199</v>
      </c>
      <c r="B661" s="3">
        <v>81721</v>
      </c>
      <c r="C661" s="2">
        <v>112.92</v>
      </c>
      <c r="D661" s="1">
        <v>43563</v>
      </c>
      <c r="E661" t="str">
        <f>"201904038359"</f>
        <v>201904038359</v>
      </c>
      <c r="F661" t="str">
        <f>"REIMBURSE-FOOD BOWLS"</f>
        <v>REIMBURSE-FOOD BOWLS</v>
      </c>
      <c r="G661" s="2">
        <v>27.92</v>
      </c>
      <c r="H661" t="str">
        <f>"REIMBURSE-FOOD BOWLS"</f>
        <v>REIMBURSE-FOOD BOWLS</v>
      </c>
    </row>
    <row r="662" spans="1:8" x14ac:dyDescent="0.25">
      <c r="E662" t="str">
        <f>"201904038360"</f>
        <v>201904038360</v>
      </c>
      <c r="F662" t="str">
        <f>"REIMBURSE-CABINET"</f>
        <v>REIMBURSE-CABINET</v>
      </c>
      <c r="G662" s="2">
        <v>85</v>
      </c>
      <c r="H662" t="str">
        <f>"REIMBURSE-CABINET"</f>
        <v>REIMBURSE-CABINET</v>
      </c>
    </row>
    <row r="663" spans="1:8" x14ac:dyDescent="0.25">
      <c r="A663" t="s">
        <v>200</v>
      </c>
      <c r="B663" s="3">
        <v>81722</v>
      </c>
      <c r="C663" s="2">
        <v>416.76</v>
      </c>
      <c r="D663" s="1">
        <v>43563</v>
      </c>
      <c r="E663" t="str">
        <f>"201904018181"</f>
        <v>201904018181</v>
      </c>
      <c r="F663" t="str">
        <f>"PER DIEM/MILEAGE"</f>
        <v>PER DIEM/MILEAGE</v>
      </c>
      <c r="G663" s="2">
        <v>416.76</v>
      </c>
      <c r="H663" t="str">
        <f>"PER DIEM/MILEAGE"</f>
        <v>PER DIEM/MILEAGE</v>
      </c>
    </row>
    <row r="664" spans="1:8" x14ac:dyDescent="0.25">
      <c r="A664" t="s">
        <v>201</v>
      </c>
      <c r="B664" s="3">
        <v>677</v>
      </c>
      <c r="C664" s="2">
        <v>1900</v>
      </c>
      <c r="D664" s="1">
        <v>43564</v>
      </c>
      <c r="E664" t="str">
        <f>"201904018234"</f>
        <v>201904018234</v>
      </c>
      <c r="F664" t="str">
        <f>"16-17913"</f>
        <v>16-17913</v>
      </c>
      <c r="G664" s="2">
        <v>100</v>
      </c>
      <c r="H664" t="str">
        <f>"16-17913"</f>
        <v>16-17913</v>
      </c>
    </row>
    <row r="665" spans="1:8" x14ac:dyDescent="0.25">
      <c r="E665" t="str">
        <f>"201904018235"</f>
        <v>201904018235</v>
      </c>
      <c r="F665" t="str">
        <f>"18-18992"</f>
        <v>18-18992</v>
      </c>
      <c r="G665" s="2">
        <v>100</v>
      </c>
      <c r="H665" t="str">
        <f>"18-18992"</f>
        <v>18-18992</v>
      </c>
    </row>
    <row r="666" spans="1:8" x14ac:dyDescent="0.25">
      <c r="E666" t="str">
        <f>"201904018236"</f>
        <v>201904018236</v>
      </c>
      <c r="F666" t="str">
        <f>"19-19465"</f>
        <v>19-19465</v>
      </c>
      <c r="G666" s="2">
        <v>100</v>
      </c>
      <c r="H666" t="str">
        <f>"19-19465"</f>
        <v>19-19465</v>
      </c>
    </row>
    <row r="667" spans="1:8" x14ac:dyDescent="0.25">
      <c r="E667" t="str">
        <f>"201904018237"</f>
        <v>201904018237</v>
      </c>
      <c r="F667" t="str">
        <f>"18-19011"</f>
        <v>18-19011</v>
      </c>
      <c r="G667" s="2">
        <v>100</v>
      </c>
      <c r="H667" t="str">
        <f>"18-19011"</f>
        <v>18-19011</v>
      </c>
    </row>
    <row r="668" spans="1:8" x14ac:dyDescent="0.25">
      <c r="E668" t="str">
        <f>"201904028255"</f>
        <v>201904028255</v>
      </c>
      <c r="F668" t="str">
        <f>"J-3168"</f>
        <v>J-3168</v>
      </c>
      <c r="G668" s="2">
        <v>250</v>
      </c>
      <c r="H668" t="str">
        <f>"J-3168"</f>
        <v>J-3168</v>
      </c>
    </row>
    <row r="669" spans="1:8" x14ac:dyDescent="0.25">
      <c r="E669" t="str">
        <f>"201904028258"</f>
        <v>201904028258</v>
      </c>
      <c r="F669" t="str">
        <f>"56 175"</f>
        <v>56 175</v>
      </c>
      <c r="G669" s="2">
        <v>250</v>
      </c>
      <c r="H669" t="str">
        <f>"56 175"</f>
        <v>56 175</v>
      </c>
    </row>
    <row r="670" spans="1:8" x14ac:dyDescent="0.25">
      <c r="E670" t="str">
        <f>"201904028271"</f>
        <v>201904028271</v>
      </c>
      <c r="F670" t="str">
        <f>"TRN919-990-4553 19002/409123.N"</f>
        <v>TRN919-990-4553 19002/409123.N</v>
      </c>
      <c r="G670" s="2">
        <v>250</v>
      </c>
      <c r="H670" t="str">
        <f>"TRN919-990-4553 19002/409123.N"</f>
        <v>TRN919-990-4553 19002/409123.N</v>
      </c>
    </row>
    <row r="671" spans="1:8" x14ac:dyDescent="0.25">
      <c r="E671" t="str">
        <f>"201904028273"</f>
        <v>201904028273</v>
      </c>
      <c r="F671" t="str">
        <f>"409018.6/929.350.471419001/18S"</f>
        <v>409018.6/929.350.471419001/18S</v>
      </c>
      <c r="G671" s="2">
        <v>250</v>
      </c>
      <c r="H671" t="str">
        <f>"409018.6/929.350.471419001/18S"</f>
        <v>409018.6/929.350.471419001/18S</v>
      </c>
    </row>
    <row r="672" spans="1:8" x14ac:dyDescent="0.25">
      <c r="E672" t="str">
        <f>"201904028274"</f>
        <v>201904028274</v>
      </c>
      <c r="F672" t="str">
        <f>"4102382 925350944919001 18S054"</f>
        <v>4102382 925350944919001 18S054</v>
      </c>
      <c r="G672" s="2">
        <v>250</v>
      </c>
      <c r="H672" t="str">
        <f>"4102382 925350944919001 18S054"</f>
        <v>4102382 925350944919001 18S054</v>
      </c>
    </row>
    <row r="673" spans="1:8" x14ac:dyDescent="0.25">
      <c r="E673" t="str">
        <f>"201904038407"</f>
        <v>201904038407</v>
      </c>
      <c r="F673" t="str">
        <f>"54 201"</f>
        <v>54 201</v>
      </c>
      <c r="G673" s="2">
        <v>250</v>
      </c>
      <c r="H673" t="str">
        <f>"54 201"</f>
        <v>54 201</v>
      </c>
    </row>
    <row r="674" spans="1:8" x14ac:dyDescent="0.25">
      <c r="A674" t="s">
        <v>202</v>
      </c>
      <c r="B674" s="3">
        <v>81723</v>
      </c>
      <c r="C674" s="2">
        <v>3177.8</v>
      </c>
      <c r="D674" s="1">
        <v>43563</v>
      </c>
      <c r="E674" t="str">
        <f>"P81045  W01667"</f>
        <v>P81045  W01667</v>
      </c>
      <c r="F674" t="str">
        <f>"ACCT#8850283308/PCT#1"</f>
        <v>ACCT#8850283308/PCT#1</v>
      </c>
      <c r="G674" s="2">
        <v>1012.97</v>
      </c>
      <c r="H674" t="str">
        <f>"ACCT#8850283308/PCT#1"</f>
        <v>ACCT#8850283308/PCT#1</v>
      </c>
    </row>
    <row r="675" spans="1:8" x14ac:dyDescent="0.25">
      <c r="E675" t="str">
        <f>"P81567"</f>
        <v>P81567</v>
      </c>
      <c r="F675" t="str">
        <f>"ACCT#8850283308/PCT#2"</f>
        <v>ACCT#8850283308/PCT#2</v>
      </c>
      <c r="G675" s="2">
        <v>223.32</v>
      </c>
      <c r="H675" t="str">
        <f>"ACCT#8850283308/PCT#2"</f>
        <v>ACCT#8850283308/PCT#2</v>
      </c>
    </row>
    <row r="676" spans="1:8" x14ac:dyDescent="0.25">
      <c r="E676" t="str">
        <f>"P81810/13/29"</f>
        <v>P81810/13/29</v>
      </c>
      <c r="F676" t="str">
        <f>"ACCT#8850283308/PCT#4"</f>
        <v>ACCT#8850283308/PCT#4</v>
      </c>
      <c r="G676" s="2">
        <v>1662.63</v>
      </c>
      <c r="H676" t="str">
        <f>"ACCT#8850283308/PCT#4"</f>
        <v>ACCT#8850283308/PCT#4</v>
      </c>
    </row>
    <row r="677" spans="1:8" x14ac:dyDescent="0.25">
      <c r="E677" t="str">
        <f>"P81978  P82314"</f>
        <v>P81978  P82314</v>
      </c>
      <c r="F677" t="str">
        <f>"ACCT#8850283308/PCT#3"</f>
        <v>ACCT#8850283308/PCT#3</v>
      </c>
      <c r="G677" s="2">
        <v>278.88</v>
      </c>
      <c r="H677" t="str">
        <f>"ACCT#8850283308/PCT#3"</f>
        <v>ACCT#8850283308/PCT#3</v>
      </c>
    </row>
    <row r="678" spans="1:8" x14ac:dyDescent="0.25">
      <c r="A678" t="s">
        <v>203</v>
      </c>
      <c r="B678" s="3">
        <v>81918</v>
      </c>
      <c r="C678" s="2">
        <v>319.39999999999998</v>
      </c>
      <c r="D678" s="1">
        <v>43577</v>
      </c>
      <c r="E678" t="str">
        <f>"201904108569"</f>
        <v>201904108569</v>
      </c>
      <c r="F678" t="str">
        <f>"PURCHASE OF ROADWAY EASEMENT"</f>
        <v>PURCHASE OF ROADWAY EASEMENT</v>
      </c>
      <c r="G678" s="2">
        <v>319.39999999999998</v>
      </c>
      <c r="H678" t="str">
        <f>"PURCHASE OF ROADWAY EASEMENT"</f>
        <v>PURCHASE OF ROADWAY EASEMENT</v>
      </c>
    </row>
    <row r="679" spans="1:8" x14ac:dyDescent="0.25">
      <c r="A679" t="s">
        <v>204</v>
      </c>
      <c r="B679" s="3">
        <v>81919</v>
      </c>
      <c r="C679" s="2">
        <v>15</v>
      </c>
      <c r="D679" s="1">
        <v>43577</v>
      </c>
      <c r="E679" t="str">
        <f>"201904158626"</f>
        <v>201904158626</v>
      </c>
      <c r="F679" t="str">
        <f>"JOHNNA GRIFFITH"</f>
        <v>JOHNNA GRIFFITH</v>
      </c>
      <c r="G679" s="2">
        <v>15</v>
      </c>
      <c r="H679" t="str">
        <f>""</f>
        <v/>
      </c>
    </row>
    <row r="680" spans="1:8" x14ac:dyDescent="0.25">
      <c r="A680" t="s">
        <v>205</v>
      </c>
      <c r="B680" s="3">
        <v>81724</v>
      </c>
      <c r="C680" s="2">
        <v>42.25</v>
      </c>
      <c r="D680" s="1">
        <v>43563</v>
      </c>
      <c r="E680" t="str">
        <f>"201903288160"</f>
        <v>201903288160</v>
      </c>
      <c r="F680" t="str">
        <f>"REIMBURSEMENT-AUTO PARTS"</f>
        <v>REIMBURSEMENT-AUTO PARTS</v>
      </c>
      <c r="G680" s="2">
        <v>42.25</v>
      </c>
      <c r="H680" t="str">
        <f>"REIMBURSEMENT-AUTO PARTS"</f>
        <v>REIMBURSEMENT-AUTO PARTS</v>
      </c>
    </row>
    <row r="681" spans="1:8" x14ac:dyDescent="0.25">
      <c r="A681" t="s">
        <v>206</v>
      </c>
      <c r="B681" s="3">
        <v>672</v>
      </c>
      <c r="C681" s="2">
        <v>3125</v>
      </c>
      <c r="D681" s="1">
        <v>43564</v>
      </c>
      <c r="E681" t="str">
        <f>"201903288144"</f>
        <v>201903288144</v>
      </c>
      <c r="F681" t="str">
        <f>"423-6375"</f>
        <v>423-6375</v>
      </c>
      <c r="G681" s="2">
        <v>100</v>
      </c>
      <c r="H681" t="str">
        <f>"423-6375"</f>
        <v>423-6375</v>
      </c>
    </row>
    <row r="682" spans="1:8" x14ac:dyDescent="0.25">
      <c r="E682" t="str">
        <f>"201903288153"</f>
        <v>201903288153</v>
      </c>
      <c r="F682" t="str">
        <f>"CHAIRES UNINDICTED"</f>
        <v>CHAIRES UNINDICTED</v>
      </c>
      <c r="G682" s="2">
        <v>600</v>
      </c>
      <c r="H682" t="str">
        <f>"CHAIRES UNINDICTED"</f>
        <v>CHAIRES UNINDICTED</v>
      </c>
    </row>
    <row r="683" spans="1:8" x14ac:dyDescent="0.25">
      <c r="E683" t="str">
        <f>"201903288154"</f>
        <v>201903288154</v>
      </c>
      <c r="F683" t="str">
        <f>"16554  16784  U/I"</f>
        <v>16554  16784  U/I</v>
      </c>
      <c r="G683" s="2">
        <v>800</v>
      </c>
      <c r="H683" t="str">
        <f>"16554  16784  U/I"</f>
        <v>16554  16784  U/I</v>
      </c>
    </row>
    <row r="684" spans="1:8" x14ac:dyDescent="0.25">
      <c r="E684" t="str">
        <f>"201903288155"</f>
        <v>201903288155</v>
      </c>
      <c r="F684" t="str">
        <f>"16722"</f>
        <v>16722</v>
      </c>
      <c r="G684" s="2">
        <v>400</v>
      </c>
      <c r="H684" t="str">
        <f>"16722"</f>
        <v>16722</v>
      </c>
    </row>
    <row r="685" spans="1:8" x14ac:dyDescent="0.25">
      <c r="E685" t="str">
        <f>"201904018188"</f>
        <v>201904018188</v>
      </c>
      <c r="F685" t="str">
        <f>"1100-335"</f>
        <v>1100-335</v>
      </c>
      <c r="G685" s="2">
        <v>100</v>
      </c>
      <c r="H685" t="str">
        <f>"1100-335"</f>
        <v>1100-335</v>
      </c>
    </row>
    <row r="686" spans="1:8" x14ac:dyDescent="0.25">
      <c r="E686" t="str">
        <f>"201904038400"</f>
        <v>201904038400</v>
      </c>
      <c r="F686" t="str">
        <f>"56798 56799 56797 20190037"</f>
        <v>56798 56799 56797 20190037</v>
      </c>
      <c r="G686" s="2">
        <v>625</v>
      </c>
      <c r="H686" t="str">
        <f>"56798 56799 56797 20190037"</f>
        <v>56798 56799 56797 20190037</v>
      </c>
    </row>
    <row r="687" spans="1:8" x14ac:dyDescent="0.25">
      <c r="E687" t="str">
        <f>"201904038401"</f>
        <v>201904038401</v>
      </c>
      <c r="F687" t="str">
        <f>"1JP112018F"</f>
        <v>1JP112018F</v>
      </c>
      <c r="G687" s="2">
        <v>250</v>
      </c>
      <c r="H687" t="str">
        <f>"1JP112018F"</f>
        <v>1JP112018F</v>
      </c>
    </row>
    <row r="688" spans="1:8" x14ac:dyDescent="0.25">
      <c r="E688" t="str">
        <f>"201904038402"</f>
        <v>201904038402</v>
      </c>
      <c r="F688" t="str">
        <f>"02-12401"</f>
        <v>02-12401</v>
      </c>
      <c r="G688" s="2">
        <v>250</v>
      </c>
      <c r="H688" t="str">
        <f>"02-12401"</f>
        <v>02-12401</v>
      </c>
    </row>
    <row r="689" spans="1:9" x14ac:dyDescent="0.25">
      <c r="A689" t="s">
        <v>206</v>
      </c>
      <c r="B689" s="3">
        <v>727</v>
      </c>
      <c r="C689" s="2">
        <v>3350</v>
      </c>
      <c r="D689" s="1">
        <v>43578</v>
      </c>
      <c r="E689" t="str">
        <f>"201904108555"</f>
        <v>201904108555</v>
      </c>
      <c r="F689" t="str">
        <f>"15426  303022019C"</f>
        <v>15426  303022019C</v>
      </c>
      <c r="G689" s="2">
        <v>800</v>
      </c>
      <c r="H689" t="str">
        <f>"15426  303022019C"</f>
        <v>15426  303022019C</v>
      </c>
    </row>
    <row r="690" spans="1:9" x14ac:dyDescent="0.25">
      <c r="E690" t="str">
        <f>"201904158610"</f>
        <v>201904158610</v>
      </c>
      <c r="F690" t="str">
        <f>"4051361M  4051362M"</f>
        <v>4051361M  4051362M</v>
      </c>
      <c r="G690" s="2">
        <v>600</v>
      </c>
      <c r="H690" t="str">
        <f>"4051361M  4051362M"</f>
        <v>4051361M  4051362M</v>
      </c>
    </row>
    <row r="691" spans="1:9" x14ac:dyDescent="0.25">
      <c r="E691" t="str">
        <f>"201904158611"</f>
        <v>201904158611</v>
      </c>
      <c r="F691" t="str">
        <f>"02.0113.1"</f>
        <v>02.0113.1</v>
      </c>
      <c r="G691" s="2">
        <v>400</v>
      </c>
      <c r="H691" t="str">
        <f>"02.0113.1"</f>
        <v>02.0113.1</v>
      </c>
    </row>
    <row r="692" spans="1:9" x14ac:dyDescent="0.25">
      <c r="E692" t="str">
        <f>"201904158612"</f>
        <v>201904158612</v>
      </c>
      <c r="F692" t="str">
        <f>"C170026"</f>
        <v>C170026</v>
      </c>
      <c r="G692" s="2">
        <v>400</v>
      </c>
      <c r="H692" t="str">
        <f>"C170026"</f>
        <v>C170026</v>
      </c>
    </row>
    <row r="693" spans="1:9" x14ac:dyDescent="0.25">
      <c r="E693" t="str">
        <f>"201904158613"</f>
        <v>201904158613</v>
      </c>
      <c r="F693" t="str">
        <f>"409065-2M"</f>
        <v>409065-2M</v>
      </c>
      <c r="G693" s="2">
        <v>400</v>
      </c>
      <c r="H693" t="str">
        <f>"409065-2M"</f>
        <v>409065-2M</v>
      </c>
    </row>
    <row r="694" spans="1:9" x14ac:dyDescent="0.25">
      <c r="E694" t="str">
        <f>"201904158614"</f>
        <v>201904158614</v>
      </c>
      <c r="F694" t="str">
        <f>"AC-2017-0724W"</f>
        <v>AC-2017-0724W</v>
      </c>
      <c r="G694" s="2">
        <v>400</v>
      </c>
      <c r="H694" t="str">
        <f>"AC-2017-0724W"</f>
        <v>AC-2017-0724W</v>
      </c>
    </row>
    <row r="695" spans="1:9" x14ac:dyDescent="0.25">
      <c r="E695" t="str">
        <f>"201904158643"</f>
        <v>201904158643</v>
      </c>
      <c r="F695" t="str">
        <f>"CH20181017B"</f>
        <v>CH20181017B</v>
      </c>
      <c r="G695" s="2">
        <v>250</v>
      </c>
      <c r="H695" t="str">
        <f>"CH20181017B"</f>
        <v>CH20181017B</v>
      </c>
    </row>
    <row r="696" spans="1:9" x14ac:dyDescent="0.25">
      <c r="E696" t="str">
        <f>"201904158651"</f>
        <v>201904158651</v>
      </c>
      <c r="F696" t="str">
        <f>"19-19496"</f>
        <v>19-19496</v>
      </c>
      <c r="G696" s="2">
        <v>100</v>
      </c>
      <c r="H696" t="str">
        <f>"19-19496"</f>
        <v>19-19496</v>
      </c>
    </row>
    <row r="697" spans="1:9" x14ac:dyDescent="0.25">
      <c r="A697" t="s">
        <v>207</v>
      </c>
      <c r="B697" s="3">
        <v>81920</v>
      </c>
      <c r="C697" s="2">
        <v>25</v>
      </c>
      <c r="D697" s="1">
        <v>43577</v>
      </c>
      <c r="E697" t="s">
        <v>208</v>
      </c>
      <c r="F697" t="s">
        <v>209</v>
      </c>
      <c r="G697" s="2" t="str">
        <f>"RESTITUTION-JOHNY HOFFMAN"</f>
        <v>RESTITUTION-JOHNY HOFFMAN</v>
      </c>
      <c r="H697" t="str">
        <f>"210-0000"</f>
        <v>210-0000</v>
      </c>
      <c r="I697" t="str">
        <f>""</f>
        <v/>
      </c>
    </row>
    <row r="698" spans="1:9" x14ac:dyDescent="0.25">
      <c r="A698" t="s">
        <v>210</v>
      </c>
      <c r="B698" s="3">
        <v>81921</v>
      </c>
      <c r="C698" s="2">
        <v>339.4</v>
      </c>
      <c r="D698" s="1">
        <v>43577</v>
      </c>
      <c r="E698" t="str">
        <f>"201904128598"</f>
        <v>201904128598</v>
      </c>
      <c r="F698" t="str">
        <f>"REIMBURSE MILEAGE"</f>
        <v>REIMBURSE MILEAGE</v>
      </c>
      <c r="G698" s="2">
        <v>249.4</v>
      </c>
      <c r="H698" t="str">
        <f>"REIMBURSE MILEAGE"</f>
        <v>REIMBURSE MILEAGE</v>
      </c>
    </row>
    <row r="699" spans="1:9" x14ac:dyDescent="0.25">
      <c r="E699" t="str">
        <f>"201904128599"</f>
        <v>201904128599</v>
      </c>
      <c r="F699" t="str">
        <f>"REIMBURSE MEALS"</f>
        <v>REIMBURSE MEALS</v>
      </c>
      <c r="G699" s="2">
        <v>90</v>
      </c>
      <c r="H699" t="str">
        <f>"REIMBURSE MEALS"</f>
        <v>REIMBURSE MEALS</v>
      </c>
    </row>
    <row r="700" spans="1:9" x14ac:dyDescent="0.25">
      <c r="A700" t="s">
        <v>211</v>
      </c>
      <c r="B700" s="3">
        <v>81725</v>
      </c>
      <c r="C700" s="2">
        <v>720</v>
      </c>
      <c r="D700" s="1">
        <v>43563</v>
      </c>
      <c r="E700" t="str">
        <f>"R1903-15"</f>
        <v>R1903-15</v>
      </c>
      <c r="F700" t="str">
        <f>"INV R1903-15"</f>
        <v>INV R1903-15</v>
      </c>
      <c r="G700" s="2">
        <v>720</v>
      </c>
      <c r="H700" t="str">
        <f>"INV R1903-15"</f>
        <v>INV R1903-15</v>
      </c>
    </row>
    <row r="701" spans="1:9" x14ac:dyDescent="0.25">
      <c r="A701" t="s">
        <v>212</v>
      </c>
      <c r="B701" s="3">
        <v>81726</v>
      </c>
      <c r="C701" s="2">
        <v>431.25</v>
      </c>
      <c r="D701" s="1">
        <v>43563</v>
      </c>
      <c r="E701" t="str">
        <f>"201904038384"</f>
        <v>201904038384</v>
      </c>
      <c r="F701" t="str">
        <f>"18-19299"</f>
        <v>18-19299</v>
      </c>
      <c r="G701" s="2">
        <v>431.25</v>
      </c>
      <c r="H701" t="str">
        <f>"18-19299"</f>
        <v>18-19299</v>
      </c>
    </row>
    <row r="702" spans="1:9" x14ac:dyDescent="0.25">
      <c r="A702" t="s">
        <v>212</v>
      </c>
      <c r="B702" s="3">
        <v>81922</v>
      </c>
      <c r="C702" s="2">
        <v>478.75</v>
      </c>
      <c r="D702" s="1">
        <v>43577</v>
      </c>
      <c r="E702" t="str">
        <f>"201904108551"</f>
        <v>201904108551</v>
      </c>
      <c r="F702" t="str">
        <f>"423-2327"</f>
        <v>423-2327</v>
      </c>
      <c r="G702" s="2">
        <v>213.75</v>
      </c>
      <c r="H702" t="str">
        <f>"423-2327"</f>
        <v>423-2327</v>
      </c>
    </row>
    <row r="703" spans="1:9" x14ac:dyDescent="0.25">
      <c r="E703" t="str">
        <f>"201904108552"</f>
        <v>201904108552</v>
      </c>
      <c r="F703" t="str">
        <f>"18-19013"</f>
        <v>18-19013</v>
      </c>
      <c r="G703" s="2">
        <v>265</v>
      </c>
      <c r="H703" t="str">
        <f>"18-19013"</f>
        <v>18-19013</v>
      </c>
    </row>
    <row r="704" spans="1:9" x14ac:dyDescent="0.25">
      <c r="A704" t="s">
        <v>213</v>
      </c>
      <c r="B704" s="3">
        <v>81727</v>
      </c>
      <c r="C704" s="2">
        <v>430</v>
      </c>
      <c r="D704" s="1">
        <v>43563</v>
      </c>
      <c r="E704" t="str">
        <f>"228889"</f>
        <v>228889</v>
      </c>
      <c r="F704" t="str">
        <f>"TRASH PICK UP/PCT#1"</f>
        <v>TRASH PICK UP/PCT#1</v>
      </c>
      <c r="G704" s="2">
        <v>430</v>
      </c>
      <c r="H704" t="str">
        <f>"TRASH PICK UP/PCT#1"</f>
        <v>TRASH PICK UP/PCT#1</v>
      </c>
    </row>
    <row r="705" spans="1:8" x14ac:dyDescent="0.25">
      <c r="A705" t="s">
        <v>214</v>
      </c>
      <c r="B705" s="3">
        <v>662</v>
      </c>
      <c r="C705" s="2">
        <v>2617</v>
      </c>
      <c r="D705" s="1">
        <v>43564</v>
      </c>
      <c r="E705" t="str">
        <f>"178  03/27/19"</f>
        <v>178  03/27/19</v>
      </c>
      <c r="F705" t="str">
        <f>"TOWER RENT-APRIL"</f>
        <v>TOWER RENT-APRIL</v>
      </c>
      <c r="G705" s="2">
        <v>2617</v>
      </c>
      <c r="H705" t="str">
        <f>"TOWER RENT-APRIL"</f>
        <v>TOWER RENT-APRIL</v>
      </c>
    </row>
    <row r="706" spans="1:8" x14ac:dyDescent="0.25">
      <c r="A706" t="s">
        <v>215</v>
      </c>
      <c r="B706" s="3">
        <v>644</v>
      </c>
      <c r="C706" s="2">
        <v>99</v>
      </c>
      <c r="D706" s="1">
        <v>43564</v>
      </c>
      <c r="E706" t="str">
        <f>"269832"</f>
        <v>269832</v>
      </c>
      <c r="F706" t="str">
        <f>"ORD#1269-9884/QRTLY MONITORING"</f>
        <v>ORD#1269-9884/QRTLY MONITORING</v>
      </c>
      <c r="G706" s="2">
        <v>99</v>
      </c>
      <c r="H706" t="str">
        <f>"ORD#1269-9884/QRTLY MONITORING"</f>
        <v>ORD#1269-9884/QRTLY MONITORING</v>
      </c>
    </row>
    <row r="707" spans="1:8" x14ac:dyDescent="0.25">
      <c r="A707" t="s">
        <v>216</v>
      </c>
      <c r="B707" s="3">
        <v>81728</v>
      </c>
      <c r="C707" s="2">
        <v>2094.92</v>
      </c>
      <c r="D707" s="1">
        <v>43563</v>
      </c>
      <c r="E707" t="str">
        <f>"201904028296"</f>
        <v>201904028296</v>
      </c>
      <c r="F707" t="str">
        <f>"ACCT#1700/PCT#2"</f>
        <v>ACCT#1700/PCT#2</v>
      </c>
      <c r="G707" s="2">
        <v>169.28</v>
      </c>
      <c r="H707" t="str">
        <f>"ACCT#1700/PCT#2"</f>
        <v>ACCT#1700/PCT#2</v>
      </c>
    </row>
    <row r="708" spans="1:8" x14ac:dyDescent="0.25">
      <c r="E708" t="str">
        <f>"201904028297"</f>
        <v>201904028297</v>
      </c>
      <c r="F708" t="str">
        <f>"ACCT#1750/PCT#3"</f>
        <v>ACCT#1750/PCT#3</v>
      </c>
      <c r="G708" s="2">
        <v>548.54999999999995</v>
      </c>
      <c r="H708" t="str">
        <f>"ACCT#1750/PCT#3"</f>
        <v>ACCT#1750/PCT#3</v>
      </c>
    </row>
    <row r="709" spans="1:8" x14ac:dyDescent="0.25">
      <c r="E709" t="str">
        <f>"201904028329"</f>
        <v>201904028329</v>
      </c>
      <c r="F709" t="str">
        <f>"THE LA GRANGE PARTS HOUSE INC"</f>
        <v>THE LA GRANGE PARTS HOUSE INC</v>
      </c>
      <c r="G709" s="2">
        <v>1149.99</v>
      </c>
      <c r="H709" t="str">
        <f>"Cut Off Machine"</f>
        <v>Cut Off Machine</v>
      </c>
    </row>
    <row r="710" spans="1:8" x14ac:dyDescent="0.25">
      <c r="E710" t="str">
        <f>"201904038425"</f>
        <v>201904038425</v>
      </c>
      <c r="F710" t="str">
        <f>"ACCT#1650/PCT#1"</f>
        <v>ACCT#1650/PCT#1</v>
      </c>
      <c r="G710" s="2">
        <v>217.68</v>
      </c>
      <c r="H710" t="str">
        <f>"ACCT#1650/PCT#1"</f>
        <v>ACCT#1650/PCT#1</v>
      </c>
    </row>
    <row r="711" spans="1:8" x14ac:dyDescent="0.25">
      <c r="E711" t="str">
        <f>"379-48486"</f>
        <v>379-48486</v>
      </c>
      <c r="F711" t="str">
        <f>"ACCT#1650/DEV SVCS"</f>
        <v>ACCT#1650/DEV SVCS</v>
      </c>
      <c r="G711" s="2">
        <v>9.42</v>
      </c>
      <c r="H711" t="str">
        <f>"ACCT#1650/DEV SVCS"</f>
        <v>ACCT#1650/DEV SVCS</v>
      </c>
    </row>
    <row r="712" spans="1:8" x14ac:dyDescent="0.25">
      <c r="A712" t="s">
        <v>217</v>
      </c>
      <c r="B712" s="3">
        <v>81729</v>
      </c>
      <c r="C712" s="2">
        <v>2256.94</v>
      </c>
      <c r="D712" s="1">
        <v>43563</v>
      </c>
      <c r="E712" t="str">
        <f>"03208711 03278147"</f>
        <v>03208711 03278147</v>
      </c>
      <c r="F712" t="str">
        <f>"INV 03208711"</f>
        <v>INV 03208711</v>
      </c>
      <c r="G712" s="2">
        <v>2256.94</v>
      </c>
      <c r="H712" t="str">
        <f>"INV 03208711"</f>
        <v>INV 03208711</v>
      </c>
    </row>
    <row r="713" spans="1:8" x14ac:dyDescent="0.25">
      <c r="E713" t="str">
        <f>""</f>
        <v/>
      </c>
      <c r="F713" t="str">
        <f>""</f>
        <v/>
      </c>
      <c r="H713" t="str">
        <f>"INV 03278147"</f>
        <v>INV 03278147</v>
      </c>
    </row>
    <row r="714" spans="1:8" x14ac:dyDescent="0.25">
      <c r="A714" t="s">
        <v>217</v>
      </c>
      <c r="B714" s="3">
        <v>81923</v>
      </c>
      <c r="C714" s="2">
        <v>2016.1</v>
      </c>
      <c r="D714" s="1">
        <v>43577</v>
      </c>
      <c r="E714" t="str">
        <f>"04038140"</f>
        <v>04038140</v>
      </c>
      <c r="F714" t="str">
        <f>"INV 04038140"</f>
        <v>INV 04038140</v>
      </c>
      <c r="G714" s="2">
        <v>1020.09</v>
      </c>
      <c r="H714" t="str">
        <f>"INV 04038140"</f>
        <v>INV 04038140</v>
      </c>
    </row>
    <row r="715" spans="1:8" x14ac:dyDescent="0.25">
      <c r="E715" t="str">
        <f>"04107771"</f>
        <v>04107771</v>
      </c>
      <c r="F715" t="str">
        <f>"INV 04107771"</f>
        <v>INV 04107771</v>
      </c>
      <c r="G715" s="2">
        <v>996.01</v>
      </c>
      <c r="H715" t="str">
        <f>"INV 04107771"</f>
        <v>INV 04107771</v>
      </c>
    </row>
    <row r="716" spans="1:8" x14ac:dyDescent="0.25">
      <c r="A716" t="s">
        <v>218</v>
      </c>
      <c r="B716" s="3">
        <v>81730</v>
      </c>
      <c r="C716" s="2">
        <v>1649</v>
      </c>
      <c r="D716" s="1">
        <v>43563</v>
      </c>
      <c r="E716" t="str">
        <f>"310512-000 31078-0"</f>
        <v>310512-000 31078-0</v>
      </c>
      <c r="F716" t="str">
        <f>"INV  310512-000"</f>
        <v>INV  310512-000</v>
      </c>
      <c r="G716" s="2">
        <v>1649</v>
      </c>
      <c r="H716" t="str">
        <f>"INV  310512-000"</f>
        <v>INV  310512-000</v>
      </c>
    </row>
    <row r="717" spans="1:8" x14ac:dyDescent="0.25">
      <c r="E717" t="str">
        <f>""</f>
        <v/>
      </c>
      <c r="F717" t="str">
        <f>""</f>
        <v/>
      </c>
      <c r="H717" t="str">
        <f>"INV  310780-000"</f>
        <v>INV  310780-000</v>
      </c>
    </row>
    <row r="718" spans="1:8" x14ac:dyDescent="0.25">
      <c r="A718" t="s">
        <v>219</v>
      </c>
      <c r="B718" s="3">
        <v>81731</v>
      </c>
      <c r="C718" s="2">
        <v>150</v>
      </c>
      <c r="D718" s="1">
        <v>43563</v>
      </c>
      <c r="E718" t="str">
        <f>"201903288161"</f>
        <v>201903288161</v>
      </c>
      <c r="F718" t="str">
        <f>"CLEANING SERVICE/PCT#2"</f>
        <v>CLEANING SERVICE/PCT#2</v>
      </c>
      <c r="G718" s="2">
        <v>150</v>
      </c>
      <c r="H718" t="str">
        <f>"CLEANING SERVICE/PCT#2"</f>
        <v>CLEANING SERVICE/PCT#2</v>
      </c>
    </row>
    <row r="719" spans="1:8" x14ac:dyDescent="0.25">
      <c r="A719" t="s">
        <v>220</v>
      </c>
      <c r="B719" s="3">
        <v>81732</v>
      </c>
      <c r="C719" s="2">
        <v>635</v>
      </c>
      <c r="D719" s="1">
        <v>43563</v>
      </c>
      <c r="E719" t="str">
        <f>"306566"</f>
        <v>306566</v>
      </c>
      <c r="F719" t="str">
        <f>"CUST#BASCOU/PCT#2"</f>
        <v>CUST#BASCOU/PCT#2</v>
      </c>
      <c r="G719" s="2">
        <v>635</v>
      </c>
      <c r="H719" t="str">
        <f>"CUST#BASCOU/PCT#2"</f>
        <v>CUST#BASCOU/PCT#2</v>
      </c>
    </row>
    <row r="720" spans="1:8" x14ac:dyDescent="0.25">
      <c r="A720" t="s">
        <v>220</v>
      </c>
      <c r="B720" s="3">
        <v>81924</v>
      </c>
      <c r="C720" s="2">
        <v>635</v>
      </c>
      <c r="D720" s="1">
        <v>43577</v>
      </c>
      <c r="E720" t="str">
        <f>"306965"</f>
        <v>306965</v>
      </c>
      <c r="F720" t="str">
        <f>"CUST#BASCOU/PCT#2"</f>
        <v>CUST#BASCOU/PCT#2</v>
      </c>
      <c r="G720" s="2">
        <v>635</v>
      </c>
      <c r="H720" t="str">
        <f>"CUST#BASCOU/PCT#2"</f>
        <v>CUST#BASCOU/PCT#2</v>
      </c>
    </row>
    <row r="721" spans="1:8" x14ac:dyDescent="0.25">
      <c r="A721" t="s">
        <v>221</v>
      </c>
      <c r="B721" s="3">
        <v>81925</v>
      </c>
      <c r="C721" s="2">
        <v>320</v>
      </c>
      <c r="D721" s="1">
        <v>43577</v>
      </c>
      <c r="E721" t="str">
        <f>"243119019"</f>
        <v>243119019</v>
      </c>
      <c r="F721" t="str">
        <f>"AUDITOR'S CONF-SUE COOPER"</f>
        <v>AUDITOR'S CONF-SUE COOPER</v>
      </c>
      <c r="G721" s="2">
        <v>320</v>
      </c>
      <c r="H721" t="str">
        <f>"AUDITOR'S CONF-SUE COOPER"</f>
        <v>AUDITOR'S CONF-SUE COOPER</v>
      </c>
    </row>
    <row r="722" spans="1:8" x14ac:dyDescent="0.25">
      <c r="A722" t="s">
        <v>222</v>
      </c>
      <c r="B722" s="3">
        <v>81646</v>
      </c>
      <c r="C722" s="2">
        <v>73.92</v>
      </c>
      <c r="D722" s="1">
        <v>43560</v>
      </c>
      <c r="E722" t="str">
        <f>"201904058518"</f>
        <v>201904058518</v>
      </c>
      <c r="F722" t="str">
        <f>"ACCT#1-09-00072-02 1/03252019"</f>
        <v>ACCT#1-09-00072-02 1/03252019</v>
      </c>
      <c r="G722" s="2">
        <v>73.92</v>
      </c>
      <c r="H722" t="str">
        <f>"ACCT#1-09-00072-02 1/03252019"</f>
        <v>ACCT#1-09-00072-02 1/03252019</v>
      </c>
    </row>
    <row r="723" spans="1:8" x14ac:dyDescent="0.25">
      <c r="A723" t="s">
        <v>223</v>
      </c>
      <c r="B723" s="3">
        <v>81733</v>
      </c>
      <c r="C723" s="2">
        <v>146.05000000000001</v>
      </c>
      <c r="D723" s="1">
        <v>43563</v>
      </c>
      <c r="E723" t="str">
        <f>"1361725-20190331"</f>
        <v>1361725-20190331</v>
      </c>
      <c r="F723" t="str">
        <f>"BILLING ID:1361725/INDIGENT HL"</f>
        <v>BILLING ID:1361725/INDIGENT HL</v>
      </c>
      <c r="G723" s="2">
        <v>146.05000000000001</v>
      </c>
      <c r="H723" t="str">
        <f>"BILLING ID:1361725/INDIGENT HL"</f>
        <v>BILLING ID:1361725/INDIGENT HL</v>
      </c>
    </row>
    <row r="724" spans="1:8" x14ac:dyDescent="0.25">
      <c r="A724" t="s">
        <v>223</v>
      </c>
      <c r="B724" s="3">
        <v>81926</v>
      </c>
      <c r="C724" s="2">
        <v>895.45</v>
      </c>
      <c r="D724" s="1">
        <v>43577</v>
      </c>
      <c r="E724" t="str">
        <f>"1211621-20190331"</f>
        <v>1211621-20190331</v>
      </c>
      <c r="F724" t="str">
        <f>"BILLING ID:1211621/HEALTH SVCS"</f>
        <v>BILLING ID:1211621/HEALTH SVCS</v>
      </c>
      <c r="G724" s="2">
        <v>520.45000000000005</v>
      </c>
      <c r="H724" t="str">
        <f>"BILLING ID:1211621/HEALTH SVCS"</f>
        <v>BILLING ID:1211621/HEALTH SVCS</v>
      </c>
    </row>
    <row r="725" spans="1:8" x14ac:dyDescent="0.25">
      <c r="E725" t="str">
        <f>"1394645-20190331"</f>
        <v>1394645-20190331</v>
      </c>
      <c r="F725" t="str">
        <f>"BILLING ID:1394645/COUNTY CLRK"</f>
        <v>BILLING ID:1394645/COUNTY CLRK</v>
      </c>
      <c r="G725" s="2">
        <v>50</v>
      </c>
      <c r="H725" t="str">
        <f>"BILLING ID:1394645/COUNTY CLRK"</f>
        <v>BILLING ID:1394645/COUNTY CLRK</v>
      </c>
    </row>
    <row r="726" spans="1:8" x14ac:dyDescent="0.25">
      <c r="E726" t="str">
        <f>"1420944-20190331"</f>
        <v>1420944-20190331</v>
      </c>
      <c r="F726" t="str">
        <f>"BILLING ID:1420944/SHERIFF"</f>
        <v>BILLING ID:1420944/SHERIFF</v>
      </c>
      <c r="G726" s="2">
        <v>275</v>
      </c>
      <c r="H726" t="str">
        <f>"BILLING ID:1420944/SHERIFF"</f>
        <v>BILLING ID:1420944/SHERIFF</v>
      </c>
    </row>
    <row r="727" spans="1:8" x14ac:dyDescent="0.25">
      <c r="E727" t="str">
        <f>"1489870-20190331"</f>
        <v>1489870-20190331</v>
      </c>
      <c r="F727" t="str">
        <f>"BILLING ID:1489870/DISTRICT CL"</f>
        <v>BILLING ID:1489870/DISTRICT CL</v>
      </c>
      <c r="G727" s="2">
        <v>50</v>
      </c>
      <c r="H727" t="str">
        <f>"BILLING ID:1489870/DISTRICT CL"</f>
        <v>BILLING ID:1489870/DISTRICT CL</v>
      </c>
    </row>
    <row r="728" spans="1:8" x14ac:dyDescent="0.25">
      <c r="A728" t="s">
        <v>224</v>
      </c>
      <c r="B728" s="3">
        <v>81927</v>
      </c>
      <c r="C728" s="2">
        <v>1363.51</v>
      </c>
      <c r="D728" s="1">
        <v>43577</v>
      </c>
      <c r="E728" t="str">
        <f>"1559289"</f>
        <v>1559289</v>
      </c>
      <c r="F728" t="str">
        <f>"ACCT#15717/TIRE SVCS"</f>
        <v>ACCT#15717/TIRE SVCS</v>
      </c>
      <c r="G728" s="2">
        <v>1363.51</v>
      </c>
      <c r="H728" t="str">
        <f>"ACCT#15717/TIRE SVCS"</f>
        <v>ACCT#15717/TIRE SVCS</v>
      </c>
    </row>
    <row r="729" spans="1:8" x14ac:dyDescent="0.25">
      <c r="A729" t="s">
        <v>225</v>
      </c>
      <c r="B729" s="3">
        <v>666</v>
      </c>
      <c r="C729" s="2">
        <v>7.5</v>
      </c>
      <c r="D729" s="1">
        <v>43564</v>
      </c>
      <c r="E729" t="str">
        <f>"201903288165"</f>
        <v>201903288165</v>
      </c>
      <c r="F729" t="str">
        <f>"2017 R&amp;D TRAILER REG/GEN SVCS"</f>
        <v>2017 R&amp;D TRAILER REG/GEN SVCS</v>
      </c>
      <c r="G729" s="2">
        <v>7.5</v>
      </c>
      <c r="H729" t="str">
        <f>"2017 R&amp;D TRAILER REG/GEN SVCS"</f>
        <v>2017 R&amp;D TRAILER REG/GEN SVCS</v>
      </c>
    </row>
    <row r="730" spans="1:8" x14ac:dyDescent="0.25">
      <c r="A730" t="s">
        <v>225</v>
      </c>
      <c r="B730" s="3">
        <v>722</v>
      </c>
      <c r="C730" s="2">
        <v>891</v>
      </c>
      <c r="D730" s="1">
        <v>43578</v>
      </c>
      <c r="E730" t="str">
        <f>"201904108577"</f>
        <v>201904108577</v>
      </c>
      <c r="F730" t="str">
        <f>"REFUND-ORDER TO VOID TAX SALE"</f>
        <v>REFUND-ORDER TO VOID TAX SALE</v>
      </c>
      <c r="G730" s="2">
        <v>876</v>
      </c>
      <c r="H730" t="str">
        <f t="shared" ref="H730:H741" si="11">"REFUND-ORDER TO VOID TAX SALE"</f>
        <v>REFUND-ORDER TO VOID TAX SALE</v>
      </c>
    </row>
    <row r="731" spans="1:8" x14ac:dyDescent="0.25">
      <c r="E731" t="str">
        <f>""</f>
        <v/>
      </c>
      <c r="F731" t="str">
        <f>""</f>
        <v/>
      </c>
      <c r="H731" t="str">
        <f t="shared" si="11"/>
        <v>REFUND-ORDER TO VOID TAX SALE</v>
      </c>
    </row>
    <row r="732" spans="1:8" x14ac:dyDescent="0.25">
      <c r="E732" t="str">
        <f>""</f>
        <v/>
      </c>
      <c r="F732" t="str">
        <f>""</f>
        <v/>
      </c>
      <c r="H732" t="str">
        <f t="shared" si="11"/>
        <v>REFUND-ORDER TO VOID TAX SALE</v>
      </c>
    </row>
    <row r="733" spans="1:8" x14ac:dyDescent="0.25">
      <c r="E733" t="str">
        <f>""</f>
        <v/>
      </c>
      <c r="F733" t="str">
        <f>""</f>
        <v/>
      </c>
      <c r="H733" t="str">
        <f t="shared" si="11"/>
        <v>REFUND-ORDER TO VOID TAX SALE</v>
      </c>
    </row>
    <row r="734" spans="1:8" x14ac:dyDescent="0.25">
      <c r="E734" t="str">
        <f>""</f>
        <v/>
      </c>
      <c r="F734" t="str">
        <f>""</f>
        <v/>
      </c>
      <c r="H734" t="str">
        <f t="shared" si="11"/>
        <v>REFUND-ORDER TO VOID TAX SALE</v>
      </c>
    </row>
    <row r="735" spans="1:8" x14ac:dyDescent="0.25">
      <c r="E735" t="str">
        <f>""</f>
        <v/>
      </c>
      <c r="F735" t="str">
        <f>""</f>
        <v/>
      </c>
      <c r="H735" t="str">
        <f t="shared" si="11"/>
        <v>REFUND-ORDER TO VOID TAX SALE</v>
      </c>
    </row>
    <row r="736" spans="1:8" x14ac:dyDescent="0.25">
      <c r="E736" t="str">
        <f>""</f>
        <v/>
      </c>
      <c r="F736" t="str">
        <f>""</f>
        <v/>
      </c>
      <c r="H736" t="str">
        <f t="shared" si="11"/>
        <v>REFUND-ORDER TO VOID TAX SALE</v>
      </c>
    </row>
    <row r="737" spans="1:8" x14ac:dyDescent="0.25">
      <c r="E737" t="str">
        <f>""</f>
        <v/>
      </c>
      <c r="F737" t="str">
        <f>""</f>
        <v/>
      </c>
      <c r="H737" t="str">
        <f t="shared" si="11"/>
        <v>REFUND-ORDER TO VOID TAX SALE</v>
      </c>
    </row>
    <row r="738" spans="1:8" x14ac:dyDescent="0.25">
      <c r="E738" t="str">
        <f>""</f>
        <v/>
      </c>
      <c r="F738" t="str">
        <f>""</f>
        <v/>
      </c>
      <c r="H738" t="str">
        <f t="shared" si="11"/>
        <v>REFUND-ORDER TO VOID TAX SALE</v>
      </c>
    </row>
    <row r="739" spans="1:8" x14ac:dyDescent="0.25">
      <c r="E739" t="str">
        <f>""</f>
        <v/>
      </c>
      <c r="F739" t="str">
        <f>""</f>
        <v/>
      </c>
      <c r="H739" t="str">
        <f t="shared" si="11"/>
        <v>REFUND-ORDER TO VOID TAX SALE</v>
      </c>
    </row>
    <row r="740" spans="1:8" x14ac:dyDescent="0.25">
      <c r="E740" t="str">
        <f>""</f>
        <v/>
      </c>
      <c r="F740" t="str">
        <f>""</f>
        <v/>
      </c>
      <c r="H740" t="str">
        <f t="shared" si="11"/>
        <v>REFUND-ORDER TO VOID TAX SALE</v>
      </c>
    </row>
    <row r="741" spans="1:8" x14ac:dyDescent="0.25">
      <c r="E741" t="str">
        <f>""</f>
        <v/>
      </c>
      <c r="F741" t="str">
        <f>""</f>
        <v/>
      </c>
      <c r="H741" t="str">
        <f t="shared" si="11"/>
        <v>REFUND-ORDER TO VOID TAX SALE</v>
      </c>
    </row>
    <row r="742" spans="1:8" x14ac:dyDescent="0.25">
      <c r="E742" t="str">
        <f>"201904118580"</f>
        <v>201904118580</v>
      </c>
      <c r="F742" t="str">
        <f>"2015 FORD PK REGISTRATION"</f>
        <v>2015 FORD PK REGISTRATION</v>
      </c>
      <c r="G742" s="2">
        <v>7.5</v>
      </c>
      <c r="H742" t="str">
        <f>"2015 FORD PK REGISTRATION"</f>
        <v>2015 FORD PK REGISTRATION</v>
      </c>
    </row>
    <row r="743" spans="1:8" x14ac:dyDescent="0.25">
      <c r="E743" t="str">
        <f>"201904158606"</f>
        <v>201904158606</v>
      </c>
      <c r="F743" t="str">
        <f>"VEHICLE REGISTRATIONS/ANIMAL C"</f>
        <v>VEHICLE REGISTRATIONS/ANIMAL C</v>
      </c>
      <c r="G743" s="2">
        <v>7.5</v>
      </c>
      <c r="H743" t="str">
        <f>"VEHICLE REGISTRATIONS/ANIMAL C"</f>
        <v>VEHICLE REGISTRATIONS/ANIMAL C</v>
      </c>
    </row>
    <row r="744" spans="1:8" x14ac:dyDescent="0.25">
      <c r="A744" t="s">
        <v>226</v>
      </c>
      <c r="B744" s="3">
        <v>81734</v>
      </c>
      <c r="C744" s="2">
        <v>174</v>
      </c>
      <c r="D744" s="1">
        <v>43563</v>
      </c>
      <c r="E744" t="str">
        <f>"201904018178"</f>
        <v>201904018178</v>
      </c>
      <c r="F744" t="str">
        <f>"MILEAGE REIMBURSEMENT"</f>
        <v>MILEAGE REIMBURSEMENT</v>
      </c>
      <c r="G744" s="2">
        <v>174</v>
      </c>
      <c r="H744" t="str">
        <f>"MILEAGE REIMBURSEMENT"</f>
        <v>MILEAGE REIMBURSEMENT</v>
      </c>
    </row>
    <row r="745" spans="1:8" x14ac:dyDescent="0.25">
      <c r="A745" t="s">
        <v>227</v>
      </c>
      <c r="B745" s="3">
        <v>648</v>
      </c>
      <c r="C745" s="2">
        <v>12128.17</v>
      </c>
      <c r="D745" s="1">
        <v>43564</v>
      </c>
      <c r="E745" t="str">
        <f>"201904028319"</f>
        <v>201904028319</v>
      </c>
      <c r="F745" t="str">
        <f>"GRANT REIMBURSEMENT"</f>
        <v>GRANT REIMBURSEMENT</v>
      </c>
      <c r="G745" s="2">
        <v>12128.17</v>
      </c>
      <c r="H745" t="str">
        <f>"GRANT REIMBURSEMENT"</f>
        <v>GRANT REIMBURSEMENT</v>
      </c>
    </row>
    <row r="746" spans="1:8" x14ac:dyDescent="0.25">
      <c r="A746" t="s">
        <v>227</v>
      </c>
      <c r="B746" s="3">
        <v>703</v>
      </c>
      <c r="C746" s="2">
        <v>1374.21</v>
      </c>
      <c r="D746" s="1">
        <v>43578</v>
      </c>
      <c r="E746" t="str">
        <f>"201904158672"</f>
        <v>201904158672</v>
      </c>
      <c r="F746" t="str">
        <f>"INDIGENT HEALTH"</f>
        <v>INDIGENT HEALTH</v>
      </c>
      <c r="G746" s="2">
        <v>1374.21</v>
      </c>
      <c r="H746" t="str">
        <f>"INDIGENT HEALTH"</f>
        <v>INDIGENT HEALTH</v>
      </c>
    </row>
    <row r="747" spans="1:8" x14ac:dyDescent="0.25">
      <c r="E747" t="str">
        <f>""</f>
        <v/>
      </c>
      <c r="F747" t="str">
        <f>""</f>
        <v/>
      </c>
      <c r="H747" t="str">
        <f>"INDIGENT HEALTH"</f>
        <v>INDIGENT HEALTH</v>
      </c>
    </row>
    <row r="748" spans="1:8" x14ac:dyDescent="0.25">
      <c r="E748" t="str">
        <f>""</f>
        <v/>
      </c>
      <c r="F748" t="str">
        <f>""</f>
        <v/>
      </c>
      <c r="H748" t="str">
        <f>"INDIGENT HEALTH"</f>
        <v>INDIGENT HEALTH</v>
      </c>
    </row>
    <row r="749" spans="1:8" x14ac:dyDescent="0.25">
      <c r="A749" t="s">
        <v>228</v>
      </c>
      <c r="B749" s="3">
        <v>701</v>
      </c>
      <c r="C749" s="2">
        <v>310</v>
      </c>
      <c r="D749" s="1">
        <v>43578</v>
      </c>
      <c r="E749" t="str">
        <f>"GL-2010-E-250-BC"</f>
        <v>GL-2010-E-250-BC</v>
      </c>
      <c r="F749" t="str">
        <f>"INV GL-2010-E-250-BC"</f>
        <v>INV GL-2010-E-250-BC</v>
      </c>
      <c r="G749" s="2">
        <v>310</v>
      </c>
      <c r="H749" t="str">
        <f>"INV GL-2010-E-250-BC"</f>
        <v>INV GL-2010-E-250-BC</v>
      </c>
    </row>
    <row r="750" spans="1:8" x14ac:dyDescent="0.25">
      <c r="A750" t="s">
        <v>229</v>
      </c>
      <c r="B750" s="3">
        <v>81928</v>
      </c>
      <c r="C750" s="2">
        <v>105.4</v>
      </c>
      <c r="D750" s="1">
        <v>43577</v>
      </c>
      <c r="E750" t="str">
        <f>"201904158673"</f>
        <v>201904158673</v>
      </c>
      <c r="F750" t="str">
        <f>"INDIGENT HEALTH"</f>
        <v>INDIGENT HEALTH</v>
      </c>
      <c r="G750" s="2">
        <v>105.4</v>
      </c>
      <c r="H750" t="str">
        <f>"INDIGENT HEALTH"</f>
        <v>INDIGENT HEALTH</v>
      </c>
    </row>
    <row r="751" spans="1:8" x14ac:dyDescent="0.25">
      <c r="A751" t="s">
        <v>230</v>
      </c>
      <c r="B751" s="3">
        <v>81735</v>
      </c>
      <c r="C751" s="2">
        <v>12960</v>
      </c>
      <c r="D751" s="1">
        <v>43563</v>
      </c>
      <c r="E751" t="str">
        <f>"095324-BALANCE"</f>
        <v>095324-BALANCE</v>
      </c>
      <c r="F751" t="str">
        <f>"inv# 095324"</f>
        <v>inv# 095324</v>
      </c>
      <c r="G751" s="2">
        <v>12960</v>
      </c>
      <c r="H751" t="str">
        <f>"inv# 095324"</f>
        <v>inv# 095324</v>
      </c>
    </row>
    <row r="752" spans="1:8" x14ac:dyDescent="0.25">
      <c r="A752" t="s">
        <v>231</v>
      </c>
      <c r="B752" s="3">
        <v>650</v>
      </c>
      <c r="C752" s="2">
        <v>734.5</v>
      </c>
      <c r="D752" s="1">
        <v>43564</v>
      </c>
      <c r="E752" t="str">
        <f>"201904028306"</f>
        <v>201904028306</v>
      </c>
      <c r="F752" t="str">
        <f>"TRASH REMOVAL 03/25-03/29/P4"</f>
        <v>TRASH REMOVAL 03/25-03/29/P4</v>
      </c>
      <c r="G752" s="2">
        <v>416</v>
      </c>
      <c r="H752" t="str">
        <f>"TRASH REMOVAL 03/25-03/29/P4"</f>
        <v>TRASH REMOVAL 03/25-03/29/P4</v>
      </c>
    </row>
    <row r="753" spans="1:8" x14ac:dyDescent="0.25">
      <c r="E753" t="str">
        <f>"201904028307"</f>
        <v>201904028307</v>
      </c>
      <c r="F753" t="str">
        <f>"TRASH REMOVAL 04/01-04/05/P4"</f>
        <v>TRASH REMOVAL 04/01-04/05/P4</v>
      </c>
      <c r="G753" s="2">
        <v>318.5</v>
      </c>
      <c r="H753" t="str">
        <f>"TRASH REMOVAL 04/01-04/05/P4"</f>
        <v>TRASH REMOVAL 04/01-04/05/P4</v>
      </c>
    </row>
    <row r="754" spans="1:8" x14ac:dyDescent="0.25">
      <c r="A754" t="s">
        <v>231</v>
      </c>
      <c r="B754" s="3">
        <v>708</v>
      </c>
      <c r="C754" s="2">
        <v>689</v>
      </c>
      <c r="D754" s="1">
        <v>43578</v>
      </c>
      <c r="E754" t="str">
        <f>"201904158620"</f>
        <v>201904158620</v>
      </c>
      <c r="F754" t="str">
        <f>"TRASH REMOVAL 04/08-04/19/P4"</f>
        <v>TRASH REMOVAL 04/08-04/19/P4</v>
      </c>
      <c r="G754" s="2">
        <v>689</v>
      </c>
      <c r="H754" t="str">
        <f>"TRASH REMOVAL 04/08-04/19/P4"</f>
        <v>TRASH REMOVAL 04/08-04/19/P4</v>
      </c>
    </row>
    <row r="755" spans="1:8" x14ac:dyDescent="0.25">
      <c r="A755" t="s">
        <v>232</v>
      </c>
      <c r="B755" s="3">
        <v>81929</v>
      </c>
      <c r="C755" s="2">
        <v>615.32000000000005</v>
      </c>
      <c r="D755" s="1">
        <v>43577</v>
      </c>
      <c r="E755" t="str">
        <f>"201904128604"</f>
        <v>201904128604</v>
      </c>
      <c r="F755" t="str">
        <f>"Acct# 99006938692"</f>
        <v>Acct# 99006938692</v>
      </c>
      <c r="G755" s="2">
        <v>615.32000000000005</v>
      </c>
      <c r="H755" t="str">
        <f>"Inv# 914424"</f>
        <v>Inv# 914424</v>
      </c>
    </row>
    <row r="756" spans="1:8" x14ac:dyDescent="0.25">
      <c r="E756" t="str">
        <f>""</f>
        <v/>
      </c>
      <c r="F756" t="str">
        <f>""</f>
        <v/>
      </c>
      <c r="H756" t="str">
        <f>"Inv# 911043"</f>
        <v>Inv# 911043</v>
      </c>
    </row>
    <row r="757" spans="1:8" x14ac:dyDescent="0.25">
      <c r="E757" t="str">
        <f>""</f>
        <v/>
      </c>
      <c r="F757" t="str">
        <f>""</f>
        <v/>
      </c>
      <c r="H757" t="str">
        <f>"Inv# 914853"</f>
        <v>Inv# 914853</v>
      </c>
    </row>
    <row r="758" spans="1:8" x14ac:dyDescent="0.25">
      <c r="E758" t="str">
        <f>""</f>
        <v/>
      </c>
      <c r="F758" t="str">
        <f>""</f>
        <v/>
      </c>
      <c r="H758" t="str">
        <f>"Inv# 912508"</f>
        <v>Inv# 912508</v>
      </c>
    </row>
    <row r="759" spans="1:8" x14ac:dyDescent="0.25">
      <c r="E759" t="str">
        <f>""</f>
        <v/>
      </c>
      <c r="F759" t="str">
        <f>""</f>
        <v/>
      </c>
      <c r="H759" t="str">
        <f>"Inv# 910248"</f>
        <v>Inv# 910248</v>
      </c>
    </row>
    <row r="760" spans="1:8" x14ac:dyDescent="0.25">
      <c r="E760" t="str">
        <f>""</f>
        <v/>
      </c>
      <c r="F760" t="str">
        <f>""</f>
        <v/>
      </c>
      <c r="H760" t="str">
        <f>"Inv# 912949"</f>
        <v>Inv# 912949</v>
      </c>
    </row>
    <row r="761" spans="1:8" x14ac:dyDescent="0.25">
      <c r="E761" t="str">
        <f>""</f>
        <v/>
      </c>
      <c r="F761" t="str">
        <f>""</f>
        <v/>
      </c>
      <c r="H761" t="str">
        <f>"Inv# 913779"</f>
        <v>Inv# 913779</v>
      </c>
    </row>
    <row r="762" spans="1:8" x14ac:dyDescent="0.25">
      <c r="E762" t="str">
        <f>""</f>
        <v/>
      </c>
      <c r="F762" t="str">
        <f>""</f>
        <v/>
      </c>
      <c r="H762" t="str">
        <f>"Inv# 913870"</f>
        <v>Inv# 913870</v>
      </c>
    </row>
    <row r="763" spans="1:8" x14ac:dyDescent="0.25">
      <c r="E763" t="str">
        <f>""</f>
        <v/>
      </c>
      <c r="F763" t="str">
        <f>""</f>
        <v/>
      </c>
      <c r="H763" t="str">
        <f>"Inv# 912888"</f>
        <v>Inv# 912888</v>
      </c>
    </row>
    <row r="764" spans="1:8" x14ac:dyDescent="0.25">
      <c r="E764" t="str">
        <f>""</f>
        <v/>
      </c>
      <c r="F764" t="str">
        <f>""</f>
        <v/>
      </c>
      <c r="H764" t="str">
        <f>"Inv# 914835"</f>
        <v>Inv# 914835</v>
      </c>
    </row>
    <row r="765" spans="1:8" x14ac:dyDescent="0.25">
      <c r="E765" t="str">
        <f>""</f>
        <v/>
      </c>
      <c r="F765" t="str">
        <f>""</f>
        <v/>
      </c>
      <c r="H765" t="str">
        <f>"Inv# 914663"</f>
        <v>Inv# 914663</v>
      </c>
    </row>
    <row r="766" spans="1:8" x14ac:dyDescent="0.25">
      <c r="E766" t="str">
        <f>""</f>
        <v/>
      </c>
      <c r="F766" t="str">
        <f>""</f>
        <v/>
      </c>
      <c r="H766" t="str">
        <f>"Inv# 914920"</f>
        <v>Inv# 914920</v>
      </c>
    </row>
    <row r="767" spans="1:8" x14ac:dyDescent="0.25">
      <c r="E767" t="str">
        <f>""</f>
        <v/>
      </c>
      <c r="F767" t="str">
        <f>""</f>
        <v/>
      </c>
      <c r="H767" t="str">
        <f>"Inv# 914923"</f>
        <v>Inv# 914923</v>
      </c>
    </row>
    <row r="768" spans="1:8" x14ac:dyDescent="0.25">
      <c r="E768" t="str">
        <f>""</f>
        <v/>
      </c>
      <c r="F768" t="str">
        <f>""</f>
        <v/>
      </c>
      <c r="H768" t="str">
        <f>"Inv# 910434"</f>
        <v>Inv# 910434</v>
      </c>
    </row>
    <row r="769" spans="1:8" x14ac:dyDescent="0.25">
      <c r="A769" t="s">
        <v>233</v>
      </c>
      <c r="B769" s="3">
        <v>663</v>
      </c>
      <c r="C769" s="2">
        <v>475</v>
      </c>
      <c r="D769" s="1">
        <v>43564</v>
      </c>
      <c r="E769" t="str">
        <f>"089165"</f>
        <v>089165</v>
      </c>
      <c r="F769" t="str">
        <f>"Property of Labels"</f>
        <v>Property of Labels</v>
      </c>
      <c r="G769" s="2">
        <v>475</v>
      </c>
      <c r="H769" t="str">
        <f>"2500 Labels"</f>
        <v>2500 Labels</v>
      </c>
    </row>
    <row r="770" spans="1:8" x14ac:dyDescent="0.25">
      <c r="A770" t="s">
        <v>234</v>
      </c>
      <c r="B770" s="3">
        <v>81930</v>
      </c>
      <c r="C770" s="2">
        <v>60</v>
      </c>
      <c r="D770" s="1">
        <v>43577</v>
      </c>
      <c r="E770" t="str">
        <f>"201904158708"</f>
        <v>201904158708</v>
      </c>
      <c r="F770" t="str">
        <f>"FERAL HOGS"</f>
        <v>FERAL HOGS</v>
      </c>
      <c r="G770" s="2">
        <v>45</v>
      </c>
      <c r="H770" t="str">
        <f>"FERAL HOGS"</f>
        <v>FERAL HOGS</v>
      </c>
    </row>
    <row r="771" spans="1:8" x14ac:dyDescent="0.25">
      <c r="E771" t="str">
        <f>"201904158709"</f>
        <v>201904158709</v>
      </c>
      <c r="F771" t="str">
        <f>"FERAL HOGS"</f>
        <v>FERAL HOGS</v>
      </c>
      <c r="G771" s="2">
        <v>15</v>
      </c>
      <c r="H771" t="str">
        <f>"FERAL HOGS"</f>
        <v>FERAL HOGS</v>
      </c>
    </row>
    <row r="772" spans="1:8" x14ac:dyDescent="0.25">
      <c r="A772" t="s">
        <v>235</v>
      </c>
      <c r="B772" s="3">
        <v>81931</v>
      </c>
      <c r="C772" s="2">
        <v>347.56</v>
      </c>
      <c r="D772" s="1">
        <v>43577</v>
      </c>
      <c r="E772" t="str">
        <f>"201904118582"</f>
        <v>201904118582</v>
      </c>
      <c r="F772" t="str">
        <f>"CRIMINAL COURT 040319"</f>
        <v>CRIMINAL COURT 040319</v>
      </c>
      <c r="G772" s="2">
        <v>347.56</v>
      </c>
      <c r="H772" t="str">
        <f>"CRIMINAL COURT 040319"</f>
        <v>CRIMINAL COURT 040319</v>
      </c>
    </row>
    <row r="773" spans="1:8" x14ac:dyDescent="0.25">
      <c r="A773" t="s">
        <v>236</v>
      </c>
      <c r="B773" s="3">
        <v>81736</v>
      </c>
      <c r="C773" s="2">
        <v>174</v>
      </c>
      <c r="D773" s="1">
        <v>43563</v>
      </c>
      <c r="E773" t="str">
        <f>"201904018179"</f>
        <v>201904018179</v>
      </c>
      <c r="F773" t="str">
        <f>"MILEAGE REIMBURSEMENT"</f>
        <v>MILEAGE REIMBURSEMENT</v>
      </c>
      <c r="G773" s="2">
        <v>174</v>
      </c>
      <c r="H773" t="str">
        <f>"MILEAGE REIMBURSEMENT"</f>
        <v>MILEAGE REIMBURSEMENT</v>
      </c>
    </row>
    <row r="774" spans="1:8" x14ac:dyDescent="0.25">
      <c r="A774" t="s">
        <v>237</v>
      </c>
      <c r="B774" s="3">
        <v>81932</v>
      </c>
      <c r="C774" s="2">
        <v>3875</v>
      </c>
      <c r="D774" s="1">
        <v>43577</v>
      </c>
      <c r="E774" t="str">
        <f>"156"</f>
        <v>156</v>
      </c>
      <c r="F774" t="str">
        <f>"IT SERVICES"</f>
        <v>IT SERVICES</v>
      </c>
      <c r="G774" s="2">
        <v>3875</v>
      </c>
      <c r="H774" t="str">
        <f>"IT SERVICES"</f>
        <v>IT SERVICES</v>
      </c>
    </row>
    <row r="775" spans="1:8" x14ac:dyDescent="0.25">
      <c r="A775" t="s">
        <v>238</v>
      </c>
      <c r="B775" s="3">
        <v>81737</v>
      </c>
      <c r="C775" s="2">
        <v>70</v>
      </c>
      <c r="D775" s="1">
        <v>43563</v>
      </c>
      <c r="E775" t="str">
        <f>"201903288163"</f>
        <v>201903288163</v>
      </c>
      <c r="F775" t="str">
        <f>"PER DIEM"</f>
        <v>PER DIEM</v>
      </c>
      <c r="G775" s="2">
        <v>70</v>
      </c>
      <c r="H775" t="str">
        <f>"PER DIEM"</f>
        <v>PER DIEM</v>
      </c>
    </row>
    <row r="776" spans="1:8" x14ac:dyDescent="0.25">
      <c r="A776" t="s">
        <v>239</v>
      </c>
      <c r="B776" s="3">
        <v>81933</v>
      </c>
      <c r="C776" s="2">
        <v>436.5</v>
      </c>
      <c r="D776" s="1">
        <v>43577</v>
      </c>
      <c r="E776" t="str">
        <f>"201904158674"</f>
        <v>201904158674</v>
      </c>
      <c r="F776" t="str">
        <f>"INDIGENT HEALTH"</f>
        <v>INDIGENT HEALTH</v>
      </c>
      <c r="G776" s="2">
        <v>436.5</v>
      </c>
      <c r="H776" t="str">
        <f>"INDIGENT HEALTH"</f>
        <v>INDIGENT HEALTH</v>
      </c>
    </row>
    <row r="777" spans="1:8" x14ac:dyDescent="0.25">
      <c r="A777" t="s">
        <v>240</v>
      </c>
      <c r="B777" s="3">
        <v>81738</v>
      </c>
      <c r="C777" s="2">
        <v>858.2</v>
      </c>
      <c r="D777" s="1">
        <v>43563</v>
      </c>
      <c r="E777" t="str">
        <f>"INV001785233"</f>
        <v>INV001785233</v>
      </c>
      <c r="F777" t="str">
        <f>"Sloan Urinal Modules"</f>
        <v>Sloan Urinal Modules</v>
      </c>
      <c r="G777" s="2">
        <v>858.2</v>
      </c>
      <c r="H777" t="str">
        <f>"Part# 06053"</f>
        <v>Part# 06053</v>
      </c>
    </row>
    <row r="778" spans="1:8" x14ac:dyDescent="0.25">
      <c r="A778" t="s">
        <v>241</v>
      </c>
      <c r="B778" s="3">
        <v>646</v>
      </c>
      <c r="C778" s="2">
        <v>2768.75</v>
      </c>
      <c r="D778" s="1">
        <v>43564</v>
      </c>
      <c r="E778" t="str">
        <f>"18-18905"</f>
        <v>18-18905</v>
      </c>
      <c r="F778" t="str">
        <f>"ATTORNEY AD LITEM FEE"</f>
        <v>ATTORNEY AD LITEM FEE</v>
      </c>
      <c r="G778" s="2">
        <v>1312.5</v>
      </c>
      <c r="H778" t="str">
        <f>"ATTORNEY AD LITEM FEE"</f>
        <v>ATTORNEY AD LITEM FEE</v>
      </c>
    </row>
    <row r="779" spans="1:8" x14ac:dyDescent="0.25">
      <c r="E779" t="str">
        <f>"201904018212"</f>
        <v>201904018212</v>
      </c>
      <c r="F779" t="str">
        <f>"55 144"</f>
        <v>55 144</v>
      </c>
      <c r="G779" s="2">
        <v>250</v>
      </c>
      <c r="H779" t="str">
        <f>"55 144"</f>
        <v>55 144</v>
      </c>
    </row>
    <row r="780" spans="1:8" x14ac:dyDescent="0.25">
      <c r="E780" t="str">
        <f>"201904018216"</f>
        <v>201904018216</v>
      </c>
      <c r="F780" t="str">
        <f>"56 625"</f>
        <v>56 625</v>
      </c>
      <c r="G780" s="2">
        <v>250</v>
      </c>
      <c r="H780" t="str">
        <f>"56 625"</f>
        <v>56 625</v>
      </c>
    </row>
    <row r="781" spans="1:8" x14ac:dyDescent="0.25">
      <c r="E781" t="str">
        <f>"201904028287"</f>
        <v>201904028287</v>
      </c>
      <c r="F781" t="str">
        <f>"4112181/925-351-1818-19001/18S"</f>
        <v>4112181/925-351-1818-19001/18S</v>
      </c>
      <c r="G781" s="2">
        <v>100</v>
      </c>
      <c r="H781" t="str">
        <f>"4112181/925-351-1818-19001/18S"</f>
        <v>4112181/925-351-1818-19001/18S</v>
      </c>
    </row>
    <row r="782" spans="1:8" x14ac:dyDescent="0.25">
      <c r="E782" t="str">
        <f>"201904038382"</f>
        <v>201904038382</v>
      </c>
      <c r="F782" t="str">
        <f>"18-18960"</f>
        <v>18-18960</v>
      </c>
      <c r="G782" s="2">
        <v>456.25</v>
      </c>
      <c r="H782" t="str">
        <f>"18-18960"</f>
        <v>18-18960</v>
      </c>
    </row>
    <row r="783" spans="1:8" x14ac:dyDescent="0.25">
      <c r="E783" t="str">
        <f>"201904038383"</f>
        <v>201904038383</v>
      </c>
      <c r="F783" t="str">
        <f>"G-303"</f>
        <v>G-303</v>
      </c>
      <c r="G783" s="2">
        <v>100</v>
      </c>
      <c r="H783" t="str">
        <f>"G-303"</f>
        <v>G-303</v>
      </c>
    </row>
    <row r="784" spans="1:8" x14ac:dyDescent="0.25">
      <c r="E784" t="str">
        <f>"201904038397"</f>
        <v>201904038397</v>
      </c>
      <c r="F784" t="str">
        <f>"18-19155"</f>
        <v>18-19155</v>
      </c>
      <c r="G784" s="2">
        <v>100</v>
      </c>
      <c r="H784" t="str">
        <f>"18-19155"</f>
        <v>18-19155</v>
      </c>
    </row>
    <row r="785" spans="1:8" x14ac:dyDescent="0.25">
      <c r="E785" t="str">
        <f>"201904038398"</f>
        <v>201904038398</v>
      </c>
      <c r="F785" t="str">
        <f>"18-18997"</f>
        <v>18-18997</v>
      </c>
      <c r="G785" s="2">
        <v>100</v>
      </c>
      <c r="H785" t="str">
        <f>"18-18997"</f>
        <v>18-18997</v>
      </c>
    </row>
    <row r="786" spans="1:8" x14ac:dyDescent="0.25">
      <c r="E786" t="str">
        <f>"201904038424"</f>
        <v>201904038424</v>
      </c>
      <c r="F786" t="str">
        <f>"18-18960"</f>
        <v>18-18960</v>
      </c>
      <c r="G786" s="2">
        <v>100</v>
      </c>
      <c r="H786" t="str">
        <f>"18-18960"</f>
        <v>18-18960</v>
      </c>
    </row>
    <row r="787" spans="1:8" x14ac:dyDescent="0.25">
      <c r="A787" t="s">
        <v>242</v>
      </c>
      <c r="B787" s="3">
        <v>81934</v>
      </c>
      <c r="C787" s="2">
        <v>877.39</v>
      </c>
      <c r="D787" s="1">
        <v>43577</v>
      </c>
      <c r="E787" t="str">
        <f>"19435608"</f>
        <v>19435608</v>
      </c>
      <c r="F787" t="str">
        <f>"ACCT#41472/PCT#1"</f>
        <v>ACCT#41472/PCT#1</v>
      </c>
      <c r="G787" s="2">
        <v>23.73</v>
      </c>
      <c r="H787" t="str">
        <f>"ACCT#41472/PCT#1"</f>
        <v>ACCT#41472/PCT#1</v>
      </c>
    </row>
    <row r="788" spans="1:8" x14ac:dyDescent="0.25">
      <c r="E788" t="str">
        <f>"19435696"</f>
        <v>19435696</v>
      </c>
      <c r="F788" t="str">
        <f>"ACCT#45057/PCT#4"</f>
        <v>ACCT#45057/PCT#4</v>
      </c>
      <c r="G788" s="2">
        <v>42.73</v>
      </c>
      <c r="H788" t="str">
        <f>"ACCT#45057/PCT#4"</f>
        <v>ACCT#45057/PCT#4</v>
      </c>
    </row>
    <row r="789" spans="1:8" x14ac:dyDescent="0.25">
      <c r="E789" t="str">
        <f>"19435756"</f>
        <v>19435756</v>
      </c>
      <c r="F789" t="str">
        <f>"INV 19435756"</f>
        <v>INV 19435756</v>
      </c>
      <c r="G789" s="2">
        <v>52.22</v>
      </c>
      <c r="H789" t="str">
        <f>"INV 19435756"</f>
        <v>INV 19435756</v>
      </c>
    </row>
    <row r="790" spans="1:8" x14ac:dyDescent="0.25">
      <c r="E790" t="str">
        <f>"19443541"</f>
        <v>19443541</v>
      </c>
      <c r="F790" t="str">
        <f>"ACCT#S9549/PCT#1"</f>
        <v>ACCT#S9549/PCT#1</v>
      </c>
      <c r="G790" s="2">
        <v>120</v>
      </c>
      <c r="H790" t="str">
        <f>"ACCT#S9549/PCT#1"</f>
        <v>ACCT#S9549/PCT#1</v>
      </c>
    </row>
    <row r="791" spans="1:8" x14ac:dyDescent="0.25">
      <c r="E791" t="str">
        <f>"19457853"</f>
        <v>19457853</v>
      </c>
      <c r="F791" t="str">
        <f>"ACCT#S9547//ORD#19845485-00"</f>
        <v>ACCT#S9547//ORD#19845485-00</v>
      </c>
      <c r="G791" s="2">
        <v>638.71</v>
      </c>
      <c r="H791" t="str">
        <f>"ACCT#S9547//ORD#19845485-00"</f>
        <v>ACCT#S9547//ORD#19845485-00</v>
      </c>
    </row>
    <row r="792" spans="1:8" x14ac:dyDescent="0.25">
      <c r="A792" t="s">
        <v>243</v>
      </c>
      <c r="B792" s="3">
        <v>81739</v>
      </c>
      <c r="C792" s="2">
        <v>151.25</v>
      </c>
      <c r="D792" s="1">
        <v>43563</v>
      </c>
      <c r="E792" t="str">
        <f>"201904038362"</f>
        <v>201904038362</v>
      </c>
      <c r="F792" t="str">
        <f>"REIMBURSEMENT FOR TCOLE"</f>
        <v>REIMBURSEMENT FOR TCOLE</v>
      </c>
      <c r="G792" s="2">
        <v>151.25</v>
      </c>
      <c r="H792" t="str">
        <f>"REIMBURSEMENT FOR TCOLE"</f>
        <v>REIMBURSEMENT FOR TCOLE</v>
      </c>
    </row>
    <row r="793" spans="1:8" x14ac:dyDescent="0.25">
      <c r="A793" t="s">
        <v>244</v>
      </c>
      <c r="B793" s="3">
        <v>664</v>
      </c>
      <c r="C793" s="2">
        <v>100.83</v>
      </c>
      <c r="D793" s="1">
        <v>43564</v>
      </c>
      <c r="E793" t="str">
        <f>"669503"</f>
        <v>669503</v>
      </c>
      <c r="F793" t="str">
        <f>"ACCT#0900-98011130-001/PCT#3"</f>
        <v>ACCT#0900-98011130-001/PCT#3</v>
      </c>
      <c r="G793" s="2">
        <v>42.98</v>
      </c>
      <c r="H793" t="str">
        <f>"ACCT#0900-98011130-001/PCT#3"</f>
        <v>ACCT#0900-98011130-001/PCT#3</v>
      </c>
    </row>
    <row r="794" spans="1:8" x14ac:dyDescent="0.25">
      <c r="E794" t="str">
        <f>"669710"</f>
        <v>669710</v>
      </c>
      <c r="F794" t="str">
        <f>"ACCT#0900-98011130-001/PCT#3"</f>
        <v>ACCT#0900-98011130-001/PCT#3</v>
      </c>
      <c r="G794" s="2">
        <v>6.87</v>
      </c>
      <c r="H794" t="str">
        <f>"ACCT#0900-98011130-001/PCT#3"</f>
        <v>ACCT#0900-98011130-001/PCT#3</v>
      </c>
    </row>
    <row r="795" spans="1:8" x14ac:dyDescent="0.25">
      <c r="E795" t="str">
        <f>"670244"</f>
        <v>670244</v>
      </c>
      <c r="F795" t="str">
        <f>"ACCT#900-98011130-001/PARTS"</f>
        <v>ACCT#900-98011130-001/PARTS</v>
      </c>
      <c r="G795" s="2">
        <v>50.98</v>
      </c>
      <c r="H795" t="str">
        <f>"ACCT#900-98011130-001/PARTS"</f>
        <v>ACCT#900-98011130-001/PARTS</v>
      </c>
    </row>
    <row r="796" spans="1:8" x14ac:dyDescent="0.25">
      <c r="A796" t="s">
        <v>244</v>
      </c>
      <c r="B796" s="3">
        <v>719</v>
      </c>
      <c r="C796" s="2">
        <v>123.42</v>
      </c>
      <c r="D796" s="1">
        <v>43578</v>
      </c>
      <c r="E796" t="str">
        <f>"670103"</f>
        <v>670103</v>
      </c>
      <c r="F796" t="str">
        <f>"ACCT#0900-98011130-001/GEN SVC"</f>
        <v>ACCT#0900-98011130-001/GEN SVC</v>
      </c>
      <c r="G796" s="2">
        <v>20.98</v>
      </c>
      <c r="H796" t="str">
        <f>"ACCT#0900-98011130-001/GEN SVC"</f>
        <v>ACCT#0900-98011130-001/GEN SVC</v>
      </c>
    </row>
    <row r="797" spans="1:8" x14ac:dyDescent="0.25">
      <c r="E797" t="str">
        <f>"670522"</f>
        <v>670522</v>
      </c>
      <c r="F797" t="str">
        <f>"ACCT#026384 026384/SIGN SHOP"</f>
        <v>ACCT#026384 026384/SIGN SHOP</v>
      </c>
      <c r="G797" s="2">
        <v>28.48</v>
      </c>
      <c r="H797" t="str">
        <f>"ACCT#026384 026384/SIGN SHOP"</f>
        <v>ACCT#026384 026384/SIGN SHOP</v>
      </c>
    </row>
    <row r="798" spans="1:8" x14ac:dyDescent="0.25">
      <c r="E798" t="str">
        <f>"670729"</f>
        <v>670729</v>
      </c>
      <c r="F798" t="str">
        <f>"ACCT#900-98011130-001/PCT#3"</f>
        <v>ACCT#900-98011130-001/PCT#3</v>
      </c>
      <c r="G798" s="2">
        <v>73.959999999999994</v>
      </c>
      <c r="H798" t="str">
        <f>"ACCT#900-98011130-001/PCT#3"</f>
        <v>ACCT#900-98011130-001/PCT#3</v>
      </c>
    </row>
    <row r="799" spans="1:8" x14ac:dyDescent="0.25">
      <c r="A799" t="s">
        <v>245</v>
      </c>
      <c r="B799" s="3">
        <v>81740</v>
      </c>
      <c r="C799" s="2">
        <v>1605.2</v>
      </c>
      <c r="D799" s="1">
        <v>43563</v>
      </c>
      <c r="E799" t="str">
        <f>"12010  02/05/19"</f>
        <v>12010  02/05/19</v>
      </c>
      <c r="F799" t="str">
        <f>"ABST FEE"</f>
        <v>ABST FEE</v>
      </c>
      <c r="G799" s="2">
        <v>51.2</v>
      </c>
      <c r="H799" t="str">
        <f>"ABST FEE"</f>
        <v>ABST FEE</v>
      </c>
    </row>
    <row r="800" spans="1:8" x14ac:dyDescent="0.25">
      <c r="E800" t="str">
        <f>"12567"</f>
        <v>12567</v>
      </c>
      <c r="F800" t="str">
        <f>"ABST FEE  02/08/19"</f>
        <v>ABST FEE  02/08/19</v>
      </c>
      <c r="G800" s="2">
        <v>175</v>
      </c>
      <c r="H800" t="str">
        <f>"ABST FEE  02/08/19"</f>
        <v>ABST FEE  02/08/19</v>
      </c>
    </row>
    <row r="801" spans="1:8" x14ac:dyDescent="0.25">
      <c r="E801" t="str">
        <f>"12807"</f>
        <v>12807</v>
      </c>
      <c r="F801" t="str">
        <f>"ABST FEE  02/04/19"</f>
        <v>ABST FEE  02/04/19</v>
      </c>
      <c r="G801" s="2">
        <v>225</v>
      </c>
      <c r="H801" t="str">
        <f>"ABST FEE  02/04/19"</f>
        <v>ABST FEE  02/04/19</v>
      </c>
    </row>
    <row r="802" spans="1:8" x14ac:dyDescent="0.25">
      <c r="E802" t="str">
        <f>"12982"</f>
        <v>12982</v>
      </c>
      <c r="F802" t="str">
        <f>"ABST FEE  02/13/19"</f>
        <v>ABST FEE  02/13/19</v>
      </c>
      <c r="G802" s="2">
        <v>225</v>
      </c>
      <c r="H802" t="str">
        <f>"ABST FEE"</f>
        <v>ABST FEE</v>
      </c>
    </row>
    <row r="803" spans="1:8" x14ac:dyDescent="0.25">
      <c r="E803" t="str">
        <f>"13002"</f>
        <v>13002</v>
      </c>
      <c r="F803" t="str">
        <f>"ABST FEE  02/12/19"</f>
        <v>ABST FEE  02/12/19</v>
      </c>
      <c r="G803" s="2">
        <v>225</v>
      </c>
      <c r="H803" t="str">
        <f>"ABST FEE  02/12/19"</f>
        <v>ABST FEE  02/12/19</v>
      </c>
    </row>
    <row r="804" spans="1:8" x14ac:dyDescent="0.25">
      <c r="E804" t="str">
        <f>"13015"</f>
        <v>13015</v>
      </c>
      <c r="F804" t="str">
        <f>"ABST FEE  02/11/19"</f>
        <v>ABST FEE  02/11/19</v>
      </c>
      <c r="G804" s="2">
        <v>225</v>
      </c>
      <c r="H804" t="str">
        <f>"ABST FEE  02/11/19"</f>
        <v>ABST FEE  02/11/19</v>
      </c>
    </row>
    <row r="805" spans="1:8" x14ac:dyDescent="0.25">
      <c r="E805" t="str">
        <f>"13098"</f>
        <v>13098</v>
      </c>
      <c r="F805" t="str">
        <f>"ABST FEE  02/13/19"</f>
        <v>ABST FEE  02/13/19</v>
      </c>
      <c r="G805" s="2">
        <v>225</v>
      </c>
      <c r="H805" t="str">
        <f>"ABST FEE  02/13/19"</f>
        <v>ABST FEE  02/13/19</v>
      </c>
    </row>
    <row r="806" spans="1:8" x14ac:dyDescent="0.25">
      <c r="E806" t="str">
        <f>"13125"</f>
        <v>13125</v>
      </c>
      <c r="F806" t="str">
        <f>"ABST FEE  02/04/19"</f>
        <v>ABST FEE  02/04/19</v>
      </c>
      <c r="G806" s="2">
        <v>24</v>
      </c>
      <c r="H806" t="str">
        <f>"ABST FEE  02/04/19"</f>
        <v>ABST FEE  02/04/19</v>
      </c>
    </row>
    <row r="807" spans="1:8" x14ac:dyDescent="0.25">
      <c r="E807" t="str">
        <f>"8296"</f>
        <v>8296</v>
      </c>
      <c r="F807" t="str">
        <f>"ABST FEE-$100/SERV-$130  02/11"</f>
        <v>ABST FEE-$100/SERV-$130  02/11</v>
      </c>
      <c r="G807" s="2">
        <v>230</v>
      </c>
      <c r="H807" t="str">
        <f>"ABST FEE-$100/SERV-$130  02/11"</f>
        <v>ABST FEE-$100/SERV-$130  02/11</v>
      </c>
    </row>
    <row r="808" spans="1:8" x14ac:dyDescent="0.25">
      <c r="A808" t="s">
        <v>245</v>
      </c>
      <c r="B808" s="3">
        <v>81935</v>
      </c>
      <c r="C808" s="2">
        <v>16628.27</v>
      </c>
      <c r="D808" s="1">
        <v>43577</v>
      </c>
      <c r="E808" t="str">
        <f>"201904098536"</f>
        <v>201904098536</v>
      </c>
      <c r="F808" t="str">
        <f>"COLLECTION OF DELINQUENT TAXES"</f>
        <v>COLLECTION OF DELINQUENT TAXES</v>
      </c>
      <c r="G808" s="2">
        <v>16628.27</v>
      </c>
      <c r="H808" t="str">
        <f>"COLLECTION OF DELINQUENT TAXES"</f>
        <v>COLLECTION OF DELINQUENT TAXES</v>
      </c>
    </row>
    <row r="809" spans="1:8" x14ac:dyDescent="0.25">
      <c r="A809" t="s">
        <v>246</v>
      </c>
      <c r="B809" s="3">
        <v>81741</v>
      </c>
      <c r="C809" s="2">
        <v>422.06</v>
      </c>
      <c r="D809" s="1">
        <v>43563</v>
      </c>
      <c r="E809" t="str">
        <f>"43004803 43011847"</f>
        <v>43004803 43011847</v>
      </c>
      <c r="F809" t="str">
        <f>"INV 43004803"</f>
        <v>INV 43004803</v>
      </c>
      <c r="G809" s="2">
        <v>422.06</v>
      </c>
      <c r="H809" t="str">
        <f>"INV 43004803"</f>
        <v>INV 43004803</v>
      </c>
    </row>
    <row r="810" spans="1:8" x14ac:dyDescent="0.25">
      <c r="E810" t="str">
        <f>""</f>
        <v/>
      </c>
      <c r="F810" t="str">
        <f>""</f>
        <v/>
      </c>
      <c r="H810" t="str">
        <f>"INV 43011847"</f>
        <v>INV 43011847</v>
      </c>
    </row>
    <row r="811" spans="1:8" x14ac:dyDescent="0.25">
      <c r="E811" t="str">
        <f>""</f>
        <v/>
      </c>
      <c r="F811" t="str">
        <f>""</f>
        <v/>
      </c>
      <c r="H811" t="str">
        <f>"INV 43630357"</f>
        <v>INV 43630357</v>
      </c>
    </row>
    <row r="812" spans="1:8" x14ac:dyDescent="0.25">
      <c r="E812" t="str">
        <f>""</f>
        <v/>
      </c>
      <c r="F812" t="str">
        <f>""</f>
        <v/>
      </c>
      <c r="H812" t="str">
        <f>"INV 44657700"</f>
        <v>INV 44657700</v>
      </c>
    </row>
    <row r="813" spans="1:8" x14ac:dyDescent="0.25">
      <c r="E813" t="str">
        <f>""</f>
        <v/>
      </c>
      <c r="F813" t="str">
        <f>""</f>
        <v/>
      </c>
      <c r="H813" t="str">
        <f>"INV 45702938"</f>
        <v>INV 45702938</v>
      </c>
    </row>
    <row r="814" spans="1:8" x14ac:dyDescent="0.25">
      <c r="E814" t="str">
        <f>""</f>
        <v/>
      </c>
      <c r="F814" t="str">
        <f>""</f>
        <v/>
      </c>
      <c r="H814" t="str">
        <f>"INV 49816784"</f>
        <v>INV 49816784</v>
      </c>
    </row>
    <row r="815" spans="1:8" x14ac:dyDescent="0.25">
      <c r="A815" t="s">
        <v>246</v>
      </c>
      <c r="B815" s="3">
        <v>81936</v>
      </c>
      <c r="C815" s="2">
        <v>671.3</v>
      </c>
      <c r="D815" s="1">
        <v>43577</v>
      </c>
      <c r="E815" t="str">
        <f>"50323854/50814608"</f>
        <v>50323854/50814608</v>
      </c>
      <c r="F815" t="str">
        <f>"INV 50323854"</f>
        <v>INV 50323854</v>
      </c>
      <c r="G815" s="2">
        <v>671.3</v>
      </c>
      <c r="H815" t="str">
        <f>"INV 50323854"</f>
        <v>INV 50323854</v>
      </c>
    </row>
    <row r="816" spans="1:8" x14ac:dyDescent="0.25">
      <c r="E816" t="str">
        <f>""</f>
        <v/>
      </c>
      <c r="F816" t="str">
        <f>""</f>
        <v/>
      </c>
      <c r="H816" t="str">
        <f>"INV 50814608"</f>
        <v>INV 50814608</v>
      </c>
    </row>
    <row r="817" spans="1:8" x14ac:dyDescent="0.25">
      <c r="A817" t="s">
        <v>247</v>
      </c>
      <c r="B817" s="3">
        <v>81937</v>
      </c>
      <c r="C817" s="2">
        <v>1380.66</v>
      </c>
      <c r="D817" s="1">
        <v>43577</v>
      </c>
      <c r="E817" t="str">
        <f>"201904158675"</f>
        <v>201904158675</v>
      </c>
      <c r="F817" t="str">
        <f>"INDIGENT HEALTH"</f>
        <v>INDIGENT HEALTH</v>
      </c>
      <c r="G817" s="2">
        <v>1380.66</v>
      </c>
      <c r="H817" t="str">
        <f>"INDIGENT HEALTH"</f>
        <v>INDIGENT HEALTH</v>
      </c>
    </row>
    <row r="818" spans="1:8" x14ac:dyDescent="0.25">
      <c r="E818" t="str">
        <f>""</f>
        <v/>
      </c>
      <c r="F818" t="str">
        <f>""</f>
        <v/>
      </c>
      <c r="H818" t="str">
        <f>"INDIGENT HEALTH"</f>
        <v>INDIGENT HEALTH</v>
      </c>
    </row>
    <row r="819" spans="1:8" x14ac:dyDescent="0.25">
      <c r="A819" t="s">
        <v>248</v>
      </c>
      <c r="B819" s="3">
        <v>81742</v>
      </c>
      <c r="C819" s="2">
        <v>1500</v>
      </c>
      <c r="D819" s="1">
        <v>43563</v>
      </c>
      <c r="E819" t="str">
        <f>"201904038353"</f>
        <v>201904038353</v>
      </c>
      <c r="F819" t="str">
        <f>"SURGICAL SVCS/3/25 3/28 4/1"</f>
        <v>SURGICAL SVCS/3/25 3/28 4/1</v>
      </c>
      <c r="G819" s="2">
        <v>1500</v>
      </c>
      <c r="H819" t="str">
        <f>"SURGICAL SVCS/3/25 3/28 4/1"</f>
        <v>SURGICAL SVCS/3/25 3/28 4/1</v>
      </c>
    </row>
    <row r="820" spans="1:8" x14ac:dyDescent="0.25">
      <c r="A820" t="s">
        <v>249</v>
      </c>
      <c r="B820" s="3">
        <v>81743</v>
      </c>
      <c r="C820" s="2">
        <v>4503.3</v>
      </c>
      <c r="D820" s="1">
        <v>43563</v>
      </c>
      <c r="E820" t="str">
        <f>"19173"</f>
        <v>19173</v>
      </c>
      <c r="F820" t="str">
        <f>"FREIGHT SALES/PCT#2"</f>
        <v>FREIGHT SALES/PCT#2</v>
      </c>
      <c r="G820" s="2">
        <v>1311.6</v>
      </c>
      <c r="H820" t="str">
        <f>"FREIGHT SALES/PCT#2"</f>
        <v>FREIGHT SALES/PCT#2</v>
      </c>
    </row>
    <row r="821" spans="1:8" x14ac:dyDescent="0.25">
      <c r="E821" t="str">
        <f>"19222"</f>
        <v>19222</v>
      </c>
      <c r="F821" t="str">
        <f>"FREIGHT SALES/PCT#2"</f>
        <v>FREIGHT SALES/PCT#2</v>
      </c>
      <c r="G821" s="2">
        <v>3191.7</v>
      </c>
      <c r="H821" t="str">
        <f>"FREIGHT SALES/PCT#2"</f>
        <v>FREIGHT SALES/PCT#2</v>
      </c>
    </row>
    <row r="822" spans="1:8" x14ac:dyDescent="0.25">
      <c r="A822" t="s">
        <v>249</v>
      </c>
      <c r="B822" s="3">
        <v>81938</v>
      </c>
      <c r="C822" s="2">
        <v>1558.95</v>
      </c>
      <c r="D822" s="1">
        <v>43577</v>
      </c>
      <c r="E822" t="str">
        <f>"19279"</f>
        <v>19279</v>
      </c>
      <c r="F822" t="str">
        <f>"FREIGHT SALES/PCT#2"</f>
        <v>FREIGHT SALES/PCT#2</v>
      </c>
      <c r="G822" s="2">
        <v>1558.95</v>
      </c>
      <c r="H822" t="str">
        <f>"FREIGHT SALES/PCT#2"</f>
        <v>FREIGHT SALES/PCT#2</v>
      </c>
    </row>
    <row r="823" spans="1:8" x14ac:dyDescent="0.25">
      <c r="A823" t="s">
        <v>250</v>
      </c>
      <c r="B823" s="3">
        <v>81819</v>
      </c>
      <c r="C823" s="2">
        <v>40</v>
      </c>
      <c r="D823" s="1">
        <v>43564</v>
      </c>
      <c r="E823" t="str">
        <f>"201904098520"</f>
        <v>201904098520</v>
      </c>
      <c r="F823" t="str">
        <f>"Misc"</f>
        <v>Misc</v>
      </c>
      <c r="G823" s="2">
        <v>40</v>
      </c>
      <c r="H823" t="str">
        <f>"ADREA LETRICE BRIDGEMAN"</f>
        <v>ADREA LETRICE BRIDGEMAN</v>
      </c>
    </row>
    <row r="824" spans="1:8" x14ac:dyDescent="0.25">
      <c r="A824" t="s">
        <v>251</v>
      </c>
      <c r="B824" s="3">
        <v>81820</v>
      </c>
      <c r="C824" s="2">
        <v>40</v>
      </c>
      <c r="D824" s="1">
        <v>43564</v>
      </c>
      <c r="E824" t="str">
        <f>"201904098521"</f>
        <v>201904098521</v>
      </c>
      <c r="F824" t="str">
        <f>"Misc"</f>
        <v>Misc</v>
      </c>
      <c r="G824" s="2">
        <v>40</v>
      </c>
      <c r="H824" t="str">
        <f>"JOSEPH EDWARD GRUNINGER"</f>
        <v>JOSEPH EDWARD GRUNINGER</v>
      </c>
    </row>
    <row r="825" spans="1:8" x14ac:dyDescent="0.25">
      <c r="A825" t="s">
        <v>252</v>
      </c>
      <c r="B825" s="3">
        <v>81821</v>
      </c>
      <c r="C825" s="2">
        <v>40</v>
      </c>
      <c r="D825" s="1">
        <v>43564</v>
      </c>
      <c r="E825" t="str">
        <f>"201904098522"</f>
        <v>201904098522</v>
      </c>
      <c r="F825" t="str">
        <f>"Miscel"</f>
        <v>Miscel</v>
      </c>
      <c r="G825" s="2">
        <v>40</v>
      </c>
      <c r="H825" t="str">
        <f>"JEFFREY RUSSELL KRITZ"</f>
        <v>JEFFREY RUSSELL KRITZ</v>
      </c>
    </row>
    <row r="826" spans="1:8" x14ac:dyDescent="0.25">
      <c r="A826" t="s">
        <v>253</v>
      </c>
      <c r="B826" s="3">
        <v>81822</v>
      </c>
      <c r="C826" s="2">
        <v>40</v>
      </c>
      <c r="D826" s="1">
        <v>43564</v>
      </c>
      <c r="E826" t="str">
        <f>"201904098523"</f>
        <v>201904098523</v>
      </c>
      <c r="F826" t="str">
        <f>"Miscell"</f>
        <v>Miscell</v>
      </c>
      <c r="G826" s="2">
        <v>40</v>
      </c>
      <c r="H826" t="str">
        <f>"MICHELLE LYNN HARRIS"</f>
        <v>MICHELLE LYNN HARRIS</v>
      </c>
    </row>
    <row r="827" spans="1:8" x14ac:dyDescent="0.25">
      <c r="A827" t="s">
        <v>254</v>
      </c>
      <c r="B827" s="3">
        <v>81823</v>
      </c>
      <c r="C827" s="2">
        <v>40</v>
      </c>
      <c r="D827" s="1">
        <v>43564</v>
      </c>
      <c r="E827" t="str">
        <f>"201904098524"</f>
        <v>201904098524</v>
      </c>
      <c r="F827" t="str">
        <f>"Misce"</f>
        <v>Misce</v>
      </c>
      <c r="G827" s="2">
        <v>40</v>
      </c>
      <c r="H827" t="str">
        <f>"MELANIE MARLENE EASLEY"</f>
        <v>MELANIE MARLENE EASLEY</v>
      </c>
    </row>
    <row r="828" spans="1:8" x14ac:dyDescent="0.25">
      <c r="A828" t="s">
        <v>255</v>
      </c>
      <c r="B828" s="3">
        <v>81824</v>
      </c>
      <c r="C828" s="2">
        <v>40</v>
      </c>
      <c r="D828" s="1">
        <v>43564</v>
      </c>
      <c r="E828" t="str">
        <f>"201904098525"</f>
        <v>201904098525</v>
      </c>
      <c r="F828" t="str">
        <f>"Miscellane"</f>
        <v>Miscellane</v>
      </c>
      <c r="G828" s="2">
        <v>40</v>
      </c>
      <c r="H828" t="str">
        <f>"JOHN MICHAEL COON"</f>
        <v>JOHN MICHAEL COON</v>
      </c>
    </row>
    <row r="829" spans="1:8" x14ac:dyDescent="0.25">
      <c r="A829" t="s">
        <v>256</v>
      </c>
      <c r="B829" s="3">
        <v>81825</v>
      </c>
      <c r="C829" s="2">
        <v>40</v>
      </c>
      <c r="D829" s="1">
        <v>43564</v>
      </c>
      <c r="E829" t="str">
        <f>"201904098526"</f>
        <v>201904098526</v>
      </c>
      <c r="F829" t="str">
        <f>"Miscel"</f>
        <v>Miscel</v>
      </c>
      <c r="G829" s="2">
        <v>40</v>
      </c>
      <c r="H829" t="str">
        <f>"ELIZABETH RICHVOLDSEN"</f>
        <v>ELIZABETH RICHVOLDSEN</v>
      </c>
    </row>
    <row r="830" spans="1:8" x14ac:dyDescent="0.25">
      <c r="A830" t="s">
        <v>257</v>
      </c>
      <c r="B830" s="3">
        <v>81826</v>
      </c>
      <c r="C830" s="2">
        <v>40</v>
      </c>
      <c r="D830" s="1">
        <v>43564</v>
      </c>
      <c r="E830" t="str">
        <f>"201904098527"</f>
        <v>201904098527</v>
      </c>
      <c r="F830" t="str">
        <f>"Miscella"</f>
        <v>Miscella</v>
      </c>
      <c r="G830" s="2">
        <v>40</v>
      </c>
      <c r="H830" t="str">
        <f>"DAVID EARL MCMULLEN"</f>
        <v>DAVID EARL MCMULLEN</v>
      </c>
    </row>
    <row r="831" spans="1:8" x14ac:dyDescent="0.25">
      <c r="A831" t="s">
        <v>258</v>
      </c>
      <c r="B831" s="3">
        <v>81827</v>
      </c>
      <c r="C831" s="2">
        <v>40</v>
      </c>
      <c r="D831" s="1">
        <v>43564</v>
      </c>
      <c r="E831" t="str">
        <f>"201904098528"</f>
        <v>201904098528</v>
      </c>
      <c r="F831" t="str">
        <f>"Misce"</f>
        <v>Misce</v>
      </c>
      <c r="G831" s="2">
        <v>40</v>
      </c>
      <c r="H831" t="str">
        <f>"ARRION SAVINO ESPINOZA"</f>
        <v>ARRION SAVINO ESPINOZA</v>
      </c>
    </row>
    <row r="832" spans="1:8" x14ac:dyDescent="0.25">
      <c r="A832" t="s">
        <v>259</v>
      </c>
      <c r="B832" s="3">
        <v>81828</v>
      </c>
      <c r="C832" s="2">
        <v>40</v>
      </c>
      <c r="D832" s="1">
        <v>43564</v>
      </c>
      <c r="E832" t="str">
        <f>"201904098529"</f>
        <v>201904098529</v>
      </c>
      <c r="F832" t="str">
        <f>"Miscellaneous"</f>
        <v>Miscellaneous</v>
      </c>
      <c r="G832" s="2">
        <v>40</v>
      </c>
      <c r="H832" t="str">
        <f>"DIXIE ANN KING"</f>
        <v>DIXIE ANN KING</v>
      </c>
    </row>
    <row r="833" spans="1:9" x14ac:dyDescent="0.25">
      <c r="A833" t="s">
        <v>260</v>
      </c>
      <c r="B833" s="3">
        <v>81829</v>
      </c>
      <c r="C833" s="2">
        <v>40</v>
      </c>
      <c r="D833" s="1">
        <v>43564</v>
      </c>
      <c r="E833" t="str">
        <f>"201904098530"</f>
        <v>201904098530</v>
      </c>
      <c r="F833" t="str">
        <f>"Miscellaneou"</f>
        <v>Miscellaneou</v>
      </c>
      <c r="G833" s="2">
        <v>40</v>
      </c>
      <c r="H833" t="str">
        <f>"ROBYNE M TAYLOR"</f>
        <v>ROBYNE M TAYLOR</v>
      </c>
    </row>
    <row r="834" spans="1:9" x14ac:dyDescent="0.25">
      <c r="A834" t="s">
        <v>261</v>
      </c>
      <c r="B834" s="3">
        <v>81939</v>
      </c>
      <c r="C834" s="2">
        <v>120</v>
      </c>
      <c r="D834" s="1">
        <v>43577</v>
      </c>
      <c r="E834" t="s">
        <v>262</v>
      </c>
      <c r="F834" t="s">
        <v>263</v>
      </c>
      <c r="G834" s="2" t="str">
        <f>"RESTITUTION-OMAR CABALLERO"</f>
        <v>RESTITUTION-OMAR CABALLERO</v>
      </c>
      <c r="H834" t="str">
        <f>"210-0000"</f>
        <v>210-0000</v>
      </c>
      <c r="I834" t="str">
        <f>""</f>
        <v/>
      </c>
    </row>
    <row r="835" spans="1:9" x14ac:dyDescent="0.25">
      <c r="A835" t="s">
        <v>264</v>
      </c>
      <c r="B835" s="3">
        <v>81744</v>
      </c>
      <c r="C835" s="2">
        <v>155</v>
      </c>
      <c r="D835" s="1">
        <v>43563</v>
      </c>
      <c r="E835" t="str">
        <f>"5140"</f>
        <v>5140</v>
      </c>
      <c r="F835" t="str">
        <f>"DUMPSTER RENTAL"</f>
        <v>DUMPSTER RENTAL</v>
      </c>
      <c r="G835" s="2">
        <v>155</v>
      </c>
      <c r="H835" t="str">
        <f>"DUMPSTER RENTAL"</f>
        <v>DUMPSTER RENTAL</v>
      </c>
    </row>
    <row r="836" spans="1:9" x14ac:dyDescent="0.25">
      <c r="A836" t="s">
        <v>265</v>
      </c>
      <c r="B836" s="3">
        <v>81745</v>
      </c>
      <c r="C836" s="2">
        <v>150</v>
      </c>
      <c r="D836" s="1">
        <v>43563</v>
      </c>
      <c r="E836" t="str">
        <f>"13098"</f>
        <v>13098</v>
      </c>
      <c r="F836" t="str">
        <f>"SERVICE  02/13/19"</f>
        <v>SERVICE  02/13/19</v>
      </c>
      <c r="G836" s="2">
        <v>150</v>
      </c>
      <c r="H836" t="str">
        <f>"SERVICE  02/13/19"</f>
        <v>SERVICE  02/13/19</v>
      </c>
    </row>
    <row r="837" spans="1:9" x14ac:dyDescent="0.25">
      <c r="A837" t="s">
        <v>266</v>
      </c>
      <c r="B837" s="3">
        <v>81746</v>
      </c>
      <c r="C837" s="2">
        <v>246.32</v>
      </c>
      <c r="D837" s="1">
        <v>43563</v>
      </c>
      <c r="E837" t="str">
        <f>"S154719017.001"</f>
        <v>S154719017.001</v>
      </c>
      <c r="F837" t="str">
        <f>"INV S154719017.001"</f>
        <v>INV S154719017.001</v>
      </c>
      <c r="G837" s="2">
        <v>246.32</v>
      </c>
      <c r="H837" t="str">
        <f>"INV S154719017.001"</f>
        <v>INV S154719017.001</v>
      </c>
    </row>
    <row r="838" spans="1:9" x14ac:dyDescent="0.25">
      <c r="A838" t="s">
        <v>267</v>
      </c>
      <c r="B838" s="3">
        <v>81940</v>
      </c>
      <c r="C838" s="2">
        <v>20462.48</v>
      </c>
      <c r="D838" s="1">
        <v>43577</v>
      </c>
      <c r="E838" t="str">
        <f>"8230220656"</f>
        <v>8230220656</v>
      </c>
      <c r="F838" t="str">
        <f>"RADIO SERVICE AGREEMENT"</f>
        <v>RADIO SERVICE AGREEMENT</v>
      </c>
      <c r="G838" s="2">
        <v>20462.48</v>
      </c>
      <c r="H838" t="str">
        <f>"RADIO SERVICE AGREEMENT"</f>
        <v>RADIO SERVICE AGREEMENT</v>
      </c>
    </row>
    <row r="839" spans="1:9" x14ac:dyDescent="0.25">
      <c r="A839" t="s">
        <v>268</v>
      </c>
      <c r="B839" s="3">
        <v>81747</v>
      </c>
      <c r="C839" s="2">
        <v>850</v>
      </c>
      <c r="D839" s="1">
        <v>43563</v>
      </c>
      <c r="E839" t="str">
        <f>"3-21-19-01"</f>
        <v>3-21-19-01</v>
      </c>
      <c r="F839" t="str">
        <f>"JOB 3-21-19-01"</f>
        <v>JOB 3-21-19-01</v>
      </c>
      <c r="G839" s="2">
        <v>340</v>
      </c>
      <c r="H839" t="str">
        <f>"JOB 3-21-19-01"</f>
        <v>JOB 3-21-19-01</v>
      </c>
    </row>
    <row r="840" spans="1:9" x14ac:dyDescent="0.25">
      <c r="E840" t="str">
        <f>"3-25-19-01"</f>
        <v>3-25-19-01</v>
      </c>
      <c r="F840" t="str">
        <f>"JOB 3-25-19-01"</f>
        <v>JOB 3-25-19-01</v>
      </c>
      <c r="G840" s="2">
        <v>510</v>
      </c>
      <c r="H840" t="str">
        <f>"JOB 3-25-19-01"</f>
        <v>JOB 3-25-19-01</v>
      </c>
    </row>
    <row r="841" spans="1:9" x14ac:dyDescent="0.25">
      <c r="A841" t="s">
        <v>268</v>
      </c>
      <c r="B841" s="3">
        <v>81941</v>
      </c>
      <c r="C841" s="2">
        <v>710</v>
      </c>
      <c r="D841" s="1">
        <v>43577</v>
      </c>
      <c r="E841" t="str">
        <f>"201904158624"</f>
        <v>201904158624</v>
      </c>
      <c r="F841" t="str">
        <f>"JOB #3-3-19-01"</f>
        <v>JOB #3-3-19-01</v>
      </c>
      <c r="G841" s="2">
        <v>710</v>
      </c>
      <c r="H841" t="str">
        <f>"JOB #3-3-19-01"</f>
        <v>JOB #3-3-19-01</v>
      </c>
    </row>
    <row r="842" spans="1:9" x14ac:dyDescent="0.25">
      <c r="A842" t="s">
        <v>269</v>
      </c>
      <c r="B842" s="3">
        <v>632</v>
      </c>
      <c r="C842" s="2">
        <v>7176.74</v>
      </c>
      <c r="D842" s="1">
        <v>43564</v>
      </c>
      <c r="E842" t="str">
        <f>"IN0819791"</f>
        <v>IN0819791</v>
      </c>
      <c r="F842" t="str">
        <f>"INV IN0819791"</f>
        <v>INV IN0819791</v>
      </c>
      <c r="G842" s="2">
        <v>3515.74</v>
      </c>
      <c r="H842" t="str">
        <f>"INV IN0819791"</f>
        <v>INV IN0819791</v>
      </c>
    </row>
    <row r="843" spans="1:9" x14ac:dyDescent="0.25">
      <c r="E843" t="str">
        <f>"IN0820276 IN082061"</f>
        <v>IN0820276 IN082061</v>
      </c>
      <c r="F843" t="str">
        <f>"INV IN0820276"</f>
        <v>INV IN0820276</v>
      </c>
      <c r="G843" s="2">
        <v>3661</v>
      </c>
      <c r="H843" t="str">
        <f>"INV IN0820276"</f>
        <v>INV IN0820276</v>
      </c>
    </row>
    <row r="844" spans="1:9" x14ac:dyDescent="0.25">
      <c r="E844" t="str">
        <f>""</f>
        <v/>
      </c>
      <c r="F844" t="str">
        <f>""</f>
        <v/>
      </c>
      <c r="H844" t="str">
        <f>"INV IN0820615"</f>
        <v>INV IN0820615</v>
      </c>
    </row>
    <row r="845" spans="1:9" x14ac:dyDescent="0.25">
      <c r="A845" t="s">
        <v>269</v>
      </c>
      <c r="B845" s="3">
        <v>686</v>
      </c>
      <c r="C845" s="2">
        <v>2553.21</v>
      </c>
      <c r="D845" s="1">
        <v>43578</v>
      </c>
      <c r="E845" t="str">
        <f>"IN0820902"</f>
        <v>IN0820902</v>
      </c>
      <c r="F845" t="str">
        <f>"INV IN0820902"</f>
        <v>INV IN0820902</v>
      </c>
      <c r="G845" s="2">
        <v>2553.21</v>
      </c>
      <c r="H845" t="str">
        <f>"INV IN0820902"</f>
        <v>INV IN0820902</v>
      </c>
    </row>
    <row r="846" spans="1:9" x14ac:dyDescent="0.25">
      <c r="A846" t="s">
        <v>270</v>
      </c>
      <c r="B846" s="3">
        <v>728</v>
      </c>
      <c r="C846" s="2">
        <v>103.95</v>
      </c>
      <c r="D846" s="1">
        <v>43578</v>
      </c>
      <c r="E846" t="str">
        <f>"0581440575"</f>
        <v>0581440575</v>
      </c>
      <c r="F846" t="str">
        <f>"CUST#198406/PCT#3"</f>
        <v>CUST#198406/PCT#3</v>
      </c>
      <c r="G846" s="2">
        <v>32.99</v>
      </c>
      <c r="H846" t="str">
        <f>"CUST#198406/PCT#3"</f>
        <v>CUST#198406/PCT#3</v>
      </c>
    </row>
    <row r="847" spans="1:9" x14ac:dyDescent="0.25">
      <c r="E847" t="str">
        <f>"201904108575"</f>
        <v>201904108575</v>
      </c>
      <c r="F847" t="str">
        <f>"CUST#1772018/PCT#4"</f>
        <v>CUST#1772018/PCT#4</v>
      </c>
      <c r="G847" s="2">
        <v>21.99</v>
      </c>
      <c r="H847" t="str">
        <f>"CUST#1772018/PCT#4"</f>
        <v>CUST#1772018/PCT#4</v>
      </c>
    </row>
    <row r="848" spans="1:9" x14ac:dyDescent="0.25">
      <c r="E848" t="str">
        <f>"99088"</f>
        <v>99088</v>
      </c>
      <c r="F848" t="str">
        <f>"CUST#99088/PCT#4"</f>
        <v>CUST#99088/PCT#4</v>
      </c>
      <c r="G848" s="2">
        <v>48.97</v>
      </c>
      <c r="H848" t="str">
        <f>"CUST#99088/PCT#4"</f>
        <v>CUST#99088/PCT#4</v>
      </c>
    </row>
    <row r="849" spans="1:8" x14ac:dyDescent="0.25">
      <c r="A849" t="s">
        <v>271</v>
      </c>
      <c r="B849" s="3">
        <v>81748</v>
      </c>
      <c r="C849" s="2">
        <v>813.74</v>
      </c>
      <c r="D849" s="1">
        <v>43563</v>
      </c>
      <c r="E849" t="str">
        <f>"1566343 1569386 15"</f>
        <v>1566343 1569386 15</v>
      </c>
      <c r="F849" t="str">
        <f>"INV 1566343"</f>
        <v>INV 1566343</v>
      </c>
      <c r="G849" s="2">
        <v>813.74</v>
      </c>
      <c r="H849" t="str">
        <f>"INV 1566343"</f>
        <v>INV 1566343</v>
      </c>
    </row>
    <row r="850" spans="1:8" x14ac:dyDescent="0.25">
      <c r="E850" t="str">
        <f>""</f>
        <v/>
      </c>
      <c r="F850" t="str">
        <f>""</f>
        <v/>
      </c>
      <c r="H850" t="str">
        <f>"INV 1569386"</f>
        <v>INV 1569386</v>
      </c>
    </row>
    <row r="851" spans="1:8" x14ac:dyDescent="0.25">
      <c r="E851" t="str">
        <f>""</f>
        <v/>
      </c>
      <c r="F851" t="str">
        <f>""</f>
        <v/>
      </c>
      <c r="H851" t="str">
        <f>"INV 1574371"</f>
        <v>INV 1574371</v>
      </c>
    </row>
    <row r="852" spans="1:8" x14ac:dyDescent="0.25">
      <c r="E852" t="str">
        <f>""</f>
        <v/>
      </c>
      <c r="F852" t="str">
        <f>""</f>
        <v/>
      </c>
      <c r="H852" t="str">
        <f>"INV 1577595"</f>
        <v>INV 1577595</v>
      </c>
    </row>
    <row r="853" spans="1:8" x14ac:dyDescent="0.25">
      <c r="A853" t="s">
        <v>271</v>
      </c>
      <c r="B853" s="3">
        <v>81942</v>
      </c>
      <c r="C853" s="2">
        <v>902.19</v>
      </c>
      <c r="D853" s="1">
        <v>43577</v>
      </c>
      <c r="E853" t="str">
        <f>"1582732  1585945"</f>
        <v>1582732  1585945</v>
      </c>
      <c r="F853" t="str">
        <f>"INV 1582732"</f>
        <v>INV 1582732</v>
      </c>
      <c r="G853" s="2">
        <v>477.63</v>
      </c>
      <c r="H853" t="str">
        <f>"INV 1582732"</f>
        <v>INV 1582732</v>
      </c>
    </row>
    <row r="854" spans="1:8" x14ac:dyDescent="0.25">
      <c r="E854" t="str">
        <f>""</f>
        <v/>
      </c>
      <c r="F854" t="str">
        <f>""</f>
        <v/>
      </c>
      <c r="H854" t="str">
        <f>"INV 1585945"</f>
        <v>INV 1585945</v>
      </c>
    </row>
    <row r="855" spans="1:8" x14ac:dyDescent="0.25">
      <c r="E855" t="str">
        <f>"1590908  1594123"</f>
        <v>1590908  1594123</v>
      </c>
      <c r="F855" t="str">
        <f>"INV 1590908"</f>
        <v>INV 1590908</v>
      </c>
      <c r="G855" s="2">
        <v>424.56</v>
      </c>
      <c r="H855" t="str">
        <f>"INV 1590908"</f>
        <v>INV 1590908</v>
      </c>
    </row>
    <row r="856" spans="1:8" x14ac:dyDescent="0.25">
      <c r="E856" t="str">
        <f>""</f>
        <v/>
      </c>
      <c r="F856" t="str">
        <f>""</f>
        <v/>
      </c>
      <c r="H856" t="str">
        <f>"INV 1594123"</f>
        <v>INV 1594123</v>
      </c>
    </row>
    <row r="857" spans="1:8" x14ac:dyDescent="0.25">
      <c r="A857" t="s">
        <v>272</v>
      </c>
      <c r="B857" s="3">
        <v>81749</v>
      </c>
      <c r="C857" s="2">
        <v>1118.97</v>
      </c>
      <c r="D857" s="1">
        <v>43563</v>
      </c>
      <c r="E857" t="str">
        <f>"11059200"</f>
        <v>11059200</v>
      </c>
      <c r="F857" t="str">
        <f>"bill# 11059200"</f>
        <v>bill# 11059200</v>
      </c>
      <c r="G857" s="2">
        <v>1118.97</v>
      </c>
      <c r="H857" t="str">
        <f>"ord# 288367390001"</f>
        <v>ord# 288367390001</v>
      </c>
    </row>
    <row r="858" spans="1:8" x14ac:dyDescent="0.25">
      <c r="E858" t="str">
        <f>""</f>
        <v/>
      </c>
      <c r="F858" t="str">
        <f>""</f>
        <v/>
      </c>
      <c r="H858" t="str">
        <f>"ord# 288368118001"</f>
        <v>ord# 288368118001</v>
      </c>
    </row>
    <row r="859" spans="1:8" x14ac:dyDescent="0.25">
      <c r="E859" t="str">
        <f>""</f>
        <v/>
      </c>
      <c r="F859" t="str">
        <f>""</f>
        <v/>
      </c>
      <c r="H859" t="str">
        <f>"ord# 2878368119001"</f>
        <v>ord# 2878368119001</v>
      </c>
    </row>
    <row r="860" spans="1:8" x14ac:dyDescent="0.25">
      <c r="E860" t="str">
        <f>""</f>
        <v/>
      </c>
      <c r="F860" t="str">
        <f>""</f>
        <v/>
      </c>
      <c r="H860" t="str">
        <f>"ord# 284398351001"</f>
        <v>ord# 284398351001</v>
      </c>
    </row>
    <row r="861" spans="1:8" x14ac:dyDescent="0.25">
      <c r="E861" t="str">
        <f>""</f>
        <v/>
      </c>
      <c r="F861" t="str">
        <f>""</f>
        <v/>
      </c>
      <c r="H861" t="str">
        <f>"ord# 284414503001"</f>
        <v>ord# 284414503001</v>
      </c>
    </row>
    <row r="862" spans="1:8" x14ac:dyDescent="0.25">
      <c r="E862" t="str">
        <f>""</f>
        <v/>
      </c>
      <c r="F862" t="str">
        <f>""</f>
        <v/>
      </c>
      <c r="H862" t="str">
        <f>"ord# 284414504001"</f>
        <v>ord# 284414504001</v>
      </c>
    </row>
    <row r="863" spans="1:8" x14ac:dyDescent="0.25">
      <c r="E863" t="str">
        <f>""</f>
        <v/>
      </c>
      <c r="F863" t="str">
        <f>""</f>
        <v/>
      </c>
      <c r="H863" t="str">
        <f>"ord# 28707562501"</f>
        <v>ord# 28707562501</v>
      </c>
    </row>
    <row r="864" spans="1:8" x14ac:dyDescent="0.25">
      <c r="E864" t="str">
        <f>""</f>
        <v/>
      </c>
      <c r="F864" t="str">
        <f>""</f>
        <v/>
      </c>
      <c r="H864" t="str">
        <f>"ord# 288875971001"</f>
        <v>ord# 288875971001</v>
      </c>
    </row>
    <row r="865" spans="1:8" x14ac:dyDescent="0.25">
      <c r="E865" t="str">
        <f>""</f>
        <v/>
      </c>
      <c r="F865" t="str">
        <f>""</f>
        <v/>
      </c>
      <c r="H865" t="str">
        <f>"ord# 287143567001"</f>
        <v>ord# 287143567001</v>
      </c>
    </row>
    <row r="866" spans="1:8" x14ac:dyDescent="0.25">
      <c r="E866" t="str">
        <f>""</f>
        <v/>
      </c>
      <c r="F866" t="str">
        <f>""</f>
        <v/>
      </c>
      <c r="H866" t="str">
        <f>"ord# 284344101001"</f>
        <v>ord# 284344101001</v>
      </c>
    </row>
    <row r="867" spans="1:8" x14ac:dyDescent="0.25">
      <c r="E867" t="str">
        <f>""</f>
        <v/>
      </c>
      <c r="F867" t="str">
        <f>""</f>
        <v/>
      </c>
      <c r="H867" t="str">
        <f>"ord# 284349640001"</f>
        <v>ord# 284349640001</v>
      </c>
    </row>
    <row r="868" spans="1:8" x14ac:dyDescent="0.25">
      <c r="E868" t="str">
        <f>""</f>
        <v/>
      </c>
      <c r="F868" t="str">
        <f>""</f>
        <v/>
      </c>
      <c r="H868" t="str">
        <f>"ord# 289174503001"</f>
        <v>ord# 289174503001</v>
      </c>
    </row>
    <row r="869" spans="1:8" x14ac:dyDescent="0.25">
      <c r="E869" t="str">
        <f>""</f>
        <v/>
      </c>
      <c r="F869" t="str">
        <f>""</f>
        <v/>
      </c>
      <c r="H869" t="str">
        <f>"ord# 285563787001"</f>
        <v>ord# 285563787001</v>
      </c>
    </row>
    <row r="870" spans="1:8" x14ac:dyDescent="0.25">
      <c r="A870" t="s">
        <v>272</v>
      </c>
      <c r="B870" s="3">
        <v>81943</v>
      </c>
      <c r="C870" s="2">
        <v>1873.88</v>
      </c>
      <c r="D870" s="1">
        <v>43577</v>
      </c>
      <c r="E870" t="str">
        <f>"11196508"</f>
        <v>11196508</v>
      </c>
      <c r="F870" t="str">
        <f>"Bill# 11196508"</f>
        <v>Bill# 11196508</v>
      </c>
      <c r="G870" s="2">
        <v>1873.88</v>
      </c>
      <c r="H870" t="str">
        <f>"Ord# 29522218001"</f>
        <v>Ord# 29522218001</v>
      </c>
    </row>
    <row r="871" spans="1:8" x14ac:dyDescent="0.25">
      <c r="E871" t="str">
        <f>""</f>
        <v/>
      </c>
      <c r="F871" t="str">
        <f>""</f>
        <v/>
      </c>
      <c r="H871" t="str">
        <f>"Ord# 29452295001"</f>
        <v>Ord# 29452295001</v>
      </c>
    </row>
    <row r="872" spans="1:8" x14ac:dyDescent="0.25">
      <c r="E872" t="str">
        <f>""</f>
        <v/>
      </c>
      <c r="F872" t="str">
        <f>""</f>
        <v/>
      </c>
      <c r="H872" t="str">
        <f>"Ord# 288879180001"</f>
        <v>Ord# 288879180001</v>
      </c>
    </row>
    <row r="873" spans="1:8" x14ac:dyDescent="0.25">
      <c r="E873" t="str">
        <f>""</f>
        <v/>
      </c>
      <c r="F873" t="str">
        <f>""</f>
        <v/>
      </c>
      <c r="H873" t="str">
        <f>"Ord# 294491784001"</f>
        <v>Ord# 294491784001</v>
      </c>
    </row>
    <row r="874" spans="1:8" x14ac:dyDescent="0.25">
      <c r="E874" t="str">
        <f>""</f>
        <v/>
      </c>
      <c r="F874" t="str">
        <f>""</f>
        <v/>
      </c>
      <c r="H874" t="str">
        <f>"Ord# 297423943001"</f>
        <v>Ord# 297423943001</v>
      </c>
    </row>
    <row r="875" spans="1:8" x14ac:dyDescent="0.25">
      <c r="E875" t="str">
        <f>""</f>
        <v/>
      </c>
      <c r="F875" t="str">
        <f>""</f>
        <v/>
      </c>
      <c r="H875" t="str">
        <f>"Ord# 297426261001"</f>
        <v>Ord# 297426261001</v>
      </c>
    </row>
    <row r="876" spans="1:8" x14ac:dyDescent="0.25">
      <c r="E876" t="str">
        <f>""</f>
        <v/>
      </c>
      <c r="F876" t="str">
        <f>""</f>
        <v/>
      </c>
      <c r="H876" t="str">
        <f>"Ord# 298035360001"</f>
        <v>Ord# 298035360001</v>
      </c>
    </row>
    <row r="877" spans="1:8" x14ac:dyDescent="0.25">
      <c r="E877" t="str">
        <f>""</f>
        <v/>
      </c>
      <c r="F877" t="str">
        <f>""</f>
        <v/>
      </c>
      <c r="H877" t="str">
        <f>"Ord# 295735291001"</f>
        <v>Ord# 295735291001</v>
      </c>
    </row>
    <row r="878" spans="1:8" x14ac:dyDescent="0.25">
      <c r="E878" t="str">
        <f>""</f>
        <v/>
      </c>
      <c r="F878" t="str">
        <f>""</f>
        <v/>
      </c>
      <c r="H878" t="str">
        <f>"Ord# 2977788262001"</f>
        <v>Ord# 2977788262001</v>
      </c>
    </row>
    <row r="879" spans="1:8" x14ac:dyDescent="0.25">
      <c r="E879" t="str">
        <f>""</f>
        <v/>
      </c>
      <c r="F879" t="str">
        <f>""</f>
        <v/>
      </c>
      <c r="H879" t="str">
        <f>"Ord# 292943948001"</f>
        <v>Ord# 292943948001</v>
      </c>
    </row>
    <row r="880" spans="1:8" x14ac:dyDescent="0.25">
      <c r="E880" t="str">
        <f>""</f>
        <v/>
      </c>
      <c r="F880" t="str">
        <f>""</f>
        <v/>
      </c>
      <c r="H880" t="str">
        <f>"Ord# 294052267001"</f>
        <v>Ord# 294052267001</v>
      </c>
    </row>
    <row r="881" spans="1:8" x14ac:dyDescent="0.25">
      <c r="E881" t="str">
        <f>""</f>
        <v/>
      </c>
      <c r="F881" t="str">
        <f>""</f>
        <v/>
      </c>
      <c r="H881" t="str">
        <f>"Ord# 294837512001"</f>
        <v>Ord# 294837512001</v>
      </c>
    </row>
    <row r="882" spans="1:8" x14ac:dyDescent="0.25">
      <c r="E882" t="str">
        <f>""</f>
        <v/>
      </c>
      <c r="F882" t="str">
        <f>""</f>
        <v/>
      </c>
      <c r="H882" t="str">
        <f>"Ord# 294052267001"</f>
        <v>Ord# 294052267001</v>
      </c>
    </row>
    <row r="883" spans="1:8" x14ac:dyDescent="0.25">
      <c r="E883" t="str">
        <f>""</f>
        <v/>
      </c>
      <c r="F883" t="str">
        <f>""</f>
        <v/>
      </c>
      <c r="H883" t="str">
        <f>"Ord# 295127092001"</f>
        <v>Ord# 295127092001</v>
      </c>
    </row>
    <row r="884" spans="1:8" x14ac:dyDescent="0.25">
      <c r="E884" t="str">
        <f>""</f>
        <v/>
      </c>
      <c r="F884" t="str">
        <f>""</f>
        <v/>
      </c>
      <c r="H884" t="str">
        <f>"Ord# 295127652001"</f>
        <v>Ord# 295127652001</v>
      </c>
    </row>
    <row r="885" spans="1:8" x14ac:dyDescent="0.25">
      <c r="E885" t="str">
        <f>""</f>
        <v/>
      </c>
      <c r="F885" t="str">
        <f>""</f>
        <v/>
      </c>
      <c r="H885" t="str">
        <f>"Ord# 295127653001"</f>
        <v>Ord# 295127653001</v>
      </c>
    </row>
    <row r="886" spans="1:8" x14ac:dyDescent="0.25">
      <c r="A886" t="s">
        <v>273</v>
      </c>
      <c r="B886" s="3">
        <v>81944</v>
      </c>
      <c r="C886" s="2">
        <v>3882</v>
      </c>
      <c r="D886" s="1">
        <v>43577</v>
      </c>
      <c r="E886" t="str">
        <f>"119-001011"</f>
        <v>119-001011</v>
      </c>
      <c r="F886" t="str">
        <f>"1ST QTR ACTIVITY 2019-PCT#1"</f>
        <v>1ST QTR ACTIVITY 2019-PCT#1</v>
      </c>
      <c r="G886" s="2">
        <v>330</v>
      </c>
      <c r="H886" t="str">
        <f>"1ST QTR ACTIVITY 2019-PCT#1"</f>
        <v>1ST QTR ACTIVITY 2019-PCT#1</v>
      </c>
    </row>
    <row r="887" spans="1:8" x14ac:dyDescent="0.25">
      <c r="E887" t="str">
        <f>"119-002011"</f>
        <v>119-002011</v>
      </c>
      <c r="F887" t="str">
        <f>"1ST QTR ACTIVITY-2019/PCT#2"</f>
        <v>1ST QTR ACTIVITY-2019/PCT#2</v>
      </c>
      <c r="G887" s="2">
        <v>1188</v>
      </c>
      <c r="H887" t="str">
        <f>"1ST QTR ACTIVITY-2019/PCT#2"</f>
        <v>1ST QTR ACTIVITY-2019/PCT#2</v>
      </c>
    </row>
    <row r="888" spans="1:8" x14ac:dyDescent="0.25">
      <c r="E888" t="str">
        <f>"119-003011"</f>
        <v>119-003011</v>
      </c>
      <c r="F888" t="str">
        <f>"1ST QTR ACTIVITY 2019-PCT3"</f>
        <v>1ST QTR ACTIVITY 2019-PCT3</v>
      </c>
      <c r="G888" s="2">
        <v>1464</v>
      </c>
      <c r="H888" t="str">
        <f>"1ST QTR ACTIVITY 2019-PCT3"</f>
        <v>1ST QTR ACTIVITY 2019-PCT3</v>
      </c>
    </row>
    <row r="889" spans="1:8" x14ac:dyDescent="0.25">
      <c r="E889" t="str">
        <f>"119-004011"</f>
        <v>119-004011</v>
      </c>
      <c r="F889" t="str">
        <f>"1ST QTR ACTIVITY 2019-PCT#4"</f>
        <v>1ST QTR ACTIVITY 2019-PCT#4</v>
      </c>
      <c r="G889" s="2">
        <v>798</v>
      </c>
      <c r="H889" t="str">
        <f>"1ST QTR ACTIVITY 2019-PCT#4"</f>
        <v>1ST QTR ACTIVITY 2019-PCT#4</v>
      </c>
    </row>
    <row r="890" spans="1:8" x14ac:dyDescent="0.25">
      <c r="E890" t="str">
        <f>"119-008011"</f>
        <v>119-008011</v>
      </c>
      <c r="F890" t="str">
        <f>"1ST QTR ACTIVITY 2019/MISDEMEA"</f>
        <v>1ST QTR ACTIVITY 2019/MISDEMEA</v>
      </c>
      <c r="G890" s="2">
        <v>96</v>
      </c>
      <c r="H890" t="str">
        <f>"1ST QTR ACTIVITY 2019/MISDEMEA"</f>
        <v>1ST QTR ACTIVITY 2019/MISDEMEA</v>
      </c>
    </row>
    <row r="891" spans="1:8" x14ac:dyDescent="0.25">
      <c r="E891" t="str">
        <f>"119-009011"</f>
        <v>119-009011</v>
      </c>
      <c r="F891" t="str">
        <f>"1ST QTR ACTIVITY-'19/DIST CLRK"</f>
        <v>1ST QTR ACTIVITY-'19/DIST CLRK</v>
      </c>
      <c r="G891" s="2">
        <v>6</v>
      </c>
      <c r="H891" t="str">
        <f>"1ST QTR ACTIVITY-'19/DIST CLRK"</f>
        <v>1ST QTR ACTIVITY-'19/DIST CLRK</v>
      </c>
    </row>
    <row r="892" spans="1:8" x14ac:dyDescent="0.25">
      <c r="A892" t="s">
        <v>274</v>
      </c>
      <c r="B892" s="3">
        <v>81945</v>
      </c>
      <c r="C892" s="2">
        <v>490</v>
      </c>
      <c r="D892" s="1">
        <v>43577</v>
      </c>
      <c r="E892" t="str">
        <f>"285309"</f>
        <v>285309</v>
      </c>
      <c r="F892" t="str">
        <f>"CUST ID:BASCOU/DRUG SCREENING"</f>
        <v>CUST ID:BASCOU/DRUG SCREENING</v>
      </c>
      <c r="G892" s="2">
        <v>490</v>
      </c>
      <c r="H892" t="str">
        <f>"CUST ID:BASCOU/DRUG SCREENING"</f>
        <v>CUST ID:BASCOU/DRUG SCREENING</v>
      </c>
    </row>
    <row r="893" spans="1:8" x14ac:dyDescent="0.25">
      <c r="E893" t="str">
        <f>""</f>
        <v/>
      </c>
      <c r="F893" t="str">
        <f>""</f>
        <v/>
      </c>
      <c r="H893" t="str">
        <f>"CUST ID:BASCOU/DRUG SCREENING"</f>
        <v>CUST ID:BASCOU/DRUG SCREENING</v>
      </c>
    </row>
    <row r="894" spans="1:8" x14ac:dyDescent="0.25">
      <c r="E894" t="str">
        <f>""</f>
        <v/>
      </c>
      <c r="F894" t="str">
        <f>""</f>
        <v/>
      </c>
      <c r="H894" t="str">
        <f>"CUST ID:BASCOU/DRUG SCREENING"</f>
        <v>CUST ID:BASCOU/DRUG SCREENING</v>
      </c>
    </row>
    <row r="895" spans="1:8" x14ac:dyDescent="0.25">
      <c r="E895" t="str">
        <f>""</f>
        <v/>
      </c>
      <c r="F895" t="str">
        <f>""</f>
        <v/>
      </c>
      <c r="H895" t="str">
        <f>"CUST ID:BASCOU/DRUG SCREENING"</f>
        <v>CUST ID:BASCOU/DRUG SCREENING</v>
      </c>
    </row>
    <row r="896" spans="1:8" x14ac:dyDescent="0.25">
      <c r="A896" t="s">
        <v>275</v>
      </c>
      <c r="B896" s="3">
        <v>81946</v>
      </c>
      <c r="C896" s="2">
        <v>1781</v>
      </c>
      <c r="D896" s="1">
        <v>43577</v>
      </c>
      <c r="E896" t="str">
        <f>"18937"</f>
        <v>18937</v>
      </c>
      <c r="F896" t="str">
        <f>"PLUMBING SVCS/OLD POST OFF BLD"</f>
        <v>PLUMBING SVCS/OLD POST OFF BLD</v>
      </c>
      <c r="G896" s="2">
        <v>1196</v>
      </c>
      <c r="H896" t="str">
        <f>"PLUMBING SVCS/OLD POST OFF BLD"</f>
        <v>PLUMBING SVCS/OLD POST OFF BLD</v>
      </c>
    </row>
    <row r="897" spans="1:8" x14ac:dyDescent="0.25">
      <c r="E897" t="str">
        <f>"18940"</f>
        <v>18940</v>
      </c>
      <c r="F897" t="str">
        <f>"PLUMBING SVCS/OLD PO BLDG"</f>
        <v>PLUMBING SVCS/OLD PO BLDG</v>
      </c>
      <c r="G897" s="2">
        <v>585</v>
      </c>
      <c r="H897" t="str">
        <f>"PLUMBING SVCS/OLD PO BLDG"</f>
        <v>PLUMBING SVCS/OLD PO BLDG</v>
      </c>
    </row>
    <row r="898" spans="1:8" x14ac:dyDescent="0.25">
      <c r="A898" t="s">
        <v>276</v>
      </c>
      <c r="B898" s="3">
        <v>81750</v>
      </c>
      <c r="C898" s="2">
        <v>146.25</v>
      </c>
      <c r="D898" s="1">
        <v>43563</v>
      </c>
      <c r="E898" t="str">
        <f>"201904038361"</f>
        <v>201904038361</v>
      </c>
      <c r="F898" t="str">
        <f>"INV 55407"</f>
        <v>INV 55407</v>
      </c>
      <c r="G898" s="2">
        <v>146.25</v>
      </c>
      <c r="H898" t="str">
        <f>"INV 55407"</f>
        <v>INV 55407</v>
      </c>
    </row>
    <row r="899" spans="1:8" x14ac:dyDescent="0.25">
      <c r="A899" t="s">
        <v>276</v>
      </c>
      <c r="B899" s="3">
        <v>81947</v>
      </c>
      <c r="C899" s="2">
        <v>52.5</v>
      </c>
      <c r="D899" s="1">
        <v>43577</v>
      </c>
      <c r="E899" t="str">
        <f>"55504"</f>
        <v>55504</v>
      </c>
      <c r="F899" t="str">
        <f>"INV 55504"</f>
        <v>INV 55504</v>
      </c>
      <c r="G899" s="2">
        <v>52.5</v>
      </c>
      <c r="H899" t="str">
        <f>"INV 55504"</f>
        <v>INV 55504</v>
      </c>
    </row>
    <row r="900" spans="1:8" x14ac:dyDescent="0.25">
      <c r="A900" t="s">
        <v>277</v>
      </c>
      <c r="B900" s="3">
        <v>81751</v>
      </c>
      <c r="C900" s="2">
        <v>699</v>
      </c>
      <c r="D900" s="1">
        <v>43563</v>
      </c>
      <c r="E900" t="str">
        <f>"66701"</f>
        <v>66701</v>
      </c>
      <c r="F900" t="str">
        <f>"BLACK BLADE"</f>
        <v>BLACK BLADE</v>
      </c>
      <c r="G900" s="2">
        <v>699</v>
      </c>
      <c r="H900" t="str">
        <f>"BLACK BLADE"</f>
        <v>BLACK BLADE</v>
      </c>
    </row>
    <row r="901" spans="1:8" x14ac:dyDescent="0.25">
      <c r="A901" t="s">
        <v>277</v>
      </c>
      <c r="B901" s="3">
        <v>81948</v>
      </c>
      <c r="C901" s="2">
        <v>30.79</v>
      </c>
      <c r="D901" s="1">
        <v>43577</v>
      </c>
      <c r="E901" t="str">
        <f>"66670"</f>
        <v>66670</v>
      </c>
      <c r="F901" t="str">
        <f>"LABOR/SCREW KIT/GEN SVCS"</f>
        <v>LABOR/SCREW KIT/GEN SVCS</v>
      </c>
      <c r="G901" s="2">
        <v>30.79</v>
      </c>
      <c r="H901" t="str">
        <f>"LABOR/SCREW KIT/GEN SVCS"</f>
        <v>LABOR/SCREW KIT/GEN SVCS</v>
      </c>
    </row>
    <row r="902" spans="1:8" x14ac:dyDescent="0.25">
      <c r="A902" t="s">
        <v>278</v>
      </c>
      <c r="B902" s="3">
        <v>81949</v>
      </c>
      <c r="C902" s="2">
        <v>1108.49</v>
      </c>
      <c r="D902" s="1">
        <v>43577</v>
      </c>
      <c r="E902" t="str">
        <f>"201904108573"</f>
        <v>201904108573</v>
      </c>
      <c r="F902" t="str">
        <f>"ACCT#1137/PCT#4"</f>
        <v>ACCT#1137/PCT#4</v>
      </c>
      <c r="G902" s="2">
        <v>1108.49</v>
      </c>
      <c r="H902" t="str">
        <f>"ACCT#1137/PCT#4"</f>
        <v>ACCT#1137/PCT#4</v>
      </c>
    </row>
    <row r="903" spans="1:8" x14ac:dyDescent="0.25">
      <c r="A903" t="s">
        <v>279</v>
      </c>
      <c r="B903" s="3">
        <v>694</v>
      </c>
      <c r="C903" s="2">
        <v>1013.55</v>
      </c>
      <c r="D903" s="1">
        <v>43578</v>
      </c>
      <c r="E903" t="str">
        <f>"2008379"</f>
        <v>2008379</v>
      </c>
      <c r="F903" t="str">
        <f>"REPLACE MOTOR/PCT#4"</f>
        <v>REPLACE MOTOR/PCT#4</v>
      </c>
      <c r="G903" s="2">
        <v>1013.55</v>
      </c>
      <c r="H903" t="str">
        <f>"REPLACE MOTOR/PCT#4"</f>
        <v>REPLACE MOTOR/PCT#4</v>
      </c>
    </row>
    <row r="904" spans="1:8" x14ac:dyDescent="0.25">
      <c r="A904" t="s">
        <v>280</v>
      </c>
      <c r="B904" s="3">
        <v>81950</v>
      </c>
      <c r="C904" s="2">
        <v>95</v>
      </c>
      <c r="D904" s="1">
        <v>43577</v>
      </c>
      <c r="E904" t="str">
        <f>"201904158710"</f>
        <v>201904158710</v>
      </c>
      <c r="F904" t="str">
        <f>"FERAL HOGS"</f>
        <v>FERAL HOGS</v>
      </c>
      <c r="G904" s="2">
        <v>95</v>
      </c>
      <c r="H904" t="str">
        <f>"FERAL HOGS"</f>
        <v>FERAL HOGS</v>
      </c>
    </row>
    <row r="905" spans="1:8" x14ac:dyDescent="0.25">
      <c r="A905" t="s">
        <v>281</v>
      </c>
      <c r="B905" s="3">
        <v>81752</v>
      </c>
      <c r="C905" s="2">
        <v>1615.24</v>
      </c>
      <c r="D905" s="1">
        <v>43563</v>
      </c>
      <c r="E905" t="str">
        <f>"201904038427"</f>
        <v>201904038427</v>
      </c>
      <c r="F905" t="str">
        <f>"ACCT#0200140783"</f>
        <v>ACCT#0200140783</v>
      </c>
      <c r="G905" s="2">
        <v>1615.24</v>
      </c>
      <c r="H905" t="str">
        <f>"ACCT#0200140783"</f>
        <v>ACCT#0200140783</v>
      </c>
    </row>
    <row r="906" spans="1:8" x14ac:dyDescent="0.25">
      <c r="E906" t="str">
        <f>""</f>
        <v/>
      </c>
      <c r="F906" t="str">
        <f>""</f>
        <v/>
      </c>
      <c r="H906" t="str">
        <f>"ACCT#0200140783"</f>
        <v>ACCT#0200140783</v>
      </c>
    </row>
    <row r="907" spans="1:8" x14ac:dyDescent="0.25">
      <c r="A907" t="s">
        <v>282</v>
      </c>
      <c r="B907" s="3">
        <v>81951</v>
      </c>
      <c r="C907" s="2">
        <v>4700</v>
      </c>
      <c r="D907" s="1">
        <v>43577</v>
      </c>
      <c r="E907" t="str">
        <f>"400661"</f>
        <v>400661</v>
      </c>
      <c r="F907" t="str">
        <f>"CLIENT#20442/FINAL BILL"</f>
        <v>CLIENT#20442/FINAL BILL</v>
      </c>
      <c r="G907" s="2">
        <v>4700</v>
      </c>
      <c r="H907" t="str">
        <f>"CLIENT#20442/FINAL BILL"</f>
        <v>CLIENT#20442/FINAL BILL</v>
      </c>
    </row>
    <row r="908" spans="1:8" x14ac:dyDescent="0.25">
      <c r="A908" t="s">
        <v>283</v>
      </c>
      <c r="B908" s="3">
        <v>81753</v>
      </c>
      <c r="C908" s="2">
        <v>35</v>
      </c>
      <c r="D908" s="1">
        <v>43563</v>
      </c>
      <c r="E908" t="str">
        <f>"201904038365"</f>
        <v>201904038365</v>
      </c>
      <c r="F908" t="str">
        <f>"PER DIEM"</f>
        <v>PER DIEM</v>
      </c>
      <c r="G908" s="2">
        <v>35</v>
      </c>
      <c r="H908" t="str">
        <f>"PER DIEM"</f>
        <v>PER DIEM</v>
      </c>
    </row>
    <row r="909" spans="1:8" x14ac:dyDescent="0.25">
      <c r="A909" t="s">
        <v>284</v>
      </c>
      <c r="B909" s="3">
        <v>665</v>
      </c>
      <c r="C909" s="2">
        <v>980</v>
      </c>
      <c r="D909" s="1">
        <v>43564</v>
      </c>
      <c r="E909" t="str">
        <f>"201904018231"</f>
        <v>201904018231</v>
      </c>
      <c r="F909" t="str">
        <f>"18-18992"</f>
        <v>18-18992</v>
      </c>
      <c r="G909" s="2">
        <v>190</v>
      </c>
      <c r="H909" t="str">
        <f>"18-18992"</f>
        <v>18-18992</v>
      </c>
    </row>
    <row r="910" spans="1:8" x14ac:dyDescent="0.25">
      <c r="E910" t="str">
        <f>"201904028284"</f>
        <v>201904028284</v>
      </c>
      <c r="F910" t="str">
        <f>"56112"</f>
        <v>56112</v>
      </c>
      <c r="G910" s="2">
        <v>250</v>
      </c>
      <c r="H910" t="str">
        <f>"56112"</f>
        <v>56112</v>
      </c>
    </row>
    <row r="911" spans="1:8" x14ac:dyDescent="0.25">
      <c r="E911" t="str">
        <f>"201904038393"</f>
        <v>201904038393</v>
      </c>
      <c r="F911" t="str">
        <f>"17-18576"</f>
        <v>17-18576</v>
      </c>
      <c r="G911" s="2">
        <v>190</v>
      </c>
      <c r="H911" t="str">
        <f>"17-18576"</f>
        <v>17-18576</v>
      </c>
    </row>
    <row r="912" spans="1:8" x14ac:dyDescent="0.25">
      <c r="E912" t="str">
        <f>"201904038403"</f>
        <v>201904038403</v>
      </c>
      <c r="F912" t="str">
        <f>"UNFILED"</f>
        <v>UNFILED</v>
      </c>
      <c r="G912" s="2">
        <v>100</v>
      </c>
      <c r="H912" t="str">
        <f>"UNFILED"</f>
        <v>UNFILED</v>
      </c>
    </row>
    <row r="913" spans="1:8" x14ac:dyDescent="0.25">
      <c r="E913" t="str">
        <f>"201904038423"</f>
        <v>201904038423</v>
      </c>
      <c r="F913" t="str">
        <f>"56697"</f>
        <v>56697</v>
      </c>
      <c r="G913" s="2">
        <v>250</v>
      </c>
      <c r="H913" t="str">
        <f>"56697"</f>
        <v>56697</v>
      </c>
    </row>
    <row r="914" spans="1:8" x14ac:dyDescent="0.25">
      <c r="A914" t="s">
        <v>285</v>
      </c>
      <c r="B914" s="3">
        <v>81952</v>
      </c>
      <c r="C914" s="2">
        <v>500</v>
      </c>
      <c r="D914" s="1">
        <v>43577</v>
      </c>
      <c r="E914" t="str">
        <f>"201904128595"</f>
        <v>201904128595</v>
      </c>
      <c r="F914" t="str">
        <f>"G-305"</f>
        <v>G-305</v>
      </c>
      <c r="G914" s="2">
        <v>500</v>
      </c>
      <c r="H914" t="str">
        <f>"G-305"</f>
        <v>G-305</v>
      </c>
    </row>
    <row r="915" spans="1:8" x14ac:dyDescent="0.25">
      <c r="A915" t="s">
        <v>286</v>
      </c>
      <c r="B915" s="3">
        <v>81754</v>
      </c>
      <c r="C915" s="2">
        <v>207</v>
      </c>
      <c r="D915" s="1">
        <v>43563</v>
      </c>
      <c r="E915" t="str">
        <f>"001411"</f>
        <v>001411</v>
      </c>
      <c r="F915" t="str">
        <f>"INSPECTIONS/PCT#4"</f>
        <v>INSPECTIONS/PCT#4</v>
      </c>
      <c r="G915" s="2">
        <v>207</v>
      </c>
      <c r="H915" t="str">
        <f>"INSPECTIONS/PCT#4"</f>
        <v>INSPECTIONS/PCT#4</v>
      </c>
    </row>
    <row r="916" spans="1:8" x14ac:dyDescent="0.25">
      <c r="A916" t="s">
        <v>287</v>
      </c>
      <c r="B916" s="3">
        <v>721</v>
      </c>
      <c r="C916" s="2">
        <v>1631.01</v>
      </c>
      <c r="D916" s="1">
        <v>43578</v>
      </c>
      <c r="E916" t="str">
        <f>"3308531796"</f>
        <v>3308531796</v>
      </c>
      <c r="F916" t="str">
        <f>"ACCT#0011198047/LEASING CHRG"</f>
        <v>ACCT#0011198047/LEASING CHRG</v>
      </c>
      <c r="G916" s="2">
        <v>1631.01</v>
      </c>
      <c r="H916" t="str">
        <f>"ACCT#0011198047/LEASING CHRG"</f>
        <v>ACCT#0011198047/LEASING CHRG</v>
      </c>
    </row>
    <row r="917" spans="1:8" x14ac:dyDescent="0.25">
      <c r="A917" t="s">
        <v>288</v>
      </c>
      <c r="B917" s="3">
        <v>81755</v>
      </c>
      <c r="C917" s="2">
        <v>775</v>
      </c>
      <c r="D917" s="1">
        <v>43563</v>
      </c>
      <c r="E917" t="str">
        <f>"201904018208"</f>
        <v>201904018208</v>
      </c>
      <c r="F917" t="str">
        <f>"18-18854"</f>
        <v>18-18854</v>
      </c>
      <c r="G917" s="2">
        <v>525</v>
      </c>
      <c r="H917" t="str">
        <f>"18-18854"</f>
        <v>18-18854</v>
      </c>
    </row>
    <row r="918" spans="1:8" x14ac:dyDescent="0.25">
      <c r="E918" t="str">
        <f>"201904038406"</f>
        <v>201904038406</v>
      </c>
      <c r="F918" t="str">
        <f>"55 137"</f>
        <v>55 137</v>
      </c>
      <c r="G918" s="2">
        <v>250</v>
      </c>
      <c r="H918" t="str">
        <f>"55 137"</f>
        <v>55 137</v>
      </c>
    </row>
    <row r="919" spans="1:8" x14ac:dyDescent="0.25">
      <c r="A919" t="s">
        <v>289</v>
      </c>
      <c r="B919" s="3">
        <v>706</v>
      </c>
      <c r="C919" s="2">
        <v>720.52</v>
      </c>
      <c r="D919" s="1">
        <v>43578</v>
      </c>
      <c r="E919" t="str">
        <f>"201904108571"</f>
        <v>201904108571</v>
      </c>
      <c r="F919" t="str">
        <f>"ACCT#0005/PCT#4"</f>
        <v>ACCT#0005/PCT#4</v>
      </c>
      <c r="G919" s="2">
        <v>720.52</v>
      </c>
      <c r="H919" t="str">
        <f>"ACCT#0005/PCT#4"</f>
        <v>ACCT#0005/PCT#4</v>
      </c>
    </row>
    <row r="920" spans="1:8" x14ac:dyDescent="0.25">
      <c r="A920" t="s">
        <v>290</v>
      </c>
      <c r="B920" s="3">
        <v>81953</v>
      </c>
      <c r="C920" s="2">
        <v>204</v>
      </c>
      <c r="D920" s="1">
        <v>43577</v>
      </c>
      <c r="E920" t="str">
        <f>"201904118581"</f>
        <v>201904118581</v>
      </c>
      <c r="F920" t="str">
        <f>"PO BOX FEE/#770/DISTRICT CLERK"</f>
        <v>PO BOX FEE/#770/DISTRICT CLERK</v>
      </c>
      <c r="G920" s="2">
        <v>204</v>
      </c>
      <c r="H920" t="str">
        <f>"PO BOX FEE/#770/DISTRICT CLERK"</f>
        <v>PO BOX FEE/#770/DISTRICT CLERK</v>
      </c>
    </row>
    <row r="921" spans="1:8" x14ac:dyDescent="0.25">
      <c r="A921" t="s">
        <v>291</v>
      </c>
      <c r="B921" s="3">
        <v>81954</v>
      </c>
      <c r="C921" s="2">
        <v>3996</v>
      </c>
      <c r="D921" s="1">
        <v>43577</v>
      </c>
      <c r="E921" t="str">
        <f>"2018143"</f>
        <v>2018143</v>
      </c>
      <c r="F921" t="str">
        <f>"TRANSPORT-C. POMPEY"</f>
        <v>TRANSPORT-C. POMPEY</v>
      </c>
      <c r="G921" s="2">
        <v>1621</v>
      </c>
      <c r="H921" t="str">
        <f>"TRANSPORT-C. POMPEY"</f>
        <v>TRANSPORT-C. POMPEY</v>
      </c>
    </row>
    <row r="922" spans="1:8" x14ac:dyDescent="0.25">
      <c r="E922" t="str">
        <f>"2019021"</f>
        <v>2019021</v>
      </c>
      <c r="F922" t="str">
        <f>"TRANSPORT-J.M. WOOLF"</f>
        <v>TRANSPORT-J.M. WOOLF</v>
      </c>
      <c r="G922" s="2">
        <v>695</v>
      </c>
      <c r="H922" t="str">
        <f>"TRANSPORT-J.M. WOOLF"</f>
        <v>TRANSPORT-J.M. WOOLF</v>
      </c>
    </row>
    <row r="923" spans="1:8" x14ac:dyDescent="0.25">
      <c r="E923" t="str">
        <f>"2019045"</f>
        <v>2019045</v>
      </c>
      <c r="F923" t="str">
        <f>"TRANSPORT-D. PERKINS"</f>
        <v>TRANSPORT-D. PERKINS</v>
      </c>
      <c r="G923" s="2">
        <v>495</v>
      </c>
      <c r="H923" t="str">
        <f>"TRANSPORT-D. PERKINS"</f>
        <v>TRANSPORT-D. PERKINS</v>
      </c>
    </row>
    <row r="924" spans="1:8" x14ac:dyDescent="0.25">
      <c r="E924" t="str">
        <f>"2019051"</f>
        <v>2019051</v>
      </c>
      <c r="F924" t="str">
        <f>"TRANSPORT-J. STOVAL"</f>
        <v>TRANSPORT-J. STOVAL</v>
      </c>
      <c r="G924" s="2">
        <v>345</v>
      </c>
      <c r="H924" t="str">
        <f>"TRANSPORT-J. STOVAL"</f>
        <v>TRANSPORT-J. STOVAL</v>
      </c>
    </row>
    <row r="925" spans="1:8" x14ac:dyDescent="0.25">
      <c r="E925" t="str">
        <f>"2019052"</f>
        <v>2019052</v>
      </c>
      <c r="F925" t="str">
        <f>"TRANSPORT-Y.A. ESPINOZA"</f>
        <v>TRANSPORT-Y.A. ESPINOZA</v>
      </c>
      <c r="G925" s="2">
        <v>495</v>
      </c>
      <c r="H925" t="str">
        <f>"TRANSPORT-Y.A. ESPINOZA"</f>
        <v>TRANSPORT-Y.A. ESPINOZA</v>
      </c>
    </row>
    <row r="926" spans="1:8" x14ac:dyDescent="0.25">
      <c r="E926" t="str">
        <f>"2019053"</f>
        <v>2019053</v>
      </c>
      <c r="F926" t="str">
        <f>"TRANSPORT-J. BULLARD"</f>
        <v>TRANSPORT-J. BULLARD</v>
      </c>
      <c r="G926" s="2">
        <v>345</v>
      </c>
      <c r="H926" t="str">
        <f>"TRANSPORT-J. BULLARD"</f>
        <v>TRANSPORT-J. BULLARD</v>
      </c>
    </row>
    <row r="927" spans="1:8" x14ac:dyDescent="0.25">
      <c r="A927" t="s">
        <v>292</v>
      </c>
      <c r="B927" s="3">
        <v>670</v>
      </c>
      <c r="C927" s="2">
        <v>552.5</v>
      </c>
      <c r="D927" s="1">
        <v>43564</v>
      </c>
      <c r="E927" t="str">
        <f>"174596"</f>
        <v>174596</v>
      </c>
      <c r="F927" t="str">
        <f>"INV 174596"</f>
        <v>INV 174596</v>
      </c>
      <c r="G927" s="2">
        <v>552.5</v>
      </c>
      <c r="H927" t="str">
        <f>"INV 174596"</f>
        <v>INV 174596</v>
      </c>
    </row>
    <row r="928" spans="1:8" x14ac:dyDescent="0.25">
      <c r="A928" t="s">
        <v>293</v>
      </c>
      <c r="B928" s="3">
        <v>81756</v>
      </c>
      <c r="C928" s="2">
        <v>331.5</v>
      </c>
      <c r="D928" s="1">
        <v>43563</v>
      </c>
      <c r="E928" t="str">
        <f>"0025420"</f>
        <v>0025420</v>
      </c>
      <c r="F928" t="str">
        <f>"DIAGNOSTICS/PCT#2"</f>
        <v>DIAGNOSTICS/PCT#2</v>
      </c>
      <c r="G928" s="2">
        <v>331.5</v>
      </c>
      <c r="H928" t="str">
        <f>"DIAGNOSTICS/PCT#2"</f>
        <v>DIAGNOSTICS/PCT#2</v>
      </c>
    </row>
    <row r="929" spans="1:8" x14ac:dyDescent="0.25">
      <c r="A929" t="s">
        <v>294</v>
      </c>
      <c r="B929" s="3">
        <v>628</v>
      </c>
      <c r="C929" s="2">
        <v>1316.75</v>
      </c>
      <c r="D929" s="1">
        <v>43564</v>
      </c>
      <c r="E929" t="str">
        <f>"201904028310"</f>
        <v>201904028310</v>
      </c>
      <c r="F929" t="str">
        <f>"REIMBURSE-CONFERENCE REGISTRAT"</f>
        <v>REIMBURSE-CONFERENCE REGISTRAT</v>
      </c>
      <c r="G929" s="2">
        <v>76.94</v>
      </c>
      <c r="H929" t="str">
        <f>"REIMBURSE-CONFERENCE REGISTRAT"</f>
        <v>REIMBURSE-CONFERENCE REGISTRAT</v>
      </c>
    </row>
    <row r="930" spans="1:8" x14ac:dyDescent="0.25">
      <c r="E930" t="str">
        <f>"201904028315"</f>
        <v>201904028315</v>
      </c>
      <c r="F930" t="str">
        <f>"MILEAGE REIMBURSEMENT"</f>
        <v>MILEAGE REIMBURSEMENT</v>
      </c>
      <c r="G930" s="2">
        <v>206.48</v>
      </c>
      <c r="H930" t="str">
        <f>"MILEAGE REIMBURSEMENT"</f>
        <v>MILEAGE REIMBURSEMENT</v>
      </c>
    </row>
    <row r="931" spans="1:8" x14ac:dyDescent="0.25">
      <c r="E931" t="str">
        <f>"201904028316"</f>
        <v>201904028316</v>
      </c>
      <c r="F931" t="str">
        <f>"REIMBURSE MEALS/HOTEL/PARKING"</f>
        <v>REIMBURSE MEALS/HOTEL/PARKING</v>
      </c>
      <c r="G931" s="2">
        <v>398.67</v>
      </c>
      <c r="H931" t="str">
        <f>"REIMBURSE MEALS/HOTEL/PARKING"</f>
        <v>REIMBURSE MEALS/HOTEL/PARKING</v>
      </c>
    </row>
    <row r="932" spans="1:8" x14ac:dyDescent="0.25">
      <c r="E932" t="str">
        <f>"201904028317"</f>
        <v>201904028317</v>
      </c>
      <c r="F932" t="str">
        <f>"REIMBURSE MEALS/HOTEL"</f>
        <v>REIMBURSE MEALS/HOTEL</v>
      </c>
      <c r="G932" s="2">
        <v>436.59</v>
      </c>
      <c r="H932" t="str">
        <f>"REIMBURSE MEALS/HOTEL"</f>
        <v>REIMBURSE MEALS/HOTEL</v>
      </c>
    </row>
    <row r="933" spans="1:8" x14ac:dyDescent="0.25">
      <c r="E933" t="str">
        <f>"201904028321"</f>
        <v>201904028321</v>
      </c>
      <c r="F933" t="str">
        <f>"REIMBURSE HOTEL/REGISTRATION"</f>
        <v>REIMBURSE HOTEL/REGISTRATION</v>
      </c>
      <c r="G933" s="2">
        <v>198.07</v>
      </c>
      <c r="H933" t="str">
        <f>"REIMBURSE HOTEL/REGISTRATION"</f>
        <v>REIMBURSE HOTEL/REGISTRATION</v>
      </c>
    </row>
    <row r="934" spans="1:8" x14ac:dyDescent="0.25">
      <c r="A934" t="s">
        <v>295</v>
      </c>
      <c r="B934" s="3">
        <v>687</v>
      </c>
      <c r="C934" s="2">
        <v>132.56</v>
      </c>
      <c r="D934" s="1">
        <v>43578</v>
      </c>
      <c r="E934" t="str">
        <f>"19D0121569859"</f>
        <v>19D0121569859</v>
      </c>
      <c r="F934" t="str">
        <f>"ACCT#0121569859/JP#4"</f>
        <v>ACCT#0121569859/JP#4</v>
      </c>
      <c r="G934" s="2">
        <v>50.91</v>
      </c>
      <c r="H934" t="str">
        <f>"ACCT#0121569859/JP#4"</f>
        <v>ACCT#0121569859/JP#4</v>
      </c>
    </row>
    <row r="935" spans="1:8" x14ac:dyDescent="0.25">
      <c r="E935" t="str">
        <f>"19D0121587851"</f>
        <v>19D0121587851</v>
      </c>
      <c r="F935" t="str">
        <f>"ACCT#0121587851/PCT#4"</f>
        <v>ACCT#0121587851/PCT#4</v>
      </c>
      <c r="G935" s="2">
        <v>81.650000000000006</v>
      </c>
      <c r="H935" t="str">
        <f>"ACCT#0121587851/PCT#4"</f>
        <v>ACCT#0121587851/PCT#4</v>
      </c>
    </row>
    <row r="936" spans="1:8" x14ac:dyDescent="0.25">
      <c r="A936" t="s">
        <v>296</v>
      </c>
      <c r="B936" s="3">
        <v>81955</v>
      </c>
      <c r="C936" s="2">
        <v>219.99</v>
      </c>
      <c r="D936" s="1">
        <v>43577</v>
      </c>
      <c r="E936" t="str">
        <f>"201904108579"</f>
        <v>201904108579</v>
      </c>
      <c r="F936" t="str">
        <f>"ACCT#19610/PCT#4"</f>
        <v>ACCT#19610/PCT#4</v>
      </c>
      <c r="G936" s="2">
        <v>219.99</v>
      </c>
      <c r="H936" t="str">
        <f>"ACCT#19610/PCT#4"</f>
        <v>ACCT#19610/PCT#4</v>
      </c>
    </row>
    <row r="937" spans="1:8" x14ac:dyDescent="0.25">
      <c r="A937" t="s">
        <v>297</v>
      </c>
      <c r="B937" s="3">
        <v>81757</v>
      </c>
      <c r="C937" s="2">
        <v>7950</v>
      </c>
      <c r="D937" s="1">
        <v>43563</v>
      </c>
      <c r="E937" t="str">
        <f>"201904028294"</f>
        <v>201904028294</v>
      </c>
      <c r="F937" t="str">
        <f>"REPAIR CULVERT/PCT#2"</f>
        <v>REPAIR CULVERT/PCT#2</v>
      </c>
      <c r="G937" s="2">
        <v>7950</v>
      </c>
      <c r="H937" t="str">
        <f>"REPAIR CULVERT/PCT#2"</f>
        <v>REPAIR CULVERT/PCT#2</v>
      </c>
    </row>
    <row r="938" spans="1:8" x14ac:dyDescent="0.25">
      <c r="A938" t="s">
        <v>298</v>
      </c>
      <c r="B938" s="3">
        <v>81956</v>
      </c>
      <c r="C938" s="2">
        <v>9000</v>
      </c>
      <c r="D938" s="1">
        <v>43577</v>
      </c>
      <c r="E938" t="str">
        <f>"201904108548"</f>
        <v>201904108548</v>
      </c>
      <c r="F938" t="str">
        <f>"ACCT#34549337"</f>
        <v>ACCT#34549337</v>
      </c>
      <c r="G938" s="2">
        <v>9000</v>
      </c>
      <c r="H938" t="str">
        <f>"ACCT#34549337"</f>
        <v>ACCT#34549337</v>
      </c>
    </row>
    <row r="939" spans="1:8" x14ac:dyDescent="0.25">
      <c r="A939" t="s">
        <v>299</v>
      </c>
      <c r="B939" s="3">
        <v>668</v>
      </c>
      <c r="C939" s="2">
        <v>500</v>
      </c>
      <c r="D939" s="1">
        <v>43564</v>
      </c>
      <c r="E939" t="str">
        <f>"201904028268"</f>
        <v>201904028268</v>
      </c>
      <c r="F939" t="str">
        <f>"AC-2018-0224  56 492"</f>
        <v>AC-2018-0224  56 492</v>
      </c>
      <c r="G939" s="2">
        <v>250</v>
      </c>
      <c r="H939" t="str">
        <f>"AC-2018-0224  56 492"</f>
        <v>AC-2018-0224  56 492</v>
      </c>
    </row>
    <row r="940" spans="1:8" x14ac:dyDescent="0.25">
      <c r="E940" t="str">
        <f>"201904028275"</f>
        <v>201904028275</v>
      </c>
      <c r="F940" t="str">
        <f>"411228-5"</f>
        <v>411228-5</v>
      </c>
      <c r="G940" s="2">
        <v>250</v>
      </c>
      <c r="H940" t="str">
        <f>"411228-5"</f>
        <v>411228-5</v>
      </c>
    </row>
    <row r="941" spans="1:8" x14ac:dyDescent="0.25">
      <c r="A941" t="s">
        <v>299</v>
      </c>
      <c r="B941" s="3">
        <v>723</v>
      </c>
      <c r="C941" s="2">
        <v>500</v>
      </c>
      <c r="D941" s="1">
        <v>43578</v>
      </c>
      <c r="E941" t="str">
        <f>"201904158641"</f>
        <v>201904158641</v>
      </c>
      <c r="F941" t="str">
        <f>"56 558"</f>
        <v>56 558</v>
      </c>
      <c r="G941" s="2">
        <v>250</v>
      </c>
      <c r="H941" t="str">
        <f>"56 558"</f>
        <v>56 558</v>
      </c>
    </row>
    <row r="942" spans="1:8" x14ac:dyDescent="0.25">
      <c r="E942" t="str">
        <f>"201904158642"</f>
        <v>201904158642</v>
      </c>
      <c r="F942" t="str">
        <f>"56 693"</f>
        <v>56 693</v>
      </c>
      <c r="G942" s="2">
        <v>250</v>
      </c>
      <c r="H942" t="str">
        <f>"56 693"</f>
        <v>56 693</v>
      </c>
    </row>
    <row r="943" spans="1:8" x14ac:dyDescent="0.25">
      <c r="A943" t="s">
        <v>300</v>
      </c>
      <c r="B943" s="3">
        <v>81957</v>
      </c>
      <c r="C943" s="2">
        <v>850</v>
      </c>
      <c r="D943" s="1">
        <v>43577</v>
      </c>
      <c r="E943" t="str">
        <f>"201904118593"</f>
        <v>201904118593</v>
      </c>
      <c r="F943" t="str">
        <f>"16 567"</f>
        <v>16 567</v>
      </c>
      <c r="G943" s="2">
        <v>850</v>
      </c>
      <c r="H943" t="str">
        <f>"16 567"</f>
        <v>16 567</v>
      </c>
    </row>
    <row r="944" spans="1:8" x14ac:dyDescent="0.25">
      <c r="A944" t="s">
        <v>301</v>
      </c>
      <c r="B944" s="3">
        <v>81958</v>
      </c>
      <c r="C944" s="2">
        <v>15627.47</v>
      </c>
      <c r="D944" s="1">
        <v>43577</v>
      </c>
      <c r="E944" t="str">
        <f>"33167142"</f>
        <v>33167142</v>
      </c>
      <c r="F944" t="str">
        <f>"CUST#2000172616"</f>
        <v>CUST#2000172616</v>
      </c>
      <c r="G944" s="2">
        <v>7707.57</v>
      </c>
      <c r="H944" t="str">
        <f t="shared" ref="H944:H975" si="12">"CUST#2000172616"</f>
        <v>CUST#2000172616</v>
      </c>
    </row>
    <row r="945" spans="5:8" x14ac:dyDescent="0.25">
      <c r="E945" t="str">
        <f>""</f>
        <v/>
      </c>
      <c r="F945" t="str">
        <f>""</f>
        <v/>
      </c>
      <c r="H945" t="str">
        <f t="shared" si="12"/>
        <v>CUST#2000172616</v>
      </c>
    </row>
    <row r="946" spans="5:8" x14ac:dyDescent="0.25">
      <c r="E946" t="str">
        <f>""</f>
        <v/>
      </c>
      <c r="F946" t="str">
        <f>""</f>
        <v/>
      </c>
      <c r="H946" t="str">
        <f t="shared" si="12"/>
        <v>CUST#2000172616</v>
      </c>
    </row>
    <row r="947" spans="5:8" x14ac:dyDescent="0.25">
      <c r="E947" t="str">
        <f>""</f>
        <v/>
      </c>
      <c r="F947" t="str">
        <f>""</f>
        <v/>
      </c>
      <c r="H947" t="str">
        <f t="shared" si="12"/>
        <v>CUST#2000172616</v>
      </c>
    </row>
    <row r="948" spans="5:8" x14ac:dyDescent="0.25">
      <c r="E948" t="str">
        <f>""</f>
        <v/>
      </c>
      <c r="F948" t="str">
        <f>""</f>
        <v/>
      </c>
      <c r="H948" t="str">
        <f t="shared" si="12"/>
        <v>CUST#2000172616</v>
      </c>
    </row>
    <row r="949" spans="5:8" x14ac:dyDescent="0.25">
      <c r="E949" t="str">
        <f>""</f>
        <v/>
      </c>
      <c r="F949" t="str">
        <f>""</f>
        <v/>
      </c>
      <c r="H949" t="str">
        <f t="shared" si="12"/>
        <v>CUST#2000172616</v>
      </c>
    </row>
    <row r="950" spans="5:8" x14ac:dyDescent="0.25">
      <c r="E950" t="str">
        <f>""</f>
        <v/>
      </c>
      <c r="F950" t="str">
        <f>""</f>
        <v/>
      </c>
      <c r="H950" t="str">
        <f t="shared" si="12"/>
        <v>CUST#2000172616</v>
      </c>
    </row>
    <row r="951" spans="5:8" x14ac:dyDescent="0.25">
      <c r="E951" t="str">
        <f>""</f>
        <v/>
      </c>
      <c r="F951" t="str">
        <f>""</f>
        <v/>
      </c>
      <c r="H951" t="str">
        <f t="shared" si="12"/>
        <v>CUST#2000172616</v>
      </c>
    </row>
    <row r="952" spans="5:8" x14ac:dyDescent="0.25">
      <c r="E952" t="str">
        <f>""</f>
        <v/>
      </c>
      <c r="F952" t="str">
        <f>""</f>
        <v/>
      </c>
      <c r="H952" t="str">
        <f t="shared" si="12"/>
        <v>CUST#2000172616</v>
      </c>
    </row>
    <row r="953" spans="5:8" x14ac:dyDescent="0.25">
      <c r="E953" t="str">
        <f>""</f>
        <v/>
      </c>
      <c r="F953" t="str">
        <f>""</f>
        <v/>
      </c>
      <c r="H953" t="str">
        <f t="shared" si="12"/>
        <v>CUST#2000172616</v>
      </c>
    </row>
    <row r="954" spans="5:8" x14ac:dyDescent="0.25">
      <c r="E954" t="str">
        <f>""</f>
        <v/>
      </c>
      <c r="F954" t="str">
        <f>""</f>
        <v/>
      </c>
      <c r="H954" t="str">
        <f t="shared" si="12"/>
        <v>CUST#2000172616</v>
      </c>
    </row>
    <row r="955" spans="5:8" x14ac:dyDescent="0.25">
      <c r="E955" t="str">
        <f>""</f>
        <v/>
      </c>
      <c r="F955" t="str">
        <f>""</f>
        <v/>
      </c>
      <c r="H955" t="str">
        <f t="shared" si="12"/>
        <v>CUST#2000172616</v>
      </c>
    </row>
    <row r="956" spans="5:8" x14ac:dyDescent="0.25">
      <c r="E956" t="str">
        <f>""</f>
        <v/>
      </c>
      <c r="F956" t="str">
        <f>""</f>
        <v/>
      </c>
      <c r="H956" t="str">
        <f t="shared" si="12"/>
        <v>CUST#2000172616</v>
      </c>
    </row>
    <row r="957" spans="5:8" x14ac:dyDescent="0.25">
      <c r="E957" t="str">
        <f>""</f>
        <v/>
      </c>
      <c r="F957" t="str">
        <f>""</f>
        <v/>
      </c>
      <c r="H957" t="str">
        <f t="shared" si="12"/>
        <v>CUST#2000172616</v>
      </c>
    </row>
    <row r="958" spans="5:8" x14ac:dyDescent="0.25">
      <c r="E958" t="str">
        <f>""</f>
        <v/>
      </c>
      <c r="F958" t="str">
        <f>""</f>
        <v/>
      </c>
      <c r="H958" t="str">
        <f t="shared" si="12"/>
        <v>CUST#2000172616</v>
      </c>
    </row>
    <row r="959" spans="5:8" x14ac:dyDescent="0.25">
      <c r="E959" t="str">
        <f>""</f>
        <v/>
      </c>
      <c r="F959" t="str">
        <f>""</f>
        <v/>
      </c>
      <c r="H959" t="str">
        <f t="shared" si="12"/>
        <v>CUST#2000172616</v>
      </c>
    </row>
    <row r="960" spans="5:8" x14ac:dyDescent="0.25">
      <c r="E960" t="str">
        <f>""</f>
        <v/>
      </c>
      <c r="F960" t="str">
        <f>""</f>
        <v/>
      </c>
      <c r="H960" t="str">
        <f t="shared" si="12"/>
        <v>CUST#2000172616</v>
      </c>
    </row>
    <row r="961" spans="5:8" x14ac:dyDescent="0.25">
      <c r="E961" t="str">
        <f>""</f>
        <v/>
      </c>
      <c r="F961" t="str">
        <f>""</f>
        <v/>
      </c>
      <c r="H961" t="str">
        <f t="shared" si="12"/>
        <v>CUST#2000172616</v>
      </c>
    </row>
    <row r="962" spans="5:8" x14ac:dyDescent="0.25">
      <c r="E962" t="str">
        <f>""</f>
        <v/>
      </c>
      <c r="F962" t="str">
        <f>""</f>
        <v/>
      </c>
      <c r="H962" t="str">
        <f t="shared" si="12"/>
        <v>CUST#2000172616</v>
      </c>
    </row>
    <row r="963" spans="5:8" x14ac:dyDescent="0.25">
      <c r="E963" t="str">
        <f>""</f>
        <v/>
      </c>
      <c r="F963" t="str">
        <f>""</f>
        <v/>
      </c>
      <c r="H963" t="str">
        <f t="shared" si="12"/>
        <v>CUST#2000172616</v>
      </c>
    </row>
    <row r="964" spans="5:8" x14ac:dyDescent="0.25">
      <c r="E964" t="str">
        <f>""</f>
        <v/>
      </c>
      <c r="F964" t="str">
        <f>""</f>
        <v/>
      </c>
      <c r="H964" t="str">
        <f t="shared" si="12"/>
        <v>CUST#2000172616</v>
      </c>
    </row>
    <row r="965" spans="5:8" x14ac:dyDescent="0.25">
      <c r="E965" t="str">
        <f>""</f>
        <v/>
      </c>
      <c r="F965" t="str">
        <f>""</f>
        <v/>
      </c>
      <c r="H965" t="str">
        <f t="shared" si="12"/>
        <v>CUST#2000172616</v>
      </c>
    </row>
    <row r="966" spans="5:8" x14ac:dyDescent="0.25">
      <c r="E966" t="str">
        <f>""</f>
        <v/>
      </c>
      <c r="F966" t="str">
        <f>""</f>
        <v/>
      </c>
      <c r="H966" t="str">
        <f t="shared" si="12"/>
        <v>CUST#2000172616</v>
      </c>
    </row>
    <row r="967" spans="5:8" x14ac:dyDescent="0.25">
      <c r="E967" t="str">
        <f>""</f>
        <v/>
      </c>
      <c r="F967" t="str">
        <f>""</f>
        <v/>
      </c>
      <c r="H967" t="str">
        <f t="shared" si="12"/>
        <v>CUST#2000172616</v>
      </c>
    </row>
    <row r="968" spans="5:8" x14ac:dyDescent="0.25">
      <c r="E968" t="str">
        <f>""</f>
        <v/>
      </c>
      <c r="F968" t="str">
        <f>""</f>
        <v/>
      </c>
      <c r="H968" t="str">
        <f t="shared" si="12"/>
        <v>CUST#2000172616</v>
      </c>
    </row>
    <row r="969" spans="5:8" x14ac:dyDescent="0.25">
      <c r="E969" t="str">
        <f>""</f>
        <v/>
      </c>
      <c r="F969" t="str">
        <f>""</f>
        <v/>
      </c>
      <c r="H969" t="str">
        <f t="shared" si="12"/>
        <v>CUST#2000172616</v>
      </c>
    </row>
    <row r="970" spans="5:8" x14ac:dyDescent="0.25">
      <c r="E970" t="str">
        <f>""</f>
        <v/>
      </c>
      <c r="F970" t="str">
        <f>""</f>
        <v/>
      </c>
      <c r="H970" t="str">
        <f t="shared" si="12"/>
        <v>CUST#2000172616</v>
      </c>
    </row>
    <row r="971" spans="5:8" x14ac:dyDescent="0.25">
      <c r="E971" t="str">
        <f>""</f>
        <v/>
      </c>
      <c r="F971" t="str">
        <f>""</f>
        <v/>
      </c>
      <c r="H971" t="str">
        <f t="shared" si="12"/>
        <v>CUST#2000172616</v>
      </c>
    </row>
    <row r="972" spans="5:8" x14ac:dyDescent="0.25">
      <c r="E972" t="str">
        <f>"33291047"</f>
        <v>33291047</v>
      </c>
      <c r="F972" t="str">
        <f>"CUST#2000172616"</f>
        <v>CUST#2000172616</v>
      </c>
      <c r="G972" s="2">
        <v>7919.9</v>
      </c>
      <c r="H972" t="str">
        <f t="shared" si="12"/>
        <v>CUST#2000172616</v>
      </c>
    </row>
    <row r="973" spans="5:8" x14ac:dyDescent="0.25">
      <c r="E973" t="str">
        <f>""</f>
        <v/>
      </c>
      <c r="F973" t="str">
        <f>""</f>
        <v/>
      </c>
      <c r="H973" t="str">
        <f t="shared" si="12"/>
        <v>CUST#2000172616</v>
      </c>
    </row>
    <row r="974" spans="5:8" x14ac:dyDescent="0.25">
      <c r="E974" t="str">
        <f>""</f>
        <v/>
      </c>
      <c r="F974" t="str">
        <f>""</f>
        <v/>
      </c>
      <c r="H974" t="str">
        <f t="shared" si="12"/>
        <v>CUST#2000172616</v>
      </c>
    </row>
    <row r="975" spans="5:8" x14ac:dyDescent="0.25">
      <c r="E975" t="str">
        <f>""</f>
        <v/>
      </c>
      <c r="F975" t="str">
        <f>""</f>
        <v/>
      </c>
      <c r="H975" t="str">
        <f t="shared" si="12"/>
        <v>CUST#2000172616</v>
      </c>
    </row>
    <row r="976" spans="5:8" x14ac:dyDescent="0.25">
      <c r="E976" t="str">
        <f>""</f>
        <v/>
      </c>
      <c r="F976" t="str">
        <f>""</f>
        <v/>
      </c>
      <c r="H976" t="str">
        <f t="shared" ref="H976:H1000" si="13">"CUST#2000172616"</f>
        <v>CUST#2000172616</v>
      </c>
    </row>
    <row r="977" spans="5:8" x14ac:dyDescent="0.25">
      <c r="E977" t="str">
        <f>""</f>
        <v/>
      </c>
      <c r="F977" t="str">
        <f>""</f>
        <v/>
      </c>
      <c r="H977" t="str">
        <f t="shared" si="13"/>
        <v>CUST#2000172616</v>
      </c>
    </row>
    <row r="978" spans="5:8" x14ac:dyDescent="0.25">
      <c r="E978" t="str">
        <f>""</f>
        <v/>
      </c>
      <c r="F978" t="str">
        <f>""</f>
        <v/>
      </c>
      <c r="H978" t="str">
        <f t="shared" si="13"/>
        <v>CUST#2000172616</v>
      </c>
    </row>
    <row r="979" spans="5:8" x14ac:dyDescent="0.25">
      <c r="E979" t="str">
        <f>""</f>
        <v/>
      </c>
      <c r="F979" t="str">
        <f>""</f>
        <v/>
      </c>
      <c r="H979" t="str">
        <f t="shared" si="13"/>
        <v>CUST#2000172616</v>
      </c>
    </row>
    <row r="980" spans="5:8" x14ac:dyDescent="0.25">
      <c r="E980" t="str">
        <f>""</f>
        <v/>
      </c>
      <c r="F980" t="str">
        <f>""</f>
        <v/>
      </c>
      <c r="H980" t="str">
        <f t="shared" si="13"/>
        <v>CUST#2000172616</v>
      </c>
    </row>
    <row r="981" spans="5:8" x14ac:dyDescent="0.25">
      <c r="E981" t="str">
        <f>""</f>
        <v/>
      </c>
      <c r="F981" t="str">
        <f>""</f>
        <v/>
      </c>
      <c r="H981" t="str">
        <f t="shared" si="13"/>
        <v>CUST#2000172616</v>
      </c>
    </row>
    <row r="982" spans="5:8" x14ac:dyDescent="0.25">
      <c r="E982" t="str">
        <f>""</f>
        <v/>
      </c>
      <c r="F982" t="str">
        <f>""</f>
        <v/>
      </c>
      <c r="H982" t="str">
        <f t="shared" si="13"/>
        <v>CUST#2000172616</v>
      </c>
    </row>
    <row r="983" spans="5:8" x14ac:dyDescent="0.25">
      <c r="E983" t="str">
        <f>""</f>
        <v/>
      </c>
      <c r="F983" t="str">
        <f>""</f>
        <v/>
      </c>
      <c r="H983" t="str">
        <f t="shared" si="13"/>
        <v>CUST#2000172616</v>
      </c>
    </row>
    <row r="984" spans="5:8" x14ac:dyDescent="0.25">
      <c r="E984" t="str">
        <f>""</f>
        <v/>
      </c>
      <c r="F984" t="str">
        <f>""</f>
        <v/>
      </c>
      <c r="H984" t="str">
        <f t="shared" si="13"/>
        <v>CUST#2000172616</v>
      </c>
    </row>
    <row r="985" spans="5:8" x14ac:dyDescent="0.25">
      <c r="E985" t="str">
        <f>""</f>
        <v/>
      </c>
      <c r="F985" t="str">
        <f>""</f>
        <v/>
      </c>
      <c r="H985" t="str">
        <f t="shared" si="13"/>
        <v>CUST#2000172616</v>
      </c>
    </row>
    <row r="986" spans="5:8" x14ac:dyDescent="0.25">
      <c r="E986" t="str">
        <f>""</f>
        <v/>
      </c>
      <c r="F986" t="str">
        <f>""</f>
        <v/>
      </c>
      <c r="H986" t="str">
        <f t="shared" si="13"/>
        <v>CUST#2000172616</v>
      </c>
    </row>
    <row r="987" spans="5:8" x14ac:dyDescent="0.25">
      <c r="E987" t="str">
        <f>""</f>
        <v/>
      </c>
      <c r="F987" t="str">
        <f>""</f>
        <v/>
      </c>
      <c r="H987" t="str">
        <f t="shared" si="13"/>
        <v>CUST#2000172616</v>
      </c>
    </row>
    <row r="988" spans="5:8" x14ac:dyDescent="0.25">
      <c r="E988" t="str">
        <f>""</f>
        <v/>
      </c>
      <c r="F988" t="str">
        <f>""</f>
        <v/>
      </c>
      <c r="H988" t="str">
        <f t="shared" si="13"/>
        <v>CUST#2000172616</v>
      </c>
    </row>
    <row r="989" spans="5:8" x14ac:dyDescent="0.25">
      <c r="E989" t="str">
        <f>""</f>
        <v/>
      </c>
      <c r="F989" t="str">
        <f>""</f>
        <v/>
      </c>
      <c r="H989" t="str">
        <f t="shared" si="13"/>
        <v>CUST#2000172616</v>
      </c>
    </row>
    <row r="990" spans="5:8" x14ac:dyDescent="0.25">
      <c r="E990" t="str">
        <f>""</f>
        <v/>
      </c>
      <c r="F990" t="str">
        <f>""</f>
        <v/>
      </c>
      <c r="H990" t="str">
        <f t="shared" si="13"/>
        <v>CUST#2000172616</v>
      </c>
    </row>
    <row r="991" spans="5:8" x14ac:dyDescent="0.25">
      <c r="E991" t="str">
        <f>""</f>
        <v/>
      </c>
      <c r="F991" t="str">
        <f>""</f>
        <v/>
      </c>
      <c r="H991" t="str">
        <f t="shared" si="13"/>
        <v>CUST#2000172616</v>
      </c>
    </row>
    <row r="992" spans="5:8" x14ac:dyDescent="0.25">
      <c r="E992" t="str">
        <f>""</f>
        <v/>
      </c>
      <c r="F992" t="str">
        <f>""</f>
        <v/>
      </c>
      <c r="H992" t="str">
        <f t="shared" si="13"/>
        <v>CUST#2000172616</v>
      </c>
    </row>
    <row r="993" spans="1:8" x14ac:dyDescent="0.25">
      <c r="E993" t="str">
        <f>""</f>
        <v/>
      </c>
      <c r="F993" t="str">
        <f>""</f>
        <v/>
      </c>
      <c r="H993" t="str">
        <f t="shared" si="13"/>
        <v>CUST#2000172616</v>
      </c>
    </row>
    <row r="994" spans="1:8" x14ac:dyDescent="0.25">
      <c r="E994" t="str">
        <f>""</f>
        <v/>
      </c>
      <c r="F994" t="str">
        <f>""</f>
        <v/>
      </c>
      <c r="H994" t="str">
        <f t="shared" si="13"/>
        <v>CUST#2000172616</v>
      </c>
    </row>
    <row r="995" spans="1:8" x14ac:dyDescent="0.25">
      <c r="E995" t="str">
        <f>""</f>
        <v/>
      </c>
      <c r="F995" t="str">
        <f>""</f>
        <v/>
      </c>
      <c r="H995" t="str">
        <f t="shared" si="13"/>
        <v>CUST#2000172616</v>
      </c>
    </row>
    <row r="996" spans="1:8" x14ac:dyDescent="0.25">
      <c r="E996" t="str">
        <f>""</f>
        <v/>
      </c>
      <c r="F996" t="str">
        <f>""</f>
        <v/>
      </c>
      <c r="H996" t="str">
        <f t="shared" si="13"/>
        <v>CUST#2000172616</v>
      </c>
    </row>
    <row r="997" spans="1:8" x14ac:dyDescent="0.25">
      <c r="E997" t="str">
        <f>""</f>
        <v/>
      </c>
      <c r="F997" t="str">
        <f>""</f>
        <v/>
      </c>
      <c r="H997" t="str">
        <f t="shared" si="13"/>
        <v>CUST#2000172616</v>
      </c>
    </row>
    <row r="998" spans="1:8" x14ac:dyDescent="0.25">
      <c r="E998" t="str">
        <f>""</f>
        <v/>
      </c>
      <c r="F998" t="str">
        <f>""</f>
        <v/>
      </c>
      <c r="H998" t="str">
        <f t="shared" si="13"/>
        <v>CUST#2000172616</v>
      </c>
    </row>
    <row r="999" spans="1:8" x14ac:dyDescent="0.25">
      <c r="E999" t="str">
        <f>""</f>
        <v/>
      </c>
      <c r="F999" t="str">
        <f>""</f>
        <v/>
      </c>
      <c r="H999" t="str">
        <f t="shared" si="13"/>
        <v>CUST#2000172616</v>
      </c>
    </row>
    <row r="1000" spans="1:8" x14ac:dyDescent="0.25">
      <c r="E1000" t="str">
        <f>""</f>
        <v/>
      </c>
      <c r="F1000" t="str">
        <f>""</f>
        <v/>
      </c>
      <c r="H1000" t="str">
        <f t="shared" si="13"/>
        <v>CUST#2000172616</v>
      </c>
    </row>
    <row r="1001" spans="1:8" x14ac:dyDescent="0.25">
      <c r="A1001" t="s">
        <v>302</v>
      </c>
      <c r="B1001" s="3">
        <v>630</v>
      </c>
      <c r="C1001" s="2">
        <v>375</v>
      </c>
      <c r="D1001" s="1">
        <v>43564</v>
      </c>
      <c r="E1001" t="str">
        <f>"W012821"</f>
        <v>W012821</v>
      </c>
      <c r="F1001" t="str">
        <f>"WO12821 / UNIT 7278"</f>
        <v>WO12821 / UNIT 7278</v>
      </c>
      <c r="G1001" s="2">
        <v>375</v>
      </c>
      <c r="H1001" t="str">
        <f>"WO12821 / UNIT 7278"</f>
        <v>WO12821 / UNIT 7278</v>
      </c>
    </row>
    <row r="1002" spans="1:8" x14ac:dyDescent="0.25">
      <c r="A1002" t="s">
        <v>302</v>
      </c>
      <c r="B1002" s="3">
        <v>685</v>
      </c>
      <c r="C1002" s="2">
        <v>50</v>
      </c>
      <c r="D1002" s="1">
        <v>43578</v>
      </c>
      <c r="E1002" t="str">
        <f>"W012910"</f>
        <v>W012910</v>
      </c>
      <c r="F1002" t="str">
        <f>"INV W012910 / UNIT 1995"</f>
        <v>INV W012910 / UNIT 1995</v>
      </c>
      <c r="G1002" s="2">
        <v>50</v>
      </c>
      <c r="H1002" t="str">
        <f>"INV W012910"</f>
        <v>INV W012910</v>
      </c>
    </row>
    <row r="1003" spans="1:8" x14ac:dyDescent="0.25">
      <c r="A1003" t="s">
        <v>303</v>
      </c>
      <c r="B1003" s="3">
        <v>700</v>
      </c>
      <c r="C1003" s="2">
        <v>650</v>
      </c>
      <c r="D1003" s="1">
        <v>43578</v>
      </c>
      <c r="E1003" t="str">
        <f>"BCMAR2019"</f>
        <v>BCMAR2019</v>
      </c>
      <c r="F1003" t="str">
        <f>"INV BCMAR2019"</f>
        <v>INV BCMAR2019</v>
      </c>
      <c r="G1003" s="2">
        <v>650</v>
      </c>
      <c r="H1003" t="str">
        <f>"INV BCMAR2019"</f>
        <v>INV BCMAR2019</v>
      </c>
    </row>
    <row r="1004" spans="1:8" x14ac:dyDescent="0.25">
      <c r="A1004" t="s">
        <v>304</v>
      </c>
      <c r="B1004" s="3">
        <v>667</v>
      </c>
      <c r="C1004" s="2">
        <v>2000</v>
      </c>
      <c r="D1004" s="1">
        <v>43564</v>
      </c>
      <c r="E1004" t="str">
        <f>"201903288135"</f>
        <v>201903288135</v>
      </c>
      <c r="F1004" t="str">
        <f>"423-6126/PSYC EVAL"</f>
        <v>423-6126/PSYC EVAL</v>
      </c>
      <c r="G1004" s="2">
        <v>1000</v>
      </c>
      <c r="H1004" t="str">
        <f>"423-6126"</f>
        <v>423-6126</v>
      </c>
    </row>
    <row r="1005" spans="1:8" x14ac:dyDescent="0.25">
      <c r="E1005" t="str">
        <f>"201903288136"</f>
        <v>201903288136</v>
      </c>
      <c r="F1005" t="str">
        <f>"16683/PSYC EVAL"</f>
        <v>16683/PSYC EVAL</v>
      </c>
      <c r="G1005" s="2">
        <v>1000</v>
      </c>
      <c r="H1005" t="str">
        <f>"16683"</f>
        <v>16683</v>
      </c>
    </row>
    <row r="1006" spans="1:8" x14ac:dyDescent="0.25">
      <c r="A1006" t="s">
        <v>305</v>
      </c>
      <c r="B1006" s="3">
        <v>81758</v>
      </c>
      <c r="C1006" s="2">
        <v>119.63</v>
      </c>
      <c r="D1006" s="1">
        <v>43563</v>
      </c>
      <c r="E1006" t="str">
        <f>"4562781"</f>
        <v>4562781</v>
      </c>
      <c r="F1006" t="str">
        <f>"CUST ID:90564/ORD#2555671/GEN"</f>
        <v>CUST ID:90564/ORD#2555671/GEN</v>
      </c>
      <c r="G1006" s="2">
        <v>119.63</v>
      </c>
      <c r="H1006" t="str">
        <f>"CUST ID:90564/ORD#2555671/GEN"</f>
        <v>CUST ID:90564/ORD#2555671/GEN</v>
      </c>
    </row>
    <row r="1007" spans="1:8" x14ac:dyDescent="0.25">
      <c r="A1007" t="s">
        <v>305</v>
      </c>
      <c r="B1007" s="3">
        <v>81959</v>
      </c>
      <c r="C1007" s="2">
        <v>2527.92</v>
      </c>
      <c r="D1007" s="1">
        <v>43577</v>
      </c>
      <c r="E1007" t="str">
        <f>"4566111 4567874 45"</f>
        <v>4566111 4567874 45</v>
      </c>
      <c r="F1007" t="str">
        <f>"INV 4566111"</f>
        <v>INV 4566111</v>
      </c>
      <c r="G1007" s="2">
        <v>2372.2600000000002</v>
      </c>
      <c r="H1007" t="str">
        <f>"INV 4566111"</f>
        <v>INV 4566111</v>
      </c>
    </row>
    <row r="1008" spans="1:8" x14ac:dyDescent="0.25">
      <c r="E1008" t="str">
        <f>""</f>
        <v/>
      </c>
      <c r="F1008" t="str">
        <f>""</f>
        <v/>
      </c>
      <c r="H1008" t="str">
        <f>"CM 4567870"</f>
        <v>CM 4567870</v>
      </c>
    </row>
    <row r="1009" spans="1:8" x14ac:dyDescent="0.25">
      <c r="E1009" t="str">
        <f>""</f>
        <v/>
      </c>
      <c r="F1009" t="str">
        <f>""</f>
        <v/>
      </c>
      <c r="H1009" t="str">
        <f>"INV 4567874"</f>
        <v>INV 4567874</v>
      </c>
    </row>
    <row r="1010" spans="1:8" x14ac:dyDescent="0.25">
      <c r="E1010" t="str">
        <f>"4572342"</f>
        <v>4572342</v>
      </c>
      <c r="F1010" t="str">
        <f>"CUST ID:90564/GEN SVCS"</f>
        <v>CUST ID:90564/GEN SVCS</v>
      </c>
      <c r="G1010" s="2">
        <v>57.16</v>
      </c>
      <c r="H1010" t="str">
        <f>"CUST ID:90564/GEN SVCS"</f>
        <v>CUST ID:90564/GEN SVCS</v>
      </c>
    </row>
    <row r="1011" spans="1:8" x14ac:dyDescent="0.25">
      <c r="E1011" t="str">
        <f>"4575172"</f>
        <v>4575172</v>
      </c>
      <c r="F1011" t="str">
        <f>"CUST ID:90564/GEN SVCS"</f>
        <v>CUST ID:90564/GEN SVCS</v>
      </c>
      <c r="G1011" s="2">
        <v>29.89</v>
      </c>
      <c r="H1011" t="str">
        <f>"CUST ID:90564/GEN SVCS"</f>
        <v>CUST ID:90564/GEN SVCS</v>
      </c>
    </row>
    <row r="1012" spans="1:8" x14ac:dyDescent="0.25">
      <c r="E1012" t="str">
        <f>"4582112"</f>
        <v>4582112</v>
      </c>
      <c r="F1012" t="str">
        <f>"CUST#90564/GEN SVCS"</f>
        <v>CUST#90564/GEN SVCS</v>
      </c>
      <c r="G1012" s="2">
        <v>68.61</v>
      </c>
      <c r="H1012" t="str">
        <f>"CUST#90564/GEN SVCS"</f>
        <v>CUST#90564/GEN SVCS</v>
      </c>
    </row>
    <row r="1013" spans="1:8" x14ac:dyDescent="0.25">
      <c r="A1013" t="s">
        <v>306</v>
      </c>
      <c r="B1013" s="3">
        <v>81960</v>
      </c>
      <c r="C1013" s="2">
        <v>95</v>
      </c>
      <c r="D1013" s="1">
        <v>43577</v>
      </c>
      <c r="E1013" t="str">
        <f>"201904158711"</f>
        <v>201904158711</v>
      </c>
      <c r="F1013" t="str">
        <f>"FERAL HOGS"</f>
        <v>FERAL HOGS</v>
      </c>
      <c r="G1013" s="2">
        <v>95</v>
      </c>
      <c r="H1013" t="str">
        <f>"FERAL HOGS"</f>
        <v>FERAL HOGS</v>
      </c>
    </row>
    <row r="1014" spans="1:8" x14ac:dyDescent="0.25">
      <c r="A1014" t="s">
        <v>307</v>
      </c>
      <c r="B1014" s="3">
        <v>81759</v>
      </c>
      <c r="C1014" s="2">
        <v>720</v>
      </c>
      <c r="D1014" s="1">
        <v>43563</v>
      </c>
      <c r="E1014" t="str">
        <f>"19003"</f>
        <v>19003</v>
      </c>
      <c r="F1014" t="str">
        <f>"INTERPRETER"</f>
        <v>INTERPRETER</v>
      </c>
      <c r="G1014" s="2">
        <v>720</v>
      </c>
      <c r="H1014" t="str">
        <f>"INTERPRETER"</f>
        <v>INTERPRETER</v>
      </c>
    </row>
    <row r="1015" spans="1:8" x14ac:dyDescent="0.25">
      <c r="A1015" t="s">
        <v>308</v>
      </c>
      <c r="B1015" s="3">
        <v>81760</v>
      </c>
      <c r="C1015" s="2">
        <v>122</v>
      </c>
      <c r="D1015" s="1">
        <v>43563</v>
      </c>
      <c r="E1015" t="str">
        <f>"201904028320"</f>
        <v>201904028320</v>
      </c>
      <c r="F1015" t="str">
        <f>"DEVELOPMENT SVCS RECORDING FEE"</f>
        <v>DEVELOPMENT SVCS RECORDING FEE</v>
      </c>
      <c r="G1015" s="2">
        <v>122</v>
      </c>
      <c r="H1015" t="str">
        <f>"DEVELOPMENT SVCS RECORDING FEE"</f>
        <v>DEVELOPMENT SVCS RECORDING FEE</v>
      </c>
    </row>
    <row r="1016" spans="1:8" x14ac:dyDescent="0.25">
      <c r="A1016" t="s">
        <v>308</v>
      </c>
      <c r="B1016" s="3">
        <v>81961</v>
      </c>
      <c r="C1016" s="2">
        <v>702</v>
      </c>
      <c r="D1016" s="1">
        <v>43577</v>
      </c>
      <c r="E1016" t="str">
        <f>"201904098539"</f>
        <v>201904098539</v>
      </c>
      <c r="F1016" t="str">
        <f>"LPHCP RECORDING FEES"</f>
        <v>LPHCP RECORDING FEES</v>
      </c>
      <c r="G1016" s="2">
        <v>306</v>
      </c>
      <c r="H1016" t="str">
        <f>"LPHCP RECORDING FEES"</f>
        <v>LPHCP RECORDING FEES</v>
      </c>
    </row>
    <row r="1017" spans="1:8" x14ac:dyDescent="0.25">
      <c r="E1017" t="str">
        <f>"201904128600"</f>
        <v>201904128600</v>
      </c>
      <c r="F1017" t="str">
        <f>"LPHCP RECORDING FEES"</f>
        <v>LPHCP RECORDING FEES</v>
      </c>
      <c r="G1017" s="2">
        <v>396</v>
      </c>
      <c r="H1017" t="str">
        <f>"LPHCP RECORDING FEES"</f>
        <v>LPHCP RECORDING FEES</v>
      </c>
    </row>
    <row r="1018" spans="1:8" x14ac:dyDescent="0.25">
      <c r="A1018" t="s">
        <v>309</v>
      </c>
      <c r="B1018" s="3">
        <v>81962</v>
      </c>
      <c r="C1018" s="2">
        <v>10</v>
      </c>
      <c r="D1018" s="1">
        <v>43577</v>
      </c>
      <c r="E1018" t="str">
        <f>"201904158712"</f>
        <v>201904158712</v>
      </c>
      <c r="F1018" t="str">
        <f>"FERAL HOGS"</f>
        <v>FERAL HOGS</v>
      </c>
      <c r="G1018" s="2">
        <v>10</v>
      </c>
      <c r="H1018" t="str">
        <f>"FERAL HOGS"</f>
        <v>FERAL HOGS</v>
      </c>
    </row>
    <row r="1019" spans="1:8" x14ac:dyDescent="0.25">
      <c r="A1019" t="s">
        <v>310</v>
      </c>
      <c r="B1019" s="3">
        <v>81963</v>
      </c>
      <c r="C1019" s="2">
        <v>4523.4399999999996</v>
      </c>
      <c r="D1019" s="1">
        <v>43577</v>
      </c>
      <c r="E1019" t="str">
        <f>"0006732"</f>
        <v>0006732</v>
      </c>
      <c r="F1019" t="str">
        <f>"inv# 0006732"</f>
        <v>inv# 0006732</v>
      </c>
      <c r="G1019" s="2">
        <v>4523.4399999999996</v>
      </c>
      <c r="H1019" t="str">
        <f>"inv# 0006732"</f>
        <v>inv# 0006732</v>
      </c>
    </row>
    <row r="1020" spans="1:8" x14ac:dyDescent="0.25">
      <c r="A1020" t="s">
        <v>311</v>
      </c>
      <c r="B1020" s="3">
        <v>81964</v>
      </c>
      <c r="C1020" s="2">
        <v>823.26</v>
      </c>
      <c r="D1020" s="1">
        <v>43577</v>
      </c>
      <c r="E1020" t="str">
        <f>"0000009"</f>
        <v>0000009</v>
      </c>
      <c r="F1020" t="str">
        <f>"INTERPRETER"</f>
        <v>INTERPRETER</v>
      </c>
      <c r="G1020" s="2">
        <v>422.63</v>
      </c>
      <c r="H1020" t="str">
        <f>"INTERPRETER"</f>
        <v>INTERPRETER</v>
      </c>
    </row>
    <row r="1021" spans="1:8" x14ac:dyDescent="0.25">
      <c r="E1021" t="str">
        <f>"0000026"</f>
        <v>0000026</v>
      </c>
      <c r="F1021" t="str">
        <f>"INTERPRETER"</f>
        <v>INTERPRETER</v>
      </c>
      <c r="G1021" s="2">
        <v>174.53</v>
      </c>
      <c r="H1021" t="str">
        <f>"INTERPRETER"</f>
        <v>INTERPRETER</v>
      </c>
    </row>
    <row r="1022" spans="1:8" x14ac:dyDescent="0.25">
      <c r="E1022" t="str">
        <f>"000028"</f>
        <v>000028</v>
      </c>
      <c r="F1022" t="str">
        <f>"INTERPRETER/MILEAGE"</f>
        <v>INTERPRETER/MILEAGE</v>
      </c>
      <c r="G1022" s="2">
        <v>226.1</v>
      </c>
      <c r="H1022" t="str">
        <f>"INTERPRETER/MILEAGE"</f>
        <v>INTERPRETER/MILEAGE</v>
      </c>
    </row>
    <row r="1023" spans="1:8" x14ac:dyDescent="0.25">
      <c r="A1023" t="s">
        <v>312</v>
      </c>
      <c r="B1023" s="3">
        <v>81761</v>
      </c>
      <c r="C1023" s="2">
        <v>404.73</v>
      </c>
      <c r="D1023" s="1">
        <v>43563</v>
      </c>
      <c r="E1023" t="str">
        <f>"201904038370"</f>
        <v>201904038370</v>
      </c>
      <c r="F1023" t="str">
        <f>"SAMES BASTROP FORD INC"</f>
        <v>SAMES BASTROP FORD INC</v>
      </c>
      <c r="G1023" s="2">
        <v>404.73</v>
      </c>
      <c r="H1023" t="str">
        <f>""</f>
        <v/>
      </c>
    </row>
    <row r="1024" spans="1:8" x14ac:dyDescent="0.25">
      <c r="A1024" t="s">
        <v>313</v>
      </c>
      <c r="B1024" s="3">
        <v>726</v>
      </c>
      <c r="C1024" s="2">
        <v>220.19</v>
      </c>
      <c r="D1024" s="1">
        <v>43578</v>
      </c>
      <c r="E1024" t="str">
        <f>"201904158671"</f>
        <v>201904158671</v>
      </c>
      <c r="F1024" t="str">
        <f>"INDIGENT HEALTH"</f>
        <v>INDIGENT HEALTH</v>
      </c>
      <c r="G1024" s="2">
        <v>220.19</v>
      </c>
      <c r="H1024" t="str">
        <f>"INDIGENT HEALTH"</f>
        <v>INDIGENT HEALTH</v>
      </c>
    </row>
    <row r="1025" spans="1:9" x14ac:dyDescent="0.25">
      <c r="A1025" t="s">
        <v>314</v>
      </c>
      <c r="B1025" s="3">
        <v>81965</v>
      </c>
      <c r="C1025" s="2">
        <v>3333</v>
      </c>
      <c r="D1025" s="1">
        <v>43577</v>
      </c>
      <c r="E1025" t="str">
        <f>"320191"</f>
        <v>320191</v>
      </c>
      <c r="F1025" t="str">
        <f>"RX ASSISTANCE PROGRAM-MARCH"</f>
        <v>RX ASSISTANCE PROGRAM-MARCH</v>
      </c>
      <c r="G1025" s="2">
        <v>3333</v>
      </c>
      <c r="H1025" t="str">
        <f>"RX ASSISTANCE PROGRAM-MARCH"</f>
        <v>RX ASSISTANCE PROGRAM-MARCH</v>
      </c>
    </row>
    <row r="1026" spans="1:9" x14ac:dyDescent="0.25">
      <c r="A1026" t="s">
        <v>315</v>
      </c>
      <c r="B1026" s="3">
        <v>81966</v>
      </c>
      <c r="C1026" s="2">
        <v>30</v>
      </c>
      <c r="D1026" s="1">
        <v>43577</v>
      </c>
      <c r="E1026" t="s">
        <v>153</v>
      </c>
      <c r="F1026" t="s">
        <v>316</v>
      </c>
      <c r="G1026" s="2" t="str">
        <f>"RESTITUTION-DEBRA MCCOMB"</f>
        <v>RESTITUTION-DEBRA MCCOMB</v>
      </c>
      <c r="H1026" t="str">
        <f>"210-0000"</f>
        <v>210-0000</v>
      </c>
      <c r="I1026" t="str">
        <f>""</f>
        <v/>
      </c>
    </row>
    <row r="1027" spans="1:9" x14ac:dyDescent="0.25">
      <c r="A1027" t="s">
        <v>317</v>
      </c>
      <c r="B1027" s="3">
        <v>81762</v>
      </c>
      <c r="C1027" s="2">
        <v>1019.86</v>
      </c>
      <c r="D1027" s="1">
        <v>43563</v>
      </c>
      <c r="E1027" t="str">
        <f>"201903298176"</f>
        <v>201903298176</v>
      </c>
      <c r="F1027" t="str">
        <f>"ACCT#20150/PCT#1"</f>
        <v>ACCT#20150/PCT#1</v>
      </c>
      <c r="G1027" s="2">
        <v>351.62</v>
      </c>
      <c r="H1027" t="str">
        <f>"ACCT#20150/PCT#1"</f>
        <v>ACCT#20150/PCT#1</v>
      </c>
    </row>
    <row r="1028" spans="1:9" x14ac:dyDescent="0.25">
      <c r="E1028" t="str">
        <f>"201903298177"</f>
        <v>201903298177</v>
      </c>
      <c r="F1028" t="str">
        <f>"ACCT#20147/ANIMAL SVCS"</f>
        <v>ACCT#20147/ANIMAL SVCS</v>
      </c>
      <c r="G1028" s="2">
        <v>668.24</v>
      </c>
      <c r="H1028" t="str">
        <f>"ACCT#20147/ANIMAL SVCS"</f>
        <v>ACCT#20147/ANIMAL SVCS</v>
      </c>
    </row>
    <row r="1029" spans="1:9" x14ac:dyDescent="0.25">
      <c r="A1029" t="s">
        <v>318</v>
      </c>
      <c r="B1029" s="3">
        <v>81967</v>
      </c>
      <c r="C1029" s="2">
        <v>130</v>
      </c>
      <c r="D1029" s="1">
        <v>43577</v>
      </c>
      <c r="E1029" t="str">
        <f>"201904158713"</f>
        <v>201904158713</v>
      </c>
      <c r="F1029" t="str">
        <f>"FERAL HOGS"</f>
        <v>FERAL HOGS</v>
      </c>
      <c r="G1029" s="2">
        <v>130</v>
      </c>
      <c r="H1029" t="str">
        <f>"FERAL HOGS"</f>
        <v>FERAL HOGS</v>
      </c>
    </row>
    <row r="1030" spans="1:9" x14ac:dyDescent="0.25">
      <c r="A1030" t="s">
        <v>319</v>
      </c>
      <c r="B1030" s="3">
        <v>81763</v>
      </c>
      <c r="C1030" s="2">
        <v>39.11</v>
      </c>
      <c r="D1030" s="1">
        <v>43563</v>
      </c>
      <c r="E1030" t="str">
        <f>"6947-1"</f>
        <v>6947-1</v>
      </c>
      <c r="F1030" t="str">
        <f>"ACCT#4220-2556-9/PAINT/GEN SVC"</f>
        <v>ACCT#4220-2556-9/PAINT/GEN SVC</v>
      </c>
      <c r="G1030" s="2">
        <v>39.11</v>
      </c>
      <c r="H1030" t="str">
        <f>"ACCT#4220-2556-9/PAINT/GEN SVC"</f>
        <v>ACCT#4220-2556-9/PAINT/GEN SVC</v>
      </c>
    </row>
    <row r="1031" spans="1:9" x14ac:dyDescent="0.25">
      <c r="A1031" t="s">
        <v>320</v>
      </c>
      <c r="B1031" s="3">
        <v>81764</v>
      </c>
      <c r="C1031" s="2">
        <v>104</v>
      </c>
      <c r="D1031" s="1">
        <v>43563</v>
      </c>
      <c r="E1031" t="str">
        <f>"201904028334"</f>
        <v>201904028334</v>
      </c>
      <c r="F1031" t="str">
        <f>"Battery Back-Up for Devel"</f>
        <v>Battery Back-Up for Devel</v>
      </c>
      <c r="G1031" s="2">
        <v>104</v>
      </c>
      <c r="H1031" t="str">
        <f>"Part#: BE850M2"</f>
        <v>Part#: BE850M2</v>
      </c>
    </row>
    <row r="1032" spans="1:9" x14ac:dyDescent="0.25">
      <c r="A1032" t="s">
        <v>320</v>
      </c>
      <c r="B1032" s="3">
        <v>81968</v>
      </c>
      <c r="C1032" s="2">
        <v>148.5</v>
      </c>
      <c r="D1032" s="1">
        <v>43577</v>
      </c>
      <c r="E1032" t="str">
        <f>"GB00321358"</f>
        <v>GB00321358</v>
      </c>
      <c r="F1032" t="str">
        <f>"Wireless keyboard/mouse"</f>
        <v>Wireless keyboard/mouse</v>
      </c>
      <c r="G1032" s="2">
        <v>105</v>
      </c>
      <c r="H1032" t="str">
        <f>"Part#: 920-007897"</f>
        <v>Part#: 920-007897</v>
      </c>
    </row>
    <row r="1033" spans="1:9" x14ac:dyDescent="0.25">
      <c r="E1033" t="str">
        <f>"GB00321363"</f>
        <v>GB00321363</v>
      </c>
      <c r="F1033" t="str">
        <f>"1 Quicken 2019 Deluxe 1 Y"</f>
        <v>1 Quicken 2019 Deluxe 1 Y</v>
      </c>
      <c r="G1033" s="2">
        <v>43.5</v>
      </c>
      <c r="H1033" t="str">
        <f>"Part# 170237O"</f>
        <v>Part# 170237O</v>
      </c>
    </row>
    <row r="1034" spans="1:9" x14ac:dyDescent="0.25">
      <c r="A1034" t="s">
        <v>321</v>
      </c>
      <c r="B1034" s="3">
        <v>81765</v>
      </c>
      <c r="C1034" s="2">
        <v>41.52</v>
      </c>
      <c r="D1034" s="1">
        <v>43563</v>
      </c>
      <c r="E1034" t="str">
        <f>"946779"</f>
        <v>946779</v>
      </c>
      <c r="F1034" t="str">
        <f>"ACCT#550615/GEN SVCS"</f>
        <v>ACCT#550615/GEN SVCS</v>
      </c>
      <c r="G1034" s="2">
        <v>41.52</v>
      </c>
      <c r="H1034" t="str">
        <f>"ACCT#550615/GEN SVCS"</f>
        <v>ACCT#550615/GEN SVCS</v>
      </c>
    </row>
    <row r="1035" spans="1:9" x14ac:dyDescent="0.25">
      <c r="A1035" t="s">
        <v>322</v>
      </c>
      <c r="B1035" s="3">
        <v>81969</v>
      </c>
      <c r="C1035" s="2">
        <v>312.83999999999997</v>
      </c>
      <c r="D1035" s="1">
        <v>43577</v>
      </c>
      <c r="E1035" t="str">
        <f>"8126997818"</f>
        <v>8126997818</v>
      </c>
      <c r="F1035" t="str">
        <f>"INV 8126997818"</f>
        <v>INV 8126997818</v>
      </c>
      <c r="G1035" s="2">
        <v>130.54</v>
      </c>
      <c r="H1035" t="str">
        <f>"INV 8126997818 - LE"</f>
        <v>INV 8126997818 - LE</v>
      </c>
    </row>
    <row r="1036" spans="1:9" x14ac:dyDescent="0.25">
      <c r="E1036" t="str">
        <f>""</f>
        <v/>
      </c>
      <c r="F1036" t="str">
        <f>""</f>
        <v/>
      </c>
      <c r="H1036" t="str">
        <f>"INV 8126997818 -JAIL"</f>
        <v>INV 8126997818 -JAIL</v>
      </c>
    </row>
    <row r="1037" spans="1:9" x14ac:dyDescent="0.25">
      <c r="E1037" t="str">
        <f>"8126998453"</f>
        <v>8126998453</v>
      </c>
      <c r="F1037" t="str">
        <f>"CUST#16155373/PURCHASING DEPT"</f>
        <v>CUST#16155373/PURCHASING DEPT</v>
      </c>
      <c r="G1037" s="2">
        <v>110.21</v>
      </c>
      <c r="H1037" t="str">
        <f t="shared" ref="H1037:H1042" si="14">"CUST#16155373/PURCHASING DEPT"</f>
        <v>CUST#16155373/PURCHASING DEPT</v>
      </c>
    </row>
    <row r="1038" spans="1:9" x14ac:dyDescent="0.25">
      <c r="E1038" t="str">
        <f>""</f>
        <v/>
      </c>
      <c r="F1038" t="str">
        <f>""</f>
        <v/>
      </c>
      <c r="H1038" t="str">
        <f t="shared" si="14"/>
        <v>CUST#16155373/PURCHASING DEPT</v>
      </c>
    </row>
    <row r="1039" spans="1:9" x14ac:dyDescent="0.25">
      <c r="E1039" t="str">
        <f>""</f>
        <v/>
      </c>
      <c r="F1039" t="str">
        <f>""</f>
        <v/>
      </c>
      <c r="H1039" t="str">
        <f t="shared" si="14"/>
        <v>CUST#16155373/PURCHASING DEPT</v>
      </c>
    </row>
    <row r="1040" spans="1:9" x14ac:dyDescent="0.25">
      <c r="E1040" t="str">
        <f>""</f>
        <v/>
      </c>
      <c r="F1040" t="str">
        <f>""</f>
        <v/>
      </c>
      <c r="H1040" t="str">
        <f t="shared" si="14"/>
        <v>CUST#16155373/PURCHASING DEPT</v>
      </c>
    </row>
    <row r="1041" spans="1:8" x14ac:dyDescent="0.25">
      <c r="E1041" t="str">
        <f>""</f>
        <v/>
      </c>
      <c r="F1041" t="str">
        <f>""</f>
        <v/>
      </c>
      <c r="H1041" t="str">
        <f t="shared" si="14"/>
        <v>CUST#16155373/PURCHASING DEPT</v>
      </c>
    </row>
    <row r="1042" spans="1:8" x14ac:dyDescent="0.25">
      <c r="E1042" t="str">
        <f>""</f>
        <v/>
      </c>
      <c r="F1042" t="str">
        <f>""</f>
        <v/>
      </c>
      <c r="H1042" t="str">
        <f t="shared" si="14"/>
        <v>CUST#16155373/PURCHASING DEPT</v>
      </c>
    </row>
    <row r="1043" spans="1:8" x14ac:dyDescent="0.25">
      <c r="E1043" t="str">
        <f>"8126998494"</f>
        <v>8126998494</v>
      </c>
      <c r="F1043" t="str">
        <f>"CUST#16156071/TAX OFFICE"</f>
        <v>CUST#16156071/TAX OFFICE</v>
      </c>
      <c r="G1043" s="2">
        <v>68.48</v>
      </c>
      <c r="H1043" t="str">
        <f>"CUST#16156071/TAX OFFICE"</f>
        <v>CUST#16156071/TAX OFFICE</v>
      </c>
    </row>
    <row r="1044" spans="1:8" x14ac:dyDescent="0.25">
      <c r="E1044" t="str">
        <f>"8126998576"</f>
        <v>8126998576</v>
      </c>
      <c r="F1044" t="str">
        <f>"CUST#15158670/JP"</f>
        <v>CUST#15158670/JP</v>
      </c>
      <c r="G1044" s="2">
        <v>3.61</v>
      </c>
      <c r="H1044" t="str">
        <f>"CUST#15158670/JP"</f>
        <v>CUST#15158670/JP</v>
      </c>
    </row>
    <row r="1045" spans="1:8" x14ac:dyDescent="0.25">
      <c r="A1045" t="s">
        <v>323</v>
      </c>
      <c r="B1045" s="3">
        <v>81970</v>
      </c>
      <c r="C1045" s="2">
        <v>541.5</v>
      </c>
      <c r="D1045" s="1">
        <v>43577</v>
      </c>
      <c r="E1045" t="str">
        <f>"117508"</f>
        <v>117508</v>
      </c>
      <c r="F1045" t="str">
        <f>"INV 117508 / UNIT 6556"</f>
        <v>INV 117508 / UNIT 6556</v>
      </c>
      <c r="G1045" s="2">
        <v>541.5</v>
      </c>
      <c r="H1045" t="str">
        <f>"INV 117508 / UNIT 6556"</f>
        <v>INV 117508 / UNIT 6556</v>
      </c>
    </row>
    <row r="1046" spans="1:8" x14ac:dyDescent="0.25">
      <c r="A1046" t="s">
        <v>324</v>
      </c>
      <c r="B1046" s="3">
        <v>81971</v>
      </c>
      <c r="C1046" s="2">
        <v>75.209999999999994</v>
      </c>
      <c r="D1046" s="1">
        <v>43577</v>
      </c>
      <c r="E1046" t="str">
        <f>"418261 419351"</f>
        <v>418261 419351</v>
      </c>
      <c r="F1046" t="str">
        <f>"STATEMENT#30061/PCT#2"</f>
        <v>STATEMENT#30061/PCT#2</v>
      </c>
      <c r="G1046" s="2">
        <v>75.209999999999994</v>
      </c>
      <c r="H1046" t="str">
        <f>"STATEMENT#30061/PCT#2"</f>
        <v>STATEMENT#30061/PCT#2</v>
      </c>
    </row>
    <row r="1047" spans="1:8" x14ac:dyDescent="0.25">
      <c r="A1047" t="s">
        <v>325</v>
      </c>
      <c r="B1047" s="3">
        <v>81972</v>
      </c>
      <c r="C1047" s="2">
        <v>87.41</v>
      </c>
      <c r="D1047" s="1">
        <v>43577</v>
      </c>
      <c r="E1047" t="str">
        <f>"201904108568"</f>
        <v>201904108568</v>
      </c>
      <c r="F1047" t="str">
        <f>"ACCT#260/PCT#2"</f>
        <v>ACCT#260/PCT#2</v>
      </c>
      <c r="G1047" s="2">
        <v>87.41</v>
      </c>
      <c r="H1047" t="str">
        <f>"ACCT#260/PCT#2"</f>
        <v>ACCT#260/PCT#2</v>
      </c>
    </row>
    <row r="1048" spans="1:8" x14ac:dyDescent="0.25">
      <c r="A1048" t="s">
        <v>326</v>
      </c>
      <c r="B1048" s="3">
        <v>81973</v>
      </c>
      <c r="C1048" s="2">
        <v>18.14</v>
      </c>
      <c r="D1048" s="1">
        <v>43577</v>
      </c>
      <c r="E1048" t="str">
        <f>"201904128603"</f>
        <v>201904128603</v>
      </c>
      <c r="F1048" t="str">
        <f>"ARREST FEES-1ST QTR 2019"</f>
        <v>ARREST FEES-1ST QTR 2019</v>
      </c>
      <c r="G1048" s="2">
        <v>18.14</v>
      </c>
      <c r="H1048" t="str">
        <f>"ARREST FEES-1ST QTR 2019"</f>
        <v>ARREST FEES-1ST QTR 2019</v>
      </c>
    </row>
    <row r="1049" spans="1:8" x14ac:dyDescent="0.25">
      <c r="A1049" t="s">
        <v>327</v>
      </c>
      <c r="B1049" s="3">
        <v>81974</v>
      </c>
      <c r="C1049" s="2">
        <v>19.850000000000001</v>
      </c>
      <c r="D1049" s="1">
        <v>43577</v>
      </c>
      <c r="E1049" t="str">
        <f>"9604456 032819"</f>
        <v>9604456 032819</v>
      </c>
      <c r="F1049" t="str">
        <f>"ACCT#46668439604456/JP#2"</f>
        <v>ACCT#46668439604456/JP#2</v>
      </c>
      <c r="G1049" s="2">
        <v>19.850000000000001</v>
      </c>
      <c r="H1049" t="str">
        <f>"ACCT#46668439604456/JP#2"</f>
        <v>ACCT#46668439604456/JP#2</v>
      </c>
    </row>
    <row r="1050" spans="1:8" x14ac:dyDescent="0.25">
      <c r="A1050" t="s">
        <v>329</v>
      </c>
      <c r="B1050" s="3">
        <v>81975</v>
      </c>
      <c r="C1050" s="2">
        <v>196.4</v>
      </c>
      <c r="D1050" s="1">
        <v>43577</v>
      </c>
      <c r="E1050" t="str">
        <f>"948851"</f>
        <v>948851</v>
      </c>
      <c r="F1050" t="str">
        <f>"ACCT#114382/ANIMAL SHELTER"</f>
        <v>ACCT#114382/ANIMAL SHELTER</v>
      </c>
      <c r="G1050" s="2">
        <v>196.4</v>
      </c>
      <c r="H1050" t="str">
        <f>"ACCT#114382/ANIMAL SHELTER"</f>
        <v>ACCT#114382/ANIMAL SHELTER</v>
      </c>
    </row>
    <row r="1051" spans="1:8" x14ac:dyDescent="0.25">
      <c r="A1051" t="s">
        <v>330</v>
      </c>
      <c r="B1051" s="3">
        <v>81976</v>
      </c>
      <c r="C1051" s="2">
        <v>50</v>
      </c>
      <c r="D1051" s="1">
        <v>43577</v>
      </c>
      <c r="E1051" t="str">
        <f>"LCI-311260"</f>
        <v>LCI-311260</v>
      </c>
      <c r="F1051" t="str">
        <f>"INV LCI-311260"</f>
        <v>INV LCI-311260</v>
      </c>
      <c r="G1051" s="2">
        <v>50</v>
      </c>
      <c r="H1051" t="str">
        <f>"INV LCI-311260"</f>
        <v>INV LCI-311260</v>
      </c>
    </row>
    <row r="1052" spans="1:8" x14ac:dyDescent="0.25">
      <c r="A1052" t="s">
        <v>331</v>
      </c>
      <c r="B1052" s="3">
        <v>81977</v>
      </c>
      <c r="C1052" s="2">
        <v>46.73</v>
      </c>
      <c r="D1052" s="1">
        <v>43577</v>
      </c>
      <c r="E1052" t="str">
        <f>"201904158676"</f>
        <v>201904158676</v>
      </c>
      <c r="F1052" t="str">
        <f>"INDIGENT HEALTH"</f>
        <v>INDIGENT HEALTH</v>
      </c>
      <c r="G1052" s="2">
        <v>46.73</v>
      </c>
      <c r="H1052" t="str">
        <f>"INDIGENT HEALTH"</f>
        <v>INDIGENT HEALTH</v>
      </c>
    </row>
    <row r="1053" spans="1:8" x14ac:dyDescent="0.25">
      <c r="A1053" t="s">
        <v>332</v>
      </c>
      <c r="B1053" s="3">
        <v>81978</v>
      </c>
      <c r="C1053" s="2">
        <v>169.23</v>
      </c>
      <c r="D1053" s="1">
        <v>43577</v>
      </c>
      <c r="E1053" t="str">
        <f>"201904158679"</f>
        <v>201904158679</v>
      </c>
      <c r="F1053" t="str">
        <f>"INDIGENT HEALTH"</f>
        <v>INDIGENT HEALTH</v>
      </c>
      <c r="G1053" s="2">
        <v>169.23</v>
      </c>
      <c r="H1053" t="str">
        <f>"INDIGENT HEALTH"</f>
        <v>INDIGENT HEALTH</v>
      </c>
    </row>
    <row r="1054" spans="1:8" x14ac:dyDescent="0.25">
      <c r="A1054" t="s">
        <v>333</v>
      </c>
      <c r="B1054" s="3">
        <v>81979</v>
      </c>
      <c r="C1054" s="2">
        <v>1421.19</v>
      </c>
      <c r="D1054" s="1">
        <v>43577</v>
      </c>
      <c r="E1054" t="str">
        <f>"201904158680"</f>
        <v>201904158680</v>
      </c>
      <c r="F1054" t="str">
        <f>"INDIGENT HEALTH"</f>
        <v>INDIGENT HEALTH</v>
      </c>
      <c r="G1054" s="2">
        <v>1421.19</v>
      </c>
      <c r="H1054" t="str">
        <f>"INDIGENT HEALTH"</f>
        <v>INDIGENT HEALTH</v>
      </c>
    </row>
    <row r="1055" spans="1:8" x14ac:dyDescent="0.25">
      <c r="A1055" t="s">
        <v>328</v>
      </c>
      <c r="B1055" s="3">
        <v>81766</v>
      </c>
      <c r="C1055" s="2">
        <v>53.63</v>
      </c>
      <c r="D1055" s="1">
        <v>43563</v>
      </c>
      <c r="E1055" t="str">
        <f>"11969495 031519"</f>
        <v>11969495 031519</v>
      </c>
      <c r="F1055" t="str">
        <f>"ACCT#556850411969495/DA'S OFF"</f>
        <v>ACCT#556850411969495/DA'S OFF</v>
      </c>
      <c r="G1055" s="2">
        <v>53.63</v>
      </c>
      <c r="H1055" t="str">
        <f>"ACCT#556850411969495/DA'S OFF"</f>
        <v>ACCT#556850411969495/DA'S OFF</v>
      </c>
    </row>
    <row r="1056" spans="1:8" x14ac:dyDescent="0.25">
      <c r="A1056" t="s">
        <v>334</v>
      </c>
      <c r="B1056" s="3">
        <v>81767</v>
      </c>
      <c r="C1056" s="2">
        <v>3835.8</v>
      </c>
      <c r="D1056" s="1">
        <v>43563</v>
      </c>
      <c r="E1056" t="str">
        <f>"8053617095"</f>
        <v>8053617095</v>
      </c>
      <c r="F1056" t="str">
        <f>"Sum Inv# 8053617095"</f>
        <v>Sum Inv# 8053617095</v>
      </c>
      <c r="G1056" s="2">
        <v>3835.8</v>
      </c>
      <c r="H1056" t="str">
        <f>"inv# 3408014264"</f>
        <v>inv# 3408014264</v>
      </c>
    </row>
    <row r="1057" spans="1:8" x14ac:dyDescent="0.25">
      <c r="E1057" t="str">
        <f>""</f>
        <v/>
      </c>
      <c r="F1057" t="str">
        <f>""</f>
        <v/>
      </c>
      <c r="H1057" t="str">
        <f>"inv# 3408014260"</f>
        <v>inv# 3408014260</v>
      </c>
    </row>
    <row r="1058" spans="1:8" x14ac:dyDescent="0.25">
      <c r="E1058" t="str">
        <f>""</f>
        <v/>
      </c>
      <c r="F1058" t="str">
        <f>""</f>
        <v/>
      </c>
      <c r="H1058" t="str">
        <f>"inv# 3408014271"</f>
        <v>inv# 3408014271</v>
      </c>
    </row>
    <row r="1059" spans="1:8" x14ac:dyDescent="0.25">
      <c r="E1059" t="str">
        <f>""</f>
        <v/>
      </c>
      <c r="F1059" t="str">
        <f>""</f>
        <v/>
      </c>
      <c r="H1059" t="str">
        <f>"inv# 3408014272"</f>
        <v>inv# 3408014272</v>
      </c>
    </row>
    <row r="1060" spans="1:8" x14ac:dyDescent="0.25">
      <c r="E1060" t="str">
        <f>""</f>
        <v/>
      </c>
      <c r="F1060" t="str">
        <f>""</f>
        <v/>
      </c>
      <c r="H1060" t="str">
        <f>"inv# 3408014273"</f>
        <v>inv# 3408014273</v>
      </c>
    </row>
    <row r="1061" spans="1:8" x14ac:dyDescent="0.25">
      <c r="E1061" t="str">
        <f>""</f>
        <v/>
      </c>
      <c r="F1061" t="str">
        <f>""</f>
        <v/>
      </c>
      <c r="H1061" t="str">
        <f>"inv# 3408014274"</f>
        <v>inv# 3408014274</v>
      </c>
    </row>
    <row r="1062" spans="1:8" x14ac:dyDescent="0.25">
      <c r="E1062" t="str">
        <f>""</f>
        <v/>
      </c>
      <c r="F1062" t="str">
        <f>""</f>
        <v/>
      </c>
      <c r="H1062" t="str">
        <f>"inv# 3408014275"</f>
        <v>inv# 3408014275</v>
      </c>
    </row>
    <row r="1063" spans="1:8" x14ac:dyDescent="0.25">
      <c r="E1063" t="str">
        <f>""</f>
        <v/>
      </c>
      <c r="F1063" t="str">
        <f>""</f>
        <v/>
      </c>
      <c r="H1063" t="str">
        <f>"inv# 3408014262"</f>
        <v>inv# 3408014262</v>
      </c>
    </row>
    <row r="1064" spans="1:8" x14ac:dyDescent="0.25">
      <c r="E1064" t="str">
        <f>""</f>
        <v/>
      </c>
      <c r="F1064" t="str">
        <f>""</f>
        <v/>
      </c>
      <c r="H1064" t="str">
        <f>"inv# 3408014263"</f>
        <v>inv# 3408014263</v>
      </c>
    </row>
    <row r="1065" spans="1:8" x14ac:dyDescent="0.25">
      <c r="E1065" t="str">
        <f>""</f>
        <v/>
      </c>
      <c r="F1065" t="str">
        <f>""</f>
        <v/>
      </c>
      <c r="H1065" t="str">
        <f>"inv# 3408014266"</f>
        <v>inv# 3408014266</v>
      </c>
    </row>
    <row r="1066" spans="1:8" x14ac:dyDescent="0.25">
      <c r="E1066" t="str">
        <f>""</f>
        <v/>
      </c>
      <c r="F1066" t="str">
        <f>""</f>
        <v/>
      </c>
      <c r="H1066" t="str">
        <f>"inv# 3408014270"</f>
        <v>inv# 3408014270</v>
      </c>
    </row>
    <row r="1067" spans="1:8" x14ac:dyDescent="0.25">
      <c r="E1067" t="str">
        <f>""</f>
        <v/>
      </c>
      <c r="F1067" t="str">
        <f>""</f>
        <v/>
      </c>
      <c r="H1067" t="str">
        <f>"inv# 3408014267"</f>
        <v>inv# 3408014267</v>
      </c>
    </row>
    <row r="1068" spans="1:8" x14ac:dyDescent="0.25">
      <c r="E1068" t="str">
        <f>""</f>
        <v/>
      </c>
      <c r="F1068" t="str">
        <f>""</f>
        <v/>
      </c>
      <c r="H1068" t="str">
        <f>"inv# 3408014268"</f>
        <v>inv# 3408014268</v>
      </c>
    </row>
    <row r="1069" spans="1:8" x14ac:dyDescent="0.25">
      <c r="E1069" t="str">
        <f>""</f>
        <v/>
      </c>
      <c r="F1069" t="str">
        <f>""</f>
        <v/>
      </c>
      <c r="H1069" t="str">
        <f>"inv# 3408014269"</f>
        <v>inv# 3408014269</v>
      </c>
    </row>
    <row r="1070" spans="1:8" x14ac:dyDescent="0.25">
      <c r="E1070" t="str">
        <f>""</f>
        <v/>
      </c>
      <c r="F1070" t="str">
        <f>""</f>
        <v/>
      </c>
      <c r="H1070" t="str">
        <f>"inv# 3408014261"</f>
        <v>inv# 3408014261</v>
      </c>
    </row>
    <row r="1071" spans="1:8" x14ac:dyDescent="0.25">
      <c r="A1071" t="s">
        <v>335</v>
      </c>
      <c r="B1071" s="3">
        <v>81980</v>
      </c>
      <c r="C1071" s="2">
        <v>150</v>
      </c>
      <c r="D1071" s="1">
        <v>43577</v>
      </c>
      <c r="E1071" t="str">
        <f>"201904098543"</f>
        <v>201904098543</v>
      </c>
      <c r="F1071" t="str">
        <f>"TRAVEL ADV REQUEST-PER DIEM"</f>
        <v>TRAVEL ADV REQUEST-PER DIEM</v>
      </c>
      <c r="G1071" s="2">
        <v>150</v>
      </c>
      <c r="H1071" t="str">
        <f>"TRAVEL ADV REQUEST-PER DIEM"</f>
        <v>TRAVEL ADV REQUEST-PER DIEM</v>
      </c>
    </row>
    <row r="1072" spans="1:8" x14ac:dyDescent="0.25">
      <c r="A1072" t="s">
        <v>336</v>
      </c>
      <c r="B1072" s="3">
        <v>81981</v>
      </c>
      <c r="C1072" s="2">
        <v>10</v>
      </c>
      <c r="D1072" s="1">
        <v>43577</v>
      </c>
      <c r="E1072" t="str">
        <f>"201904158714"</f>
        <v>201904158714</v>
      </c>
      <c r="F1072" t="str">
        <f>"FERAL HOGS"</f>
        <v>FERAL HOGS</v>
      </c>
      <c r="G1072" s="2">
        <v>5</v>
      </c>
      <c r="H1072" t="str">
        <f>"FERAL HOGS"</f>
        <v>FERAL HOGS</v>
      </c>
    </row>
    <row r="1073" spans="1:8" x14ac:dyDescent="0.25">
      <c r="E1073" t="str">
        <f>"201904158715"</f>
        <v>201904158715</v>
      </c>
      <c r="F1073" t="str">
        <f>"FERAL HOGS"</f>
        <v>FERAL HOGS</v>
      </c>
      <c r="G1073" s="2">
        <v>5</v>
      </c>
      <c r="H1073" t="str">
        <f>"FERAL HOGS"</f>
        <v>FERAL HOGS</v>
      </c>
    </row>
    <row r="1074" spans="1:8" x14ac:dyDescent="0.25">
      <c r="A1074" t="s">
        <v>337</v>
      </c>
      <c r="B1074" s="3">
        <v>81768</v>
      </c>
      <c r="C1074" s="2">
        <v>758.72</v>
      </c>
      <c r="D1074" s="1">
        <v>43563</v>
      </c>
      <c r="E1074" t="str">
        <f>"4008488067"</f>
        <v>4008488067</v>
      </c>
      <c r="F1074" t="str">
        <f>"INV 4008488067"</f>
        <v>INV 4008488067</v>
      </c>
      <c r="G1074" s="2">
        <v>758.72</v>
      </c>
      <c r="H1074" t="str">
        <f>"INV 4008488067"</f>
        <v>INV 4008488067</v>
      </c>
    </row>
    <row r="1075" spans="1:8" x14ac:dyDescent="0.25">
      <c r="A1075" t="s">
        <v>337</v>
      </c>
      <c r="B1075" s="3">
        <v>81982</v>
      </c>
      <c r="C1075" s="2">
        <v>4718.0600000000004</v>
      </c>
      <c r="D1075" s="1">
        <v>43577</v>
      </c>
      <c r="E1075" t="str">
        <f>"62802413544"</f>
        <v>62802413544</v>
      </c>
      <c r="F1075" t="str">
        <f>"CUST#94027/ORD#3488371"</f>
        <v>CUST#94027/ORD#3488371</v>
      </c>
      <c r="G1075" s="2">
        <v>4718.0600000000004</v>
      </c>
      <c r="H1075" t="str">
        <f>"CUST#94027/ORD#3488371"</f>
        <v>CUST#94027/ORD#3488371</v>
      </c>
    </row>
    <row r="1076" spans="1:8" x14ac:dyDescent="0.25">
      <c r="A1076" t="s">
        <v>338</v>
      </c>
      <c r="B1076" s="3">
        <v>81769</v>
      </c>
      <c r="C1076" s="2">
        <v>299</v>
      </c>
      <c r="D1076" s="1">
        <v>43563</v>
      </c>
      <c r="E1076" t="str">
        <f>"201904028304"</f>
        <v>201904028304</v>
      </c>
      <c r="F1076" t="str">
        <f>"TRASH REMOVAL 04/01-04/05/P4"</f>
        <v>TRASH REMOVAL 04/01-04/05/P4</v>
      </c>
      <c r="G1076" s="2">
        <v>149.5</v>
      </c>
      <c r="H1076" t="str">
        <f>"TRASH REMOVAL 04/01-04/05/P4"</f>
        <v>TRASH REMOVAL 04/01-04/05/P4</v>
      </c>
    </row>
    <row r="1077" spans="1:8" x14ac:dyDescent="0.25">
      <c r="E1077" t="str">
        <f>"201904028305"</f>
        <v>201904028305</v>
      </c>
      <c r="F1077" t="str">
        <f>"TRASH REMOVAL 03/25-03/29/P4"</f>
        <v>TRASH REMOVAL 03/25-03/29/P4</v>
      </c>
      <c r="G1077" s="2">
        <v>149.5</v>
      </c>
      <c r="H1077" t="str">
        <f>"TRASH REMOVAL 03/25-03/29/P4"</f>
        <v>TRASH REMOVAL 03/25-03/29/P4</v>
      </c>
    </row>
    <row r="1078" spans="1:8" x14ac:dyDescent="0.25">
      <c r="A1078" t="s">
        <v>338</v>
      </c>
      <c r="B1078" s="3">
        <v>81983</v>
      </c>
      <c r="C1078" s="2">
        <v>461.5</v>
      </c>
      <c r="D1078" s="1">
        <v>43577</v>
      </c>
      <c r="E1078" t="str">
        <f>"201904158619"</f>
        <v>201904158619</v>
      </c>
      <c r="F1078" t="str">
        <f>"TRASH REMOVAL 04/08-04/19/P4"</f>
        <v>TRASH REMOVAL 04/08-04/19/P4</v>
      </c>
      <c r="G1078" s="2">
        <v>461.5</v>
      </c>
      <c r="H1078" t="str">
        <f>"TRASH REMOVAL 04/08-04/19/P4"</f>
        <v>TRASH REMOVAL 04/08-04/19/P4</v>
      </c>
    </row>
    <row r="1079" spans="1:8" x14ac:dyDescent="0.25">
      <c r="A1079" t="s">
        <v>339</v>
      </c>
      <c r="B1079" s="3">
        <v>81984</v>
      </c>
      <c r="C1079" s="2">
        <v>175</v>
      </c>
      <c r="D1079" s="1">
        <v>43577</v>
      </c>
      <c r="E1079" t="str">
        <f>"201904158623"</f>
        <v>201904158623</v>
      </c>
      <c r="F1079" t="str">
        <f>"APRIL 5 SERVICES"</f>
        <v>APRIL 5 SERVICES</v>
      </c>
      <c r="G1079" s="2">
        <v>175</v>
      </c>
      <c r="H1079" t="str">
        <f>"APRIL 5 SERVICES"</f>
        <v>APRIL 5 SERVICES</v>
      </c>
    </row>
    <row r="1080" spans="1:8" x14ac:dyDescent="0.25">
      <c r="A1080" t="s">
        <v>340</v>
      </c>
      <c r="B1080" s="3">
        <v>81985</v>
      </c>
      <c r="C1080" s="2">
        <v>294.99</v>
      </c>
      <c r="D1080" s="1">
        <v>43577</v>
      </c>
      <c r="E1080" t="str">
        <f>"201904158617"</f>
        <v>201904158617</v>
      </c>
      <c r="F1080" t="str">
        <f>"REIMBURSE-ALLISONHOUSE WEATHER"</f>
        <v>REIMBURSE-ALLISONHOUSE WEATHER</v>
      </c>
      <c r="G1080" s="2">
        <v>294.99</v>
      </c>
      <c r="H1080" t="str">
        <f>"REIMBURSE-ALLISONHOUSE WEATHER"</f>
        <v>REIMBURSE-ALLISONHOUSE WEATHER</v>
      </c>
    </row>
    <row r="1081" spans="1:8" x14ac:dyDescent="0.25">
      <c r="A1081" t="s">
        <v>341</v>
      </c>
      <c r="B1081" s="3">
        <v>647</v>
      </c>
      <c r="C1081" s="2">
        <v>2582.4699999999998</v>
      </c>
      <c r="D1081" s="1">
        <v>43564</v>
      </c>
      <c r="E1081" t="str">
        <f>"277"</f>
        <v>277</v>
      </c>
      <c r="F1081" t="str">
        <f>"MOWING/WEED EATING/PCT#1"</f>
        <v>MOWING/WEED EATING/PCT#1</v>
      </c>
      <c r="G1081" s="2">
        <v>1802.47</v>
      </c>
      <c r="H1081" t="str">
        <f>"MOWING/WEED EATING/PCT#1"</f>
        <v>MOWING/WEED EATING/PCT#1</v>
      </c>
    </row>
    <row r="1082" spans="1:8" x14ac:dyDescent="0.25">
      <c r="E1082" t="str">
        <f>"285"</f>
        <v>285</v>
      </c>
      <c r="F1082" t="str">
        <f>"MOWING/SHREDDING/PCT#1"</f>
        <v>MOWING/SHREDDING/PCT#1</v>
      </c>
      <c r="G1082" s="2">
        <v>780</v>
      </c>
      <c r="H1082" t="str">
        <f>"MOWING/SHREDDING/PCT#1"</f>
        <v>MOWING/SHREDDING/PCT#1</v>
      </c>
    </row>
    <row r="1083" spans="1:8" x14ac:dyDescent="0.25">
      <c r="A1083" t="s">
        <v>341</v>
      </c>
      <c r="B1083" s="3">
        <v>702</v>
      </c>
      <c r="C1083" s="2">
        <v>1495</v>
      </c>
      <c r="D1083" s="1">
        <v>43578</v>
      </c>
      <c r="E1083" t="str">
        <f>"286"</f>
        <v>286</v>
      </c>
      <c r="F1083" t="str">
        <f>"MOWING/SHREDDING/PCT#1"</f>
        <v>MOWING/SHREDDING/PCT#1</v>
      </c>
      <c r="G1083" s="2">
        <v>1495</v>
      </c>
      <c r="H1083" t="str">
        <f>"MOWING/SHREDDING/PCT#1"</f>
        <v>MOWING/SHREDDING/PCT#1</v>
      </c>
    </row>
    <row r="1084" spans="1:8" x14ac:dyDescent="0.25">
      <c r="A1084" t="s">
        <v>342</v>
      </c>
      <c r="B1084" s="3">
        <v>651</v>
      </c>
      <c r="C1084" s="2">
        <v>3169.11</v>
      </c>
      <c r="D1084" s="1">
        <v>43564</v>
      </c>
      <c r="E1084" t="str">
        <f>"95206770"</f>
        <v>95206770</v>
      </c>
      <c r="F1084" t="str">
        <f>"ACCT#10187930/FUEL/PCT#2"</f>
        <v>ACCT#10187930/FUEL/PCT#2</v>
      </c>
      <c r="G1084" s="2">
        <v>3169.11</v>
      </c>
      <c r="H1084" t="str">
        <f>"ACCT#10187930/FUEL/PCT#2"</f>
        <v>ACCT#10187930/FUEL/PCT#2</v>
      </c>
    </row>
    <row r="1085" spans="1:8" x14ac:dyDescent="0.25">
      <c r="A1085" t="s">
        <v>342</v>
      </c>
      <c r="B1085" s="3">
        <v>709</v>
      </c>
      <c r="C1085" s="2">
        <v>7314.73</v>
      </c>
      <c r="D1085" s="1">
        <v>43578</v>
      </c>
      <c r="E1085" t="str">
        <f>"95222008"</f>
        <v>95222008</v>
      </c>
      <c r="F1085" t="str">
        <f>"ACCT#10187718/PCT#2"</f>
        <v>ACCT#10187718/PCT#2</v>
      </c>
      <c r="G1085" s="2">
        <v>3676.68</v>
      </c>
      <c r="H1085" t="str">
        <f>"ACCT#10187718/PCT#2"</f>
        <v>ACCT#10187718/PCT#2</v>
      </c>
    </row>
    <row r="1086" spans="1:8" x14ac:dyDescent="0.25">
      <c r="E1086" t="str">
        <f>"95232448"</f>
        <v>95232448</v>
      </c>
      <c r="F1086" t="str">
        <f>"ACCT#10187718/FUEL/PCT#2"</f>
        <v>ACCT#10187718/FUEL/PCT#2</v>
      </c>
      <c r="G1086" s="2">
        <v>3638.05</v>
      </c>
      <c r="H1086" t="str">
        <f>"ACCT#10187718/FUEL/PCT#2"</f>
        <v>ACCT#10187718/FUEL/PCT#2</v>
      </c>
    </row>
    <row r="1087" spans="1:8" x14ac:dyDescent="0.25">
      <c r="A1087" t="s">
        <v>343</v>
      </c>
      <c r="B1087" s="3">
        <v>81770</v>
      </c>
      <c r="C1087" s="2">
        <v>1000</v>
      </c>
      <c r="D1087" s="1">
        <v>43563</v>
      </c>
      <c r="E1087" t="str">
        <f>"201903288159"</f>
        <v>201903288159</v>
      </c>
      <c r="F1087" t="str">
        <f>"DEPOSIT AGREEMENT"</f>
        <v>DEPOSIT AGREEMENT</v>
      </c>
      <c r="G1087" s="2">
        <v>1000</v>
      </c>
      <c r="H1087" t="str">
        <f>"DEPOSIT AGREEMENT"</f>
        <v>DEPOSIT AGREEMENT</v>
      </c>
    </row>
    <row r="1088" spans="1:8" x14ac:dyDescent="0.25">
      <c r="A1088" t="s">
        <v>344</v>
      </c>
      <c r="B1088" s="3">
        <v>81771</v>
      </c>
      <c r="C1088" s="2">
        <v>774.69</v>
      </c>
      <c r="D1088" s="1">
        <v>43563</v>
      </c>
      <c r="E1088" t="str">
        <f>"201904028314"</f>
        <v>201904028314</v>
      </c>
      <c r="F1088" t="str">
        <f>"PROCESSING FEE FOR DIRECT MAIL"</f>
        <v>PROCESSING FEE FOR DIRECT MAIL</v>
      </c>
      <c r="G1088" s="2">
        <v>774.69</v>
      </c>
      <c r="H1088" t="str">
        <f>"PROCESSING FEE FOR DIRECT MAIL"</f>
        <v>PROCESSING FEE FOR DIRECT MAIL</v>
      </c>
    </row>
    <row r="1089" spans="1:8" x14ac:dyDescent="0.25">
      <c r="A1089" t="s">
        <v>345</v>
      </c>
      <c r="B1089" s="3">
        <v>81986</v>
      </c>
      <c r="C1089" s="2">
        <v>285</v>
      </c>
      <c r="D1089" s="1">
        <v>43577</v>
      </c>
      <c r="E1089" t="str">
        <f>"201904158716"</f>
        <v>201904158716</v>
      </c>
      <c r="F1089" t="str">
        <f>"FERAL HOGS"</f>
        <v>FERAL HOGS</v>
      </c>
      <c r="G1089" s="2">
        <v>160</v>
      </c>
      <c r="H1089" t="str">
        <f>"FERAL HOGS"</f>
        <v>FERAL HOGS</v>
      </c>
    </row>
    <row r="1090" spans="1:8" x14ac:dyDescent="0.25">
      <c r="E1090" t="str">
        <f>"201904158717"</f>
        <v>201904158717</v>
      </c>
      <c r="F1090" t="str">
        <f>"FERAL HOGS"</f>
        <v>FERAL HOGS</v>
      </c>
      <c r="G1090" s="2">
        <v>125</v>
      </c>
      <c r="H1090" t="str">
        <f>"FERAL HOGS"</f>
        <v>FERAL HOGS</v>
      </c>
    </row>
    <row r="1091" spans="1:8" x14ac:dyDescent="0.25">
      <c r="A1091" t="s">
        <v>346</v>
      </c>
      <c r="B1091" s="3">
        <v>645</v>
      </c>
      <c r="C1091" s="2">
        <v>75.760000000000005</v>
      </c>
      <c r="D1091" s="1">
        <v>43564</v>
      </c>
      <c r="E1091" t="str">
        <f>"19040114"</f>
        <v>19040114</v>
      </c>
      <c r="F1091" t="str">
        <f>"SVC CONTRACT 03-01 - 04/01"</f>
        <v>SVC CONTRACT 03-01 - 04/01</v>
      </c>
      <c r="G1091" s="2">
        <v>75.760000000000005</v>
      </c>
      <c r="H1091" t="str">
        <f>"SVC CONTRACT 03-01 - 04/01"</f>
        <v>SVC CONTRACT 03-01 - 04/01</v>
      </c>
    </row>
    <row r="1092" spans="1:8" x14ac:dyDescent="0.25">
      <c r="A1092" t="s">
        <v>347</v>
      </c>
      <c r="B1092" s="3">
        <v>81987</v>
      </c>
      <c r="C1092" s="2">
        <v>25</v>
      </c>
      <c r="D1092" s="1">
        <v>43577</v>
      </c>
      <c r="E1092" t="str">
        <f>"201904098533"</f>
        <v>201904098533</v>
      </c>
      <c r="F1092" t="str">
        <f>"STATE EXAM-BETHANY SHINE"</f>
        <v>STATE EXAM-BETHANY SHINE</v>
      </c>
      <c r="G1092" s="2">
        <v>25</v>
      </c>
      <c r="H1092" t="str">
        <f>"STATE EXAM-BETHANY SHINE"</f>
        <v>STATE EXAM-BETHANY SHINE</v>
      </c>
    </row>
    <row r="1093" spans="1:8" x14ac:dyDescent="0.25">
      <c r="A1093" t="s">
        <v>347</v>
      </c>
      <c r="B1093" s="3">
        <v>81988</v>
      </c>
      <c r="C1093" s="2">
        <v>25</v>
      </c>
      <c r="D1093" s="1">
        <v>43577</v>
      </c>
      <c r="E1093" t="str">
        <f>"201904098534"</f>
        <v>201904098534</v>
      </c>
      <c r="F1093" t="str">
        <f>"STATE EXAM-MEGAN CAMDEN"</f>
        <v>STATE EXAM-MEGAN CAMDEN</v>
      </c>
      <c r="G1093" s="2">
        <v>25</v>
      </c>
      <c r="H1093" t="str">
        <f>"STATE EXAM-MEGAN CAMDEN"</f>
        <v>STATE EXAM-MEGAN CAMDEN</v>
      </c>
    </row>
    <row r="1094" spans="1:8" x14ac:dyDescent="0.25">
      <c r="A1094" t="s">
        <v>347</v>
      </c>
      <c r="B1094" s="3">
        <v>81989</v>
      </c>
      <c r="C1094" s="2">
        <v>125</v>
      </c>
      <c r="D1094" s="1">
        <v>43577</v>
      </c>
      <c r="E1094" t="str">
        <f>"201904158630"</f>
        <v>201904158630</v>
      </c>
      <c r="F1094" t="str">
        <f>"2019 SPRING JAIL ACADEMY"</f>
        <v>2019 SPRING JAIL ACADEMY</v>
      </c>
      <c r="G1094" s="2">
        <v>125</v>
      </c>
      <c r="H1094" t="str">
        <f>"2019 SPRING JAIL ACADEMY"</f>
        <v>2019 SPRING JAIL ACADEMY</v>
      </c>
    </row>
    <row r="1095" spans="1:8" x14ac:dyDescent="0.25">
      <c r="A1095" t="s">
        <v>348</v>
      </c>
      <c r="B1095" s="3">
        <v>81990</v>
      </c>
      <c r="C1095" s="2">
        <v>500</v>
      </c>
      <c r="D1095" s="1">
        <v>43577</v>
      </c>
      <c r="E1095" t="str">
        <f>"201904158629"</f>
        <v>201904158629</v>
      </c>
      <c r="F1095" t="str">
        <f>"TRAINING"</f>
        <v>TRAINING</v>
      </c>
      <c r="G1095" s="2">
        <v>500</v>
      </c>
      <c r="H1095" t="str">
        <f>"TRAINING"</f>
        <v>TRAINING</v>
      </c>
    </row>
    <row r="1096" spans="1:8" x14ac:dyDescent="0.25">
      <c r="A1096" t="s">
        <v>349</v>
      </c>
      <c r="B1096" s="3">
        <v>732</v>
      </c>
      <c r="C1096" s="2">
        <v>209</v>
      </c>
      <c r="D1096" s="1">
        <v>43578</v>
      </c>
      <c r="E1096" t="str">
        <f>"1905056"</f>
        <v>1905056</v>
      </c>
      <c r="F1096" t="str">
        <f>"MONTHLY CONTRACT BILL/GEN SVCS"</f>
        <v>MONTHLY CONTRACT BILL/GEN SVCS</v>
      </c>
      <c r="G1096" s="2">
        <v>209</v>
      </c>
      <c r="H1096" t="str">
        <f>"MONTHLY CONTRACT BILL/GEN SVCS"</f>
        <v>MONTHLY CONTRACT BILL/GEN SVCS</v>
      </c>
    </row>
    <row r="1097" spans="1:8" x14ac:dyDescent="0.25">
      <c r="A1097" t="s">
        <v>350</v>
      </c>
      <c r="B1097" s="3">
        <v>669</v>
      </c>
      <c r="C1097" s="2">
        <v>208.8</v>
      </c>
      <c r="D1097" s="1">
        <v>43564</v>
      </c>
      <c r="E1097" t="str">
        <f>"201903288148"</f>
        <v>201903288148</v>
      </c>
      <c r="F1097" t="str">
        <f>"MILEAGE REIMBURSEMENT"</f>
        <v>MILEAGE REIMBURSEMENT</v>
      </c>
      <c r="G1097" s="2">
        <v>208.8</v>
      </c>
      <c r="H1097" t="str">
        <f>"MILEAGE REIMBURSEMENT"</f>
        <v>MILEAGE REIMBURSEMENT</v>
      </c>
    </row>
    <row r="1098" spans="1:8" x14ac:dyDescent="0.25">
      <c r="A1098" t="s">
        <v>351</v>
      </c>
      <c r="B1098" s="3">
        <v>81772</v>
      </c>
      <c r="C1098" s="2">
        <v>581.36</v>
      </c>
      <c r="D1098" s="1">
        <v>43563</v>
      </c>
      <c r="E1098" t="str">
        <f>"346705"</f>
        <v>346705</v>
      </c>
      <c r="F1098" t="str">
        <f>"INV 346705"</f>
        <v>INV 346705</v>
      </c>
      <c r="G1098" s="2">
        <v>581.36</v>
      </c>
      <c r="H1098" t="str">
        <f>"INV 346705"</f>
        <v>INV 346705</v>
      </c>
    </row>
    <row r="1099" spans="1:8" x14ac:dyDescent="0.25">
      <c r="A1099" t="s">
        <v>352</v>
      </c>
      <c r="B1099" s="3">
        <v>671</v>
      </c>
      <c r="C1099" s="2">
        <v>17</v>
      </c>
      <c r="D1099" s="1">
        <v>43564</v>
      </c>
      <c r="E1099" t="str">
        <f>"0088234"</f>
        <v>0088234</v>
      </c>
      <c r="F1099" t="str">
        <f>"5 G/PCT#1"</f>
        <v>5 G/PCT#1</v>
      </c>
      <c r="G1099" s="2">
        <v>17</v>
      </c>
      <c r="H1099" t="str">
        <f>"5 G/PCT#1"</f>
        <v>5 G/PCT#1</v>
      </c>
    </row>
    <row r="1100" spans="1:8" x14ac:dyDescent="0.25">
      <c r="A1100" t="s">
        <v>353</v>
      </c>
      <c r="B1100" s="3">
        <v>81773</v>
      </c>
      <c r="C1100" s="2">
        <v>9843.19</v>
      </c>
      <c r="D1100" s="1">
        <v>43563</v>
      </c>
      <c r="E1100" t="str">
        <f>"0840860-IN"</f>
        <v>0840860-IN</v>
      </c>
      <c r="F1100" t="str">
        <f>"ACCT#01-0112917/GASOLINE/PCT#4"</f>
        <v>ACCT#01-0112917/GASOLINE/PCT#4</v>
      </c>
      <c r="G1100" s="2">
        <v>5556.25</v>
      </c>
      <c r="H1100" t="str">
        <f>"ACCT#01-0112917/GASOLINE/PCT#4"</f>
        <v>ACCT#01-0112917/GASOLINE/PCT#4</v>
      </c>
    </row>
    <row r="1101" spans="1:8" x14ac:dyDescent="0.25">
      <c r="E1101" t="str">
        <f>"08412151-IN"</f>
        <v>08412151-IN</v>
      </c>
      <c r="F1101" t="str">
        <f>"ACCT#01-0112917/PCT#3"</f>
        <v>ACCT#01-0112917/PCT#3</v>
      </c>
      <c r="G1101" s="2">
        <v>4286.9399999999996</v>
      </c>
      <c r="H1101" t="str">
        <f>"ACCT#01-0112917/PCT#3"</f>
        <v>ACCT#01-0112917/PCT#3</v>
      </c>
    </row>
    <row r="1102" spans="1:8" x14ac:dyDescent="0.25">
      <c r="A1102" t="s">
        <v>353</v>
      </c>
      <c r="B1102" s="3">
        <v>81991</v>
      </c>
      <c r="C1102" s="2">
        <v>13547.94</v>
      </c>
      <c r="D1102" s="1">
        <v>43577</v>
      </c>
      <c r="E1102" t="str">
        <f>"0845701-IN"</f>
        <v>0845701-IN</v>
      </c>
      <c r="F1102" t="str">
        <f>"ACCT#01-0112917/FUEL/PCT#1"</f>
        <v>ACCT#01-0112917/FUEL/PCT#1</v>
      </c>
      <c r="G1102" s="2">
        <v>2567.88</v>
      </c>
      <c r="H1102" t="str">
        <f>"ACCT#01-0112917/FUEL/PCT#1"</f>
        <v>ACCT#01-0112917/FUEL/PCT#1</v>
      </c>
    </row>
    <row r="1103" spans="1:8" x14ac:dyDescent="0.25">
      <c r="E1103" t="str">
        <f>"0846792-IN"</f>
        <v>0846792-IN</v>
      </c>
      <c r="F1103" t="str">
        <f>"ACCT#01-0112917/FUEL/PCT#3"</f>
        <v>ACCT#01-0112917/FUEL/PCT#3</v>
      </c>
      <c r="G1103" s="2">
        <v>4381.4399999999996</v>
      </c>
      <c r="H1103" t="str">
        <f>"ACCT#01-0112917/FUEL/PCT#3"</f>
        <v>ACCT#01-0112917/FUEL/PCT#3</v>
      </c>
    </row>
    <row r="1104" spans="1:8" x14ac:dyDescent="0.25">
      <c r="E1104" t="str">
        <f>"0846793-IN"</f>
        <v>0846793-IN</v>
      </c>
      <c r="F1104" t="str">
        <f>"ACCT#01-0122917/PCT#3"</f>
        <v>ACCT#01-0122917/PCT#3</v>
      </c>
      <c r="G1104" s="2">
        <v>336</v>
      </c>
      <c r="H1104" t="str">
        <f>"ACCT#01-0122917/PCT#3"</f>
        <v>ACCT#01-0122917/PCT#3</v>
      </c>
    </row>
    <row r="1105" spans="1:8" x14ac:dyDescent="0.25">
      <c r="E1105" t="str">
        <f>"0846794-IN"</f>
        <v>0846794-IN</v>
      </c>
      <c r="F1105" t="str">
        <f>"ACCT#01-0112917/FUEL/PCT#4"</f>
        <v>ACCT#01-0112917/FUEL/PCT#4</v>
      </c>
      <c r="G1105" s="2">
        <v>6262.62</v>
      </c>
      <c r="H1105" t="str">
        <f>"ACCT#01-0112917/FUEL/PCT#4"</f>
        <v>ACCT#01-0112917/FUEL/PCT#4</v>
      </c>
    </row>
    <row r="1106" spans="1:8" x14ac:dyDescent="0.25">
      <c r="A1106" t="s">
        <v>354</v>
      </c>
      <c r="B1106" s="3">
        <v>81774</v>
      </c>
      <c r="C1106" s="2">
        <v>213.36</v>
      </c>
      <c r="D1106" s="1">
        <v>43563</v>
      </c>
      <c r="E1106" t="str">
        <f>"99514"</f>
        <v>99514</v>
      </c>
      <c r="F1106" t="str">
        <f>"BULLROCK/PCT#4"</f>
        <v>BULLROCK/PCT#4</v>
      </c>
      <c r="G1106" s="2">
        <v>213.36</v>
      </c>
      <c r="H1106" t="str">
        <f>"BULLROCK/PCT#4"</f>
        <v>BULLROCK/PCT#4</v>
      </c>
    </row>
    <row r="1107" spans="1:8" x14ac:dyDescent="0.25">
      <c r="A1107" t="s">
        <v>355</v>
      </c>
      <c r="B1107" s="3">
        <v>81775</v>
      </c>
      <c r="C1107" s="2">
        <v>250</v>
      </c>
      <c r="D1107" s="1">
        <v>43563</v>
      </c>
      <c r="E1107" t="str">
        <f>"201904038371"</f>
        <v>201904038371</v>
      </c>
      <c r="F1107" t="str">
        <f>"MAY BOND RENEWALS"</f>
        <v>MAY BOND RENEWALS</v>
      </c>
      <c r="G1107" s="2">
        <v>250</v>
      </c>
      <c r="H1107" t="str">
        <f>"MAY BOND RENEWALS"</f>
        <v>MAY BOND RENEWALS</v>
      </c>
    </row>
    <row r="1108" spans="1:8" x14ac:dyDescent="0.25">
      <c r="A1108" t="s">
        <v>356</v>
      </c>
      <c r="B1108" s="3">
        <v>81776</v>
      </c>
      <c r="C1108" s="2">
        <v>250</v>
      </c>
      <c r="D1108" s="1">
        <v>43563</v>
      </c>
      <c r="E1108" t="str">
        <f>"288577"</f>
        <v>288577</v>
      </c>
      <c r="F1108" t="str">
        <f>"MEMBER ID:231974 SARAH LOUCKS"</f>
        <v>MEMBER ID:231974 SARAH LOUCKS</v>
      </c>
      <c r="G1108" s="2">
        <v>250</v>
      </c>
      <c r="H1108" t="str">
        <f>"MEMBER ID:231974 SARAH LOUCKS"</f>
        <v>MEMBER ID:231974 SARAH LOUCKS</v>
      </c>
    </row>
    <row r="1109" spans="1:8" x14ac:dyDescent="0.25">
      <c r="A1109" t="s">
        <v>356</v>
      </c>
      <c r="B1109" s="3">
        <v>81777</v>
      </c>
      <c r="C1109" s="2">
        <v>565</v>
      </c>
      <c r="D1109" s="1">
        <v>43563</v>
      </c>
      <c r="E1109" t="str">
        <f>"58570"</f>
        <v>58570</v>
      </c>
      <c r="F1109" t="str">
        <f>"203296/110 LISA SMITH MEM DUES"</f>
        <v>203296/110 LISA SMITH MEM DUES</v>
      </c>
      <c r="G1109" s="2">
        <v>565</v>
      </c>
      <c r="H1109" t="str">
        <f>"203296/110 LISA SMITH MEM DUES"</f>
        <v>203296/110 LISA SMITH MEM DUES</v>
      </c>
    </row>
    <row r="1110" spans="1:8" x14ac:dyDescent="0.25">
      <c r="A1110" t="s">
        <v>356</v>
      </c>
      <c r="B1110" s="3">
        <v>81778</v>
      </c>
      <c r="C1110" s="2">
        <v>4489.91</v>
      </c>
      <c r="D1110" s="1">
        <v>43563</v>
      </c>
      <c r="E1110" t="str">
        <f>"D-2019-2-0110"</f>
        <v>D-2019-2-0110</v>
      </c>
      <c r="F1110" t="str">
        <f>"UNEMPLOYMENT/QTR END 03/31/19"</f>
        <v>UNEMPLOYMENT/QTR END 03/31/19</v>
      </c>
      <c r="G1110" s="2">
        <v>4489.91</v>
      </c>
      <c r="H1110" t="str">
        <f t="shared" ref="H1110:H1147" si="15">"UNEMPLOYMENT/QTR END 03/31/19"</f>
        <v>UNEMPLOYMENT/QTR END 03/31/19</v>
      </c>
    </row>
    <row r="1111" spans="1:8" x14ac:dyDescent="0.25">
      <c r="E1111" t="str">
        <f>""</f>
        <v/>
      </c>
      <c r="F1111" t="str">
        <f>""</f>
        <v/>
      </c>
      <c r="H1111" t="str">
        <f t="shared" si="15"/>
        <v>UNEMPLOYMENT/QTR END 03/31/19</v>
      </c>
    </row>
    <row r="1112" spans="1:8" x14ac:dyDescent="0.25">
      <c r="E1112" t="str">
        <f>""</f>
        <v/>
      </c>
      <c r="F1112" t="str">
        <f>""</f>
        <v/>
      </c>
      <c r="H1112" t="str">
        <f t="shared" si="15"/>
        <v>UNEMPLOYMENT/QTR END 03/31/19</v>
      </c>
    </row>
    <row r="1113" spans="1:8" x14ac:dyDescent="0.25">
      <c r="E1113" t="str">
        <f>""</f>
        <v/>
      </c>
      <c r="F1113" t="str">
        <f>""</f>
        <v/>
      </c>
      <c r="H1113" t="str">
        <f t="shared" si="15"/>
        <v>UNEMPLOYMENT/QTR END 03/31/19</v>
      </c>
    </row>
    <row r="1114" spans="1:8" x14ac:dyDescent="0.25">
      <c r="E1114" t="str">
        <f>""</f>
        <v/>
      </c>
      <c r="F1114" t="str">
        <f>""</f>
        <v/>
      </c>
      <c r="H1114" t="str">
        <f t="shared" si="15"/>
        <v>UNEMPLOYMENT/QTR END 03/31/19</v>
      </c>
    </row>
    <row r="1115" spans="1:8" x14ac:dyDescent="0.25">
      <c r="E1115" t="str">
        <f>""</f>
        <v/>
      </c>
      <c r="F1115" t="str">
        <f>""</f>
        <v/>
      </c>
      <c r="H1115" t="str">
        <f t="shared" si="15"/>
        <v>UNEMPLOYMENT/QTR END 03/31/19</v>
      </c>
    </row>
    <row r="1116" spans="1:8" x14ac:dyDescent="0.25">
      <c r="E1116" t="str">
        <f>""</f>
        <v/>
      </c>
      <c r="F1116" t="str">
        <f>""</f>
        <v/>
      </c>
      <c r="H1116" t="str">
        <f t="shared" si="15"/>
        <v>UNEMPLOYMENT/QTR END 03/31/19</v>
      </c>
    </row>
    <row r="1117" spans="1:8" x14ac:dyDescent="0.25">
      <c r="E1117" t="str">
        <f>""</f>
        <v/>
      </c>
      <c r="F1117" t="str">
        <f>""</f>
        <v/>
      </c>
      <c r="H1117" t="str">
        <f t="shared" si="15"/>
        <v>UNEMPLOYMENT/QTR END 03/31/19</v>
      </c>
    </row>
    <row r="1118" spans="1:8" x14ac:dyDescent="0.25">
      <c r="E1118" t="str">
        <f>""</f>
        <v/>
      </c>
      <c r="F1118" t="str">
        <f>""</f>
        <v/>
      </c>
      <c r="H1118" t="str">
        <f t="shared" si="15"/>
        <v>UNEMPLOYMENT/QTR END 03/31/19</v>
      </c>
    </row>
    <row r="1119" spans="1:8" x14ac:dyDescent="0.25">
      <c r="E1119" t="str">
        <f>""</f>
        <v/>
      </c>
      <c r="F1119" t="str">
        <f>""</f>
        <v/>
      </c>
      <c r="H1119" t="str">
        <f t="shared" si="15"/>
        <v>UNEMPLOYMENT/QTR END 03/31/19</v>
      </c>
    </row>
    <row r="1120" spans="1:8" x14ac:dyDescent="0.25">
      <c r="E1120" t="str">
        <f>""</f>
        <v/>
      </c>
      <c r="F1120" t="str">
        <f>""</f>
        <v/>
      </c>
      <c r="H1120" t="str">
        <f t="shared" si="15"/>
        <v>UNEMPLOYMENT/QTR END 03/31/19</v>
      </c>
    </row>
    <row r="1121" spans="5:8" x14ac:dyDescent="0.25">
      <c r="E1121" t="str">
        <f>""</f>
        <v/>
      </c>
      <c r="F1121" t="str">
        <f>""</f>
        <v/>
      </c>
      <c r="H1121" t="str">
        <f t="shared" si="15"/>
        <v>UNEMPLOYMENT/QTR END 03/31/19</v>
      </c>
    </row>
    <row r="1122" spans="5:8" x14ac:dyDescent="0.25">
      <c r="E1122" t="str">
        <f>""</f>
        <v/>
      </c>
      <c r="F1122" t="str">
        <f>""</f>
        <v/>
      </c>
      <c r="H1122" t="str">
        <f t="shared" si="15"/>
        <v>UNEMPLOYMENT/QTR END 03/31/19</v>
      </c>
    </row>
    <row r="1123" spans="5:8" x14ac:dyDescent="0.25">
      <c r="E1123" t="str">
        <f>""</f>
        <v/>
      </c>
      <c r="F1123" t="str">
        <f>""</f>
        <v/>
      </c>
      <c r="H1123" t="str">
        <f t="shared" si="15"/>
        <v>UNEMPLOYMENT/QTR END 03/31/19</v>
      </c>
    </row>
    <row r="1124" spans="5:8" x14ac:dyDescent="0.25">
      <c r="E1124" t="str">
        <f>""</f>
        <v/>
      </c>
      <c r="F1124" t="str">
        <f>""</f>
        <v/>
      </c>
      <c r="H1124" t="str">
        <f t="shared" si="15"/>
        <v>UNEMPLOYMENT/QTR END 03/31/19</v>
      </c>
    </row>
    <row r="1125" spans="5:8" x14ac:dyDescent="0.25">
      <c r="E1125" t="str">
        <f>""</f>
        <v/>
      </c>
      <c r="F1125" t="str">
        <f>""</f>
        <v/>
      </c>
      <c r="H1125" t="str">
        <f t="shared" si="15"/>
        <v>UNEMPLOYMENT/QTR END 03/31/19</v>
      </c>
    </row>
    <row r="1126" spans="5:8" x14ac:dyDescent="0.25">
      <c r="E1126" t="str">
        <f>""</f>
        <v/>
      </c>
      <c r="F1126" t="str">
        <f>""</f>
        <v/>
      </c>
      <c r="H1126" t="str">
        <f t="shared" si="15"/>
        <v>UNEMPLOYMENT/QTR END 03/31/19</v>
      </c>
    </row>
    <row r="1127" spans="5:8" x14ac:dyDescent="0.25">
      <c r="E1127" t="str">
        <f>""</f>
        <v/>
      </c>
      <c r="F1127" t="str">
        <f>""</f>
        <v/>
      </c>
      <c r="H1127" t="str">
        <f t="shared" si="15"/>
        <v>UNEMPLOYMENT/QTR END 03/31/19</v>
      </c>
    </row>
    <row r="1128" spans="5:8" x14ac:dyDescent="0.25">
      <c r="E1128" t="str">
        <f>""</f>
        <v/>
      </c>
      <c r="F1128" t="str">
        <f>""</f>
        <v/>
      </c>
      <c r="H1128" t="str">
        <f t="shared" si="15"/>
        <v>UNEMPLOYMENT/QTR END 03/31/19</v>
      </c>
    </row>
    <row r="1129" spans="5:8" x14ac:dyDescent="0.25">
      <c r="E1129" t="str">
        <f>""</f>
        <v/>
      </c>
      <c r="F1129" t="str">
        <f>""</f>
        <v/>
      </c>
      <c r="H1129" t="str">
        <f t="shared" si="15"/>
        <v>UNEMPLOYMENT/QTR END 03/31/19</v>
      </c>
    </row>
    <row r="1130" spans="5:8" x14ac:dyDescent="0.25">
      <c r="E1130" t="str">
        <f>""</f>
        <v/>
      </c>
      <c r="F1130" t="str">
        <f>""</f>
        <v/>
      </c>
      <c r="H1130" t="str">
        <f t="shared" si="15"/>
        <v>UNEMPLOYMENT/QTR END 03/31/19</v>
      </c>
    </row>
    <row r="1131" spans="5:8" x14ac:dyDescent="0.25">
      <c r="E1131" t="str">
        <f>""</f>
        <v/>
      </c>
      <c r="F1131" t="str">
        <f>""</f>
        <v/>
      </c>
      <c r="H1131" t="str">
        <f t="shared" si="15"/>
        <v>UNEMPLOYMENT/QTR END 03/31/19</v>
      </c>
    </row>
    <row r="1132" spans="5:8" x14ac:dyDescent="0.25">
      <c r="E1132" t="str">
        <f>""</f>
        <v/>
      </c>
      <c r="F1132" t="str">
        <f>""</f>
        <v/>
      </c>
      <c r="H1132" t="str">
        <f t="shared" si="15"/>
        <v>UNEMPLOYMENT/QTR END 03/31/19</v>
      </c>
    </row>
    <row r="1133" spans="5:8" x14ac:dyDescent="0.25">
      <c r="E1133" t="str">
        <f>""</f>
        <v/>
      </c>
      <c r="F1133" t="str">
        <f>""</f>
        <v/>
      </c>
      <c r="H1133" t="str">
        <f t="shared" si="15"/>
        <v>UNEMPLOYMENT/QTR END 03/31/19</v>
      </c>
    </row>
    <row r="1134" spans="5:8" x14ac:dyDescent="0.25">
      <c r="E1134" t="str">
        <f>""</f>
        <v/>
      </c>
      <c r="F1134" t="str">
        <f>""</f>
        <v/>
      </c>
      <c r="H1134" t="str">
        <f t="shared" si="15"/>
        <v>UNEMPLOYMENT/QTR END 03/31/19</v>
      </c>
    </row>
    <row r="1135" spans="5:8" x14ac:dyDescent="0.25">
      <c r="E1135" t="str">
        <f>""</f>
        <v/>
      </c>
      <c r="F1135" t="str">
        <f>""</f>
        <v/>
      </c>
      <c r="H1135" t="str">
        <f t="shared" si="15"/>
        <v>UNEMPLOYMENT/QTR END 03/31/19</v>
      </c>
    </row>
    <row r="1136" spans="5:8" x14ac:dyDescent="0.25">
      <c r="E1136" t="str">
        <f>""</f>
        <v/>
      </c>
      <c r="F1136" t="str">
        <f>""</f>
        <v/>
      </c>
      <c r="H1136" t="str">
        <f t="shared" si="15"/>
        <v>UNEMPLOYMENT/QTR END 03/31/19</v>
      </c>
    </row>
    <row r="1137" spans="1:8" x14ac:dyDescent="0.25">
      <c r="E1137" t="str">
        <f>""</f>
        <v/>
      </c>
      <c r="F1137" t="str">
        <f>""</f>
        <v/>
      </c>
      <c r="H1137" t="str">
        <f t="shared" si="15"/>
        <v>UNEMPLOYMENT/QTR END 03/31/19</v>
      </c>
    </row>
    <row r="1138" spans="1:8" x14ac:dyDescent="0.25">
      <c r="E1138" t="str">
        <f>""</f>
        <v/>
      </c>
      <c r="F1138" t="str">
        <f>""</f>
        <v/>
      </c>
      <c r="H1138" t="str">
        <f t="shared" si="15"/>
        <v>UNEMPLOYMENT/QTR END 03/31/19</v>
      </c>
    </row>
    <row r="1139" spans="1:8" x14ac:dyDescent="0.25">
      <c r="E1139" t="str">
        <f>""</f>
        <v/>
      </c>
      <c r="F1139" t="str">
        <f>""</f>
        <v/>
      </c>
      <c r="H1139" t="str">
        <f t="shared" si="15"/>
        <v>UNEMPLOYMENT/QTR END 03/31/19</v>
      </c>
    </row>
    <row r="1140" spans="1:8" x14ac:dyDescent="0.25">
      <c r="E1140" t="str">
        <f>""</f>
        <v/>
      </c>
      <c r="F1140" t="str">
        <f>""</f>
        <v/>
      </c>
      <c r="H1140" t="str">
        <f t="shared" si="15"/>
        <v>UNEMPLOYMENT/QTR END 03/31/19</v>
      </c>
    </row>
    <row r="1141" spans="1:8" x14ac:dyDescent="0.25">
      <c r="E1141" t="str">
        <f>""</f>
        <v/>
      </c>
      <c r="F1141" t="str">
        <f>""</f>
        <v/>
      </c>
      <c r="H1141" t="str">
        <f t="shared" si="15"/>
        <v>UNEMPLOYMENT/QTR END 03/31/19</v>
      </c>
    </row>
    <row r="1142" spans="1:8" x14ac:dyDescent="0.25">
      <c r="E1142" t="str">
        <f>""</f>
        <v/>
      </c>
      <c r="F1142" t="str">
        <f>""</f>
        <v/>
      </c>
      <c r="H1142" t="str">
        <f t="shared" si="15"/>
        <v>UNEMPLOYMENT/QTR END 03/31/19</v>
      </c>
    </row>
    <row r="1143" spans="1:8" x14ac:dyDescent="0.25">
      <c r="E1143" t="str">
        <f>""</f>
        <v/>
      </c>
      <c r="F1143" t="str">
        <f>""</f>
        <v/>
      </c>
      <c r="H1143" t="str">
        <f t="shared" si="15"/>
        <v>UNEMPLOYMENT/QTR END 03/31/19</v>
      </c>
    </row>
    <row r="1144" spans="1:8" x14ac:dyDescent="0.25">
      <c r="E1144" t="str">
        <f>""</f>
        <v/>
      </c>
      <c r="F1144" t="str">
        <f>""</f>
        <v/>
      </c>
      <c r="H1144" t="str">
        <f t="shared" si="15"/>
        <v>UNEMPLOYMENT/QTR END 03/31/19</v>
      </c>
    </row>
    <row r="1145" spans="1:8" x14ac:dyDescent="0.25">
      <c r="E1145" t="str">
        <f>""</f>
        <v/>
      </c>
      <c r="F1145" t="str">
        <f>""</f>
        <v/>
      </c>
      <c r="H1145" t="str">
        <f t="shared" si="15"/>
        <v>UNEMPLOYMENT/QTR END 03/31/19</v>
      </c>
    </row>
    <row r="1146" spans="1:8" x14ac:dyDescent="0.25">
      <c r="E1146" t="str">
        <f>""</f>
        <v/>
      </c>
      <c r="F1146" t="str">
        <f>""</f>
        <v/>
      </c>
      <c r="H1146" t="str">
        <f t="shared" si="15"/>
        <v>UNEMPLOYMENT/QTR END 03/31/19</v>
      </c>
    </row>
    <row r="1147" spans="1:8" x14ac:dyDescent="0.25">
      <c r="E1147" t="str">
        <f>""</f>
        <v/>
      </c>
      <c r="F1147" t="str">
        <f>""</f>
        <v/>
      </c>
      <c r="H1147" t="str">
        <f t="shared" si="15"/>
        <v>UNEMPLOYMENT/QTR END 03/31/19</v>
      </c>
    </row>
    <row r="1148" spans="1:8" x14ac:dyDescent="0.25">
      <c r="A1148" t="s">
        <v>356</v>
      </c>
      <c r="B1148" s="3">
        <v>81992</v>
      </c>
      <c r="C1148" s="2">
        <v>150</v>
      </c>
      <c r="D1148" s="1">
        <v>43577</v>
      </c>
      <c r="E1148" t="str">
        <f>"201904118594"</f>
        <v>201904118594</v>
      </c>
      <c r="F1148" t="str">
        <f>"DUES-LAURIE INGRAM"</f>
        <v>DUES-LAURIE INGRAM</v>
      </c>
      <c r="G1148" s="2">
        <v>150</v>
      </c>
      <c r="H1148" t="str">
        <f>"DUES-LAURIE INGRAM"</f>
        <v>DUES-LAURIE INGRAM</v>
      </c>
    </row>
    <row r="1149" spans="1:8" x14ac:dyDescent="0.25">
      <c r="A1149" t="s">
        <v>356</v>
      </c>
      <c r="B1149" s="3">
        <v>81993</v>
      </c>
      <c r="C1149" s="2">
        <v>60</v>
      </c>
      <c r="D1149" s="1">
        <v>43577</v>
      </c>
      <c r="E1149" t="str">
        <f>"249224"</f>
        <v>249224</v>
      </c>
      <c r="F1149" t="str">
        <f>"JPCA MEMBERSHIP-CINDY ALLEN"</f>
        <v>JPCA MEMBERSHIP-CINDY ALLEN</v>
      </c>
      <c r="G1149" s="2">
        <v>60</v>
      </c>
      <c r="H1149" t="str">
        <f>"JPCA MEMBERSHIP-CINDY ALLEN"</f>
        <v>JPCA MEMBERSHIP-CINDY ALLEN</v>
      </c>
    </row>
    <row r="1150" spans="1:8" x14ac:dyDescent="0.25">
      <c r="A1150" t="s">
        <v>357</v>
      </c>
      <c r="B1150" s="3">
        <v>81994</v>
      </c>
      <c r="C1150" s="2">
        <v>1954.9</v>
      </c>
      <c r="D1150" s="1">
        <v>43577</v>
      </c>
      <c r="E1150" t="str">
        <f>"1005"</f>
        <v>1005</v>
      </c>
      <c r="F1150" t="str">
        <f>"WORK BOOTS/PCT#2"</f>
        <v>WORK BOOTS/PCT#2</v>
      </c>
      <c r="G1150" s="2">
        <v>1369.92</v>
      </c>
      <c r="H1150" t="str">
        <f>"WORK BOOTS/PCT#2"</f>
        <v>WORK BOOTS/PCT#2</v>
      </c>
    </row>
    <row r="1151" spans="1:8" x14ac:dyDescent="0.25">
      <c r="E1151" t="str">
        <f>"1006"</f>
        <v>1006</v>
      </c>
      <c r="F1151" t="str">
        <f>" WORK  BOOTS/GEN SVCS"</f>
        <v xml:space="preserve"> WORK  BOOTS/GEN SVCS</v>
      </c>
      <c r="G1151" s="2">
        <v>584.98</v>
      </c>
      <c r="H1151" t="str">
        <f>" WORK  BOOTS/GEN SVCS"</f>
        <v xml:space="preserve"> WORK  BOOTS/GEN SVCS</v>
      </c>
    </row>
    <row r="1152" spans="1:8" x14ac:dyDescent="0.25">
      <c r="E1152" t="str">
        <f>""</f>
        <v/>
      </c>
      <c r="F1152" t="str">
        <f>""</f>
        <v/>
      </c>
      <c r="H1152" t="str">
        <f>" WORK  BOOTS/GEN SVCS"</f>
        <v xml:space="preserve"> WORK  BOOTS/GEN SVCS</v>
      </c>
    </row>
    <row r="1153" spans="1:9" x14ac:dyDescent="0.25">
      <c r="A1153" t="s">
        <v>358</v>
      </c>
      <c r="B1153" s="3">
        <v>81995</v>
      </c>
      <c r="C1153" s="2">
        <v>680</v>
      </c>
      <c r="D1153" s="1">
        <v>43577</v>
      </c>
      <c r="E1153" t="str">
        <f>"UI447982"</f>
        <v>UI447982</v>
      </c>
      <c r="F1153" t="str">
        <f>"CONFERENCE TABLE"</f>
        <v>CONFERENCE TABLE</v>
      </c>
      <c r="G1153" s="2">
        <v>680</v>
      </c>
      <c r="H1153" t="str">
        <f>"425-18-82122-0"</f>
        <v>425-18-82122-0</v>
      </c>
    </row>
    <row r="1154" spans="1:9" x14ac:dyDescent="0.25">
      <c r="A1154" t="s">
        <v>359</v>
      </c>
      <c r="B1154" s="3">
        <v>81779</v>
      </c>
      <c r="C1154" s="2">
        <v>110</v>
      </c>
      <c r="D1154" s="1">
        <v>43563</v>
      </c>
      <c r="E1154" t="str">
        <f>"12531"</f>
        <v>12531</v>
      </c>
      <c r="F1154" t="str">
        <f>"ACCT#1267/MEDICAL WASTE P/U"</f>
        <v>ACCT#1267/MEDICAL WASTE P/U</v>
      </c>
      <c r="G1154" s="2">
        <v>110</v>
      </c>
      <c r="H1154" t="str">
        <f>"ACCT#1267/MEDICAL WASTE P/U"</f>
        <v>ACCT#1267/MEDICAL WASTE P/U</v>
      </c>
    </row>
    <row r="1155" spans="1:9" x14ac:dyDescent="0.25">
      <c r="A1155" t="s">
        <v>360</v>
      </c>
      <c r="B1155" s="3">
        <v>81996</v>
      </c>
      <c r="C1155" s="2">
        <v>6</v>
      </c>
      <c r="D1155" s="1">
        <v>43577</v>
      </c>
      <c r="E1155" t="str">
        <f>"CRS-201902-165525"</f>
        <v>CRS-201902-165525</v>
      </c>
      <c r="F1155" t="str">
        <f>"SECURE SITE CCH NAME SEARCH"</f>
        <v>SECURE SITE CCH NAME SEARCH</v>
      </c>
      <c r="G1155" s="2">
        <v>6</v>
      </c>
      <c r="H1155" t="str">
        <f>"SECURE SITE CCH NAME SEARCH"</f>
        <v>SECURE SITE CCH NAME SEARCH</v>
      </c>
    </row>
    <row r="1156" spans="1:9" x14ac:dyDescent="0.25">
      <c r="A1156" t="s">
        <v>360</v>
      </c>
      <c r="B1156" s="3">
        <v>81997</v>
      </c>
      <c r="C1156" s="2">
        <v>180</v>
      </c>
      <c r="D1156" s="1">
        <v>43577</v>
      </c>
      <c r="E1156" t="s">
        <v>23</v>
      </c>
      <c r="F1156" t="s">
        <v>361</v>
      </c>
      <c r="G1156" s="2" t="str">
        <f>"RESTITUTION-CHRISTOPHER ROSNER"</f>
        <v>RESTITUTION-CHRISTOPHER ROSNER</v>
      </c>
      <c r="H1156" t="str">
        <f>"210-0000"</f>
        <v>210-0000</v>
      </c>
      <c r="I1156" t="str">
        <f>""</f>
        <v/>
      </c>
    </row>
    <row r="1157" spans="1:9" x14ac:dyDescent="0.25">
      <c r="A1157" t="s">
        <v>362</v>
      </c>
      <c r="B1157" s="3">
        <v>81780</v>
      </c>
      <c r="C1157" s="2">
        <v>198</v>
      </c>
      <c r="D1157" s="1">
        <v>43563</v>
      </c>
      <c r="E1157" t="str">
        <f>"201904038364"</f>
        <v>201904038364</v>
      </c>
      <c r="F1157" t="str">
        <f>"TRAINING"</f>
        <v>TRAINING</v>
      </c>
      <c r="G1157" s="2">
        <v>198</v>
      </c>
      <c r="H1157" t="str">
        <f>"J GONZALEZ/P BIRRAN"</f>
        <v>J GONZALEZ/P BIRRAN</v>
      </c>
    </row>
    <row r="1158" spans="1:9" x14ac:dyDescent="0.25">
      <c r="A1158" t="s">
        <v>363</v>
      </c>
      <c r="B1158" s="3">
        <v>81998</v>
      </c>
      <c r="C1158" s="2">
        <v>3336.3</v>
      </c>
      <c r="D1158" s="1">
        <v>43577</v>
      </c>
      <c r="E1158" t="str">
        <f>"200758372"</f>
        <v>200758372</v>
      </c>
      <c r="F1158" t="str">
        <f>"CUST#255120/PCT#2"</f>
        <v>CUST#255120/PCT#2</v>
      </c>
      <c r="G1158" s="2">
        <v>3336.3</v>
      </c>
      <c r="H1158" t="str">
        <f>"CUST#255120/PCT#2"</f>
        <v>CUST#255120/PCT#2</v>
      </c>
    </row>
    <row r="1159" spans="1:9" x14ac:dyDescent="0.25">
      <c r="A1159" t="s">
        <v>364</v>
      </c>
      <c r="B1159" s="3">
        <v>81999</v>
      </c>
      <c r="C1159" s="2">
        <v>825.68</v>
      </c>
      <c r="D1159" s="1">
        <v>43577</v>
      </c>
      <c r="E1159" t="str">
        <f>"E 11314"</f>
        <v>E 11314</v>
      </c>
      <c r="F1159" t="str">
        <f>"SHIRTS-EMBROIDERY/PCT#4"</f>
        <v>SHIRTS-EMBROIDERY/PCT#4</v>
      </c>
      <c r="G1159" s="2">
        <v>825.68</v>
      </c>
      <c r="H1159" t="str">
        <f>"SHIRTS-EMBROIDERY/PCT#4"</f>
        <v>SHIRTS-EMBROIDERY/PCT#4</v>
      </c>
    </row>
    <row r="1160" spans="1:9" x14ac:dyDescent="0.25">
      <c r="A1160" t="s">
        <v>365</v>
      </c>
      <c r="B1160" s="3">
        <v>81781</v>
      </c>
      <c r="C1160" s="2">
        <v>1151</v>
      </c>
      <c r="D1160" s="1">
        <v>43563</v>
      </c>
      <c r="E1160" t="str">
        <f>"97239"</f>
        <v>97239</v>
      </c>
      <c r="F1160" t="str">
        <f>"ACCT#188757/RD &amp; BRIDGE/SIGN"</f>
        <v>ACCT#188757/RD &amp; BRIDGE/SIGN</v>
      </c>
      <c r="G1160" s="2">
        <v>95</v>
      </c>
      <c r="H1160" t="str">
        <f>"ACCT#188757/RD &amp; BRIDGE/SIGN"</f>
        <v>ACCT#188757/RD &amp; BRIDGE/SIGN</v>
      </c>
    </row>
    <row r="1161" spans="1:9" x14ac:dyDescent="0.25">
      <c r="E1161" t="str">
        <f>"97279"</f>
        <v>97279</v>
      </c>
      <c r="F1161" t="str">
        <f>"ACCT#188757/MIKE FISHER BLDG"</f>
        <v>ACCT#188757/MIKE FISHER BLDG</v>
      </c>
      <c r="G1161" s="2">
        <v>112</v>
      </c>
      <c r="H1161" t="str">
        <f>"ACCT#188757/MIKE FISHER BLDG"</f>
        <v>ACCT#188757/MIKE FISHER BLDG</v>
      </c>
    </row>
    <row r="1162" spans="1:9" x14ac:dyDescent="0.25">
      <c r="E1162" t="str">
        <f>"97802"</f>
        <v>97802</v>
      </c>
      <c r="F1162" t="str">
        <f>"ACCT#188757/JUVENILE PROBATION"</f>
        <v>ACCT#188757/JUVENILE PROBATION</v>
      </c>
      <c r="G1162" s="2">
        <v>132</v>
      </c>
      <c r="H1162" t="str">
        <f>"ACCT#188757/JUVENILE PROBATION"</f>
        <v>ACCT#188757/JUVENILE PROBATION</v>
      </c>
    </row>
    <row r="1163" spans="1:9" x14ac:dyDescent="0.25">
      <c r="E1163" t="str">
        <f>"97815"</f>
        <v>97815</v>
      </c>
      <c r="F1163" t="str">
        <f>"ACCT#188757/EXT HABITAT"</f>
        <v>ACCT#188757/EXT HABITAT</v>
      </c>
      <c r="G1163" s="2">
        <v>89</v>
      </c>
      <c r="H1163" t="str">
        <f>"ACCT#188757/EXT HABITAT"</f>
        <v>ACCT#188757/EXT HABITAT</v>
      </c>
    </row>
    <row r="1164" spans="1:9" x14ac:dyDescent="0.25">
      <c r="E1164" t="str">
        <f>"97829"</f>
        <v>97829</v>
      </c>
      <c r="F1164" t="str">
        <f>"ACCT#188757/HISTORIC JAIL"</f>
        <v>ACCT#188757/HISTORIC JAIL</v>
      </c>
      <c r="G1164" s="2">
        <v>76</v>
      </c>
      <c r="H1164" t="str">
        <f>"ACCT#188757/HISTORIC JAIL"</f>
        <v>ACCT#188757/HISTORIC JAIL</v>
      </c>
    </row>
    <row r="1165" spans="1:9" x14ac:dyDescent="0.25">
      <c r="E1165" t="str">
        <f>"97832"</f>
        <v>97832</v>
      </c>
      <c r="F1165" t="str">
        <f>"ACCT#188757/CT HSE MAIN/ANNEX"</f>
        <v>ACCT#188757/CT HSE MAIN/ANNEX</v>
      </c>
      <c r="G1165" s="2">
        <v>137</v>
      </c>
      <c r="H1165" t="str">
        <f>"ACCT#188757/CT HSE MAIN/ANNEX"</f>
        <v>ACCT#188757/CT HSE MAIN/ANNEX</v>
      </c>
    </row>
    <row r="1166" spans="1:9" x14ac:dyDescent="0.25">
      <c r="E1166" t="str">
        <f>"98097"</f>
        <v>98097</v>
      </c>
      <c r="F1166" t="str">
        <f>"ACCT#188757/COM CT JUV BOOT CA"</f>
        <v>ACCT#188757/COM CT JUV BOOT CA</v>
      </c>
      <c r="G1166" s="2">
        <v>118.5</v>
      </c>
      <c r="H1166" t="str">
        <f>"ACCT#188757/COM CT JUV BOOT CA"</f>
        <v>ACCT#188757/COM CT JUV BOOT CA</v>
      </c>
    </row>
    <row r="1167" spans="1:9" x14ac:dyDescent="0.25">
      <c r="E1167" t="str">
        <f>"98119"</f>
        <v>98119</v>
      </c>
      <c r="F1167" t="str">
        <f>"ACCT#188757/CEDAR CREEK PARK"</f>
        <v>ACCT#188757/CEDAR CREEK PARK</v>
      </c>
      <c r="G1167" s="2">
        <v>125</v>
      </c>
      <c r="H1167" t="str">
        <f>"ACCT#188757/CEDAR CREEK PARK"</f>
        <v>ACCT#188757/CEDAR CREEK PARK</v>
      </c>
    </row>
    <row r="1168" spans="1:9" x14ac:dyDescent="0.25">
      <c r="E1168" t="str">
        <f>"98161"</f>
        <v>98161</v>
      </c>
      <c r="F1168" t="str">
        <f>"ACCT#188757/PCT#4 RD &amp; BRIDGE"</f>
        <v>ACCT#188757/PCT#4 RD &amp; BRIDGE</v>
      </c>
      <c r="G1168" s="2">
        <v>95.5</v>
      </c>
      <c r="H1168" t="str">
        <f>"ACCT#188757/PCT#4 RD &amp; BRIDGE"</f>
        <v>ACCT#188757/PCT#4 RD &amp; BRIDGE</v>
      </c>
    </row>
    <row r="1169" spans="1:8" x14ac:dyDescent="0.25">
      <c r="E1169" t="str">
        <f>"98172"</f>
        <v>98172</v>
      </c>
      <c r="F1169" t="str">
        <f>"ACCT#188757/TAX OFFICE"</f>
        <v>ACCT#188757/TAX OFFICE</v>
      </c>
      <c r="G1169" s="2">
        <v>102</v>
      </c>
      <c r="H1169" t="str">
        <f>"ACCT#188757/TAX OFFICE"</f>
        <v>ACCT#188757/TAX OFFICE</v>
      </c>
    </row>
    <row r="1170" spans="1:8" x14ac:dyDescent="0.25">
      <c r="E1170" t="str">
        <f>"98212"</f>
        <v>98212</v>
      </c>
      <c r="F1170" t="str">
        <f>"ACCT#188757/LBJ BLDG/HLTH DPT"</f>
        <v>ACCT#188757/LBJ BLDG/HLTH DPT</v>
      </c>
      <c r="G1170" s="2">
        <v>69</v>
      </c>
      <c r="H1170" t="str">
        <f>"ACCT#188757/LBJ BLDG/HLTH DPT"</f>
        <v>ACCT#188757/LBJ BLDG/HLTH DPT</v>
      </c>
    </row>
    <row r="1171" spans="1:8" x14ac:dyDescent="0.25">
      <c r="A1171" t="s">
        <v>365</v>
      </c>
      <c r="B1171" s="3">
        <v>82000</v>
      </c>
      <c r="C1171" s="2">
        <v>366</v>
      </c>
      <c r="D1171" s="1">
        <v>43577</v>
      </c>
      <c r="E1171" t="str">
        <f>"99504"</f>
        <v>99504</v>
      </c>
      <c r="F1171" t="str">
        <f>"ACCT#188757/DPS/TDL"</f>
        <v>ACCT#188757/DPS/TDL</v>
      </c>
      <c r="G1171" s="2">
        <v>76</v>
      </c>
      <c r="H1171" t="str">
        <f>"ACCT#188757/DPS/TDL"</f>
        <v>ACCT#188757/DPS/TDL</v>
      </c>
    </row>
    <row r="1172" spans="1:8" x14ac:dyDescent="0.25">
      <c r="E1172" t="str">
        <f>"99615"</f>
        <v>99615</v>
      </c>
      <c r="F1172" t="str">
        <f>"ACCT#188757/ANIMAL SHELTER"</f>
        <v>ACCT#188757/ANIMAL SHELTER</v>
      </c>
      <c r="G1172" s="2">
        <v>290</v>
      </c>
      <c r="H1172" t="str">
        <f>"ACCT#188757/ANIMAL SHELTER"</f>
        <v>ACCT#188757/ANIMAL SHELTER</v>
      </c>
    </row>
    <row r="1173" spans="1:8" x14ac:dyDescent="0.25">
      <c r="A1173" t="s">
        <v>366</v>
      </c>
      <c r="B1173" s="3">
        <v>82001</v>
      </c>
      <c r="C1173" s="2">
        <v>375</v>
      </c>
      <c r="D1173" s="1">
        <v>43577</v>
      </c>
      <c r="E1173" t="str">
        <f>"201904158639"</f>
        <v>201904158639</v>
      </c>
      <c r="F1173" t="str">
        <f>"56634  56096"</f>
        <v>56634  56096</v>
      </c>
      <c r="G1173" s="2">
        <v>375</v>
      </c>
      <c r="H1173" t="str">
        <f>"56634  56096"</f>
        <v>56634  56096</v>
      </c>
    </row>
    <row r="1174" spans="1:8" x14ac:dyDescent="0.25">
      <c r="A1174" t="s">
        <v>367</v>
      </c>
      <c r="B1174" s="3">
        <v>81782</v>
      </c>
      <c r="C1174" s="2">
        <v>185</v>
      </c>
      <c r="D1174" s="1">
        <v>43563</v>
      </c>
      <c r="E1174" t="str">
        <f>"022364"</f>
        <v>022364</v>
      </c>
      <c r="F1174" t="str">
        <f>"EXP HORSE PICK UP/19-S-01452"</f>
        <v>EXP HORSE PICK UP/19-S-01452</v>
      </c>
      <c r="G1174" s="2">
        <v>185</v>
      </c>
      <c r="H1174" t="str">
        <f>"EXP HORSE PICK UP/19-S-01452"</f>
        <v>EXP HORSE PICK UP/19-S-01452</v>
      </c>
    </row>
    <row r="1175" spans="1:8" x14ac:dyDescent="0.25">
      <c r="A1175" t="s">
        <v>368</v>
      </c>
      <c r="B1175" s="3">
        <v>634</v>
      </c>
      <c r="C1175" s="2">
        <v>1725</v>
      </c>
      <c r="D1175" s="1">
        <v>43564</v>
      </c>
      <c r="E1175" t="str">
        <f>"201903288152"</f>
        <v>201903288152</v>
      </c>
      <c r="F1175" t="str">
        <f>"1JP8918"</f>
        <v>1JP8918</v>
      </c>
      <c r="G1175" s="2">
        <v>400</v>
      </c>
      <c r="H1175" t="str">
        <f>"1JP8918"</f>
        <v>1JP8918</v>
      </c>
    </row>
    <row r="1176" spans="1:8" x14ac:dyDescent="0.25">
      <c r="E1176" t="str">
        <f>"201904018187"</f>
        <v>201904018187</v>
      </c>
      <c r="F1176" t="str">
        <f>"20170512"</f>
        <v>20170512</v>
      </c>
      <c r="G1176" s="2">
        <v>400</v>
      </c>
      <c r="H1176" t="str">
        <f>"20170512"</f>
        <v>20170512</v>
      </c>
    </row>
    <row r="1177" spans="1:8" x14ac:dyDescent="0.25">
      <c r="E1177" t="str">
        <f>"201904028269"</f>
        <v>201904028269</v>
      </c>
      <c r="F1177" t="str">
        <f>"02-1219-2  17506423"</f>
        <v>02-1219-2  17506423</v>
      </c>
      <c r="G1177" s="2">
        <v>250</v>
      </c>
      <c r="H1177" t="str">
        <f>"02-1219-2  17506423"</f>
        <v>02-1219-2  17506423</v>
      </c>
    </row>
    <row r="1178" spans="1:8" x14ac:dyDescent="0.25">
      <c r="E1178" t="str">
        <f>"201904038394"</f>
        <v>201904038394</v>
      </c>
      <c r="F1178" t="str">
        <f>"17-18786"</f>
        <v>17-18786</v>
      </c>
      <c r="G1178" s="2">
        <v>325</v>
      </c>
      <c r="H1178" t="str">
        <f>"17-18786"</f>
        <v>17-18786</v>
      </c>
    </row>
    <row r="1179" spans="1:8" x14ac:dyDescent="0.25">
      <c r="E1179" t="str">
        <f>"201904038395"</f>
        <v>201904038395</v>
      </c>
      <c r="F1179" t="str">
        <f>"15-17030"</f>
        <v>15-17030</v>
      </c>
      <c r="G1179" s="2">
        <v>100</v>
      </c>
      <c r="H1179" t="str">
        <f>"15-17030"</f>
        <v>15-17030</v>
      </c>
    </row>
    <row r="1180" spans="1:8" x14ac:dyDescent="0.25">
      <c r="E1180" t="str">
        <f>"201904038396"</f>
        <v>201904038396</v>
      </c>
      <c r="F1180" t="str">
        <f>"19-19537"</f>
        <v>19-19537</v>
      </c>
      <c r="G1180" s="2">
        <v>250</v>
      </c>
      <c r="H1180" t="str">
        <f>"19-19537"</f>
        <v>19-19537</v>
      </c>
    </row>
    <row r="1181" spans="1:8" x14ac:dyDescent="0.25">
      <c r="A1181" t="s">
        <v>368</v>
      </c>
      <c r="B1181" s="3">
        <v>693</v>
      </c>
      <c r="C1181" s="2">
        <v>675</v>
      </c>
      <c r="D1181" s="1">
        <v>43578</v>
      </c>
      <c r="E1181" t="str">
        <f>"201904108564"</f>
        <v>201904108564</v>
      </c>
      <c r="F1181" t="str">
        <f>"18-19013"</f>
        <v>18-19013</v>
      </c>
      <c r="G1181" s="2">
        <v>325</v>
      </c>
      <c r="H1181" t="str">
        <f>"18-19013"</f>
        <v>18-19013</v>
      </c>
    </row>
    <row r="1182" spans="1:8" x14ac:dyDescent="0.25">
      <c r="E1182" t="str">
        <f>"201904118592"</f>
        <v>201904118592</v>
      </c>
      <c r="F1182" t="str">
        <f>"DCPC19-015"</f>
        <v>DCPC19-015</v>
      </c>
      <c r="G1182" s="2">
        <v>100</v>
      </c>
      <c r="H1182" t="str">
        <f>"DCPC19-015"</f>
        <v>DCPC19-015</v>
      </c>
    </row>
    <row r="1183" spans="1:8" x14ac:dyDescent="0.25">
      <c r="E1183" t="str">
        <f>"201904158640"</f>
        <v>201904158640</v>
      </c>
      <c r="F1183" t="str">
        <f>"56 789"</f>
        <v>56 789</v>
      </c>
      <c r="G1183" s="2">
        <v>250</v>
      </c>
      <c r="H1183" t="str">
        <f>"56 789"</f>
        <v>56 789</v>
      </c>
    </row>
    <row r="1184" spans="1:8" x14ac:dyDescent="0.25">
      <c r="A1184" t="s">
        <v>369</v>
      </c>
      <c r="B1184" s="3">
        <v>82002</v>
      </c>
      <c r="C1184" s="2">
        <v>17301.599999999999</v>
      </c>
      <c r="D1184" s="1">
        <v>43577</v>
      </c>
      <c r="E1184" t="str">
        <f>"201904128605"</f>
        <v>201904128605</v>
      </c>
      <c r="F1184" t="str">
        <f>"THE TRAVELERS INDEMNITY COMPAN"</f>
        <v>THE TRAVELERS INDEMNITY COMPAN</v>
      </c>
      <c r="G1184" s="2">
        <v>17301.599999999999</v>
      </c>
      <c r="H1184" t="str">
        <f>"CER2425"</f>
        <v>CER2425</v>
      </c>
    </row>
    <row r="1185" spans="1:8" x14ac:dyDescent="0.25">
      <c r="E1185" t="str">
        <f>""</f>
        <v/>
      </c>
      <c r="F1185" t="str">
        <f>""</f>
        <v/>
      </c>
      <c r="H1185" t="str">
        <f>"E7C3539"</f>
        <v>E7C3539</v>
      </c>
    </row>
    <row r="1186" spans="1:8" x14ac:dyDescent="0.25">
      <c r="E1186" t="str">
        <f>""</f>
        <v/>
      </c>
      <c r="F1186" t="str">
        <f>""</f>
        <v/>
      </c>
      <c r="H1186" t="str">
        <f>"E7C9208"</f>
        <v>E7C9208</v>
      </c>
    </row>
    <row r="1187" spans="1:8" x14ac:dyDescent="0.25">
      <c r="E1187" t="str">
        <f>""</f>
        <v/>
      </c>
      <c r="F1187" t="str">
        <f>""</f>
        <v/>
      </c>
      <c r="H1187" t="str">
        <f>"CER2425 PAST DUE"</f>
        <v>CER2425 PAST DUE</v>
      </c>
    </row>
    <row r="1188" spans="1:8" x14ac:dyDescent="0.25">
      <c r="E1188" t="str">
        <f>""</f>
        <v/>
      </c>
      <c r="F1188" t="str">
        <f>""</f>
        <v/>
      </c>
      <c r="H1188" t="str">
        <f>"E79208 PAST DUE"</f>
        <v>E79208 PAST DUE</v>
      </c>
    </row>
    <row r="1189" spans="1:8" x14ac:dyDescent="0.25">
      <c r="A1189" t="s">
        <v>370</v>
      </c>
      <c r="B1189" s="3">
        <v>81783</v>
      </c>
      <c r="C1189" s="2">
        <v>349.56</v>
      </c>
      <c r="D1189" s="1">
        <v>43563</v>
      </c>
      <c r="E1189" t="str">
        <f>"201903288134"</f>
        <v>201903288134</v>
      </c>
      <c r="F1189" t="str">
        <f>"REIMBURSE MEALS/MILEAGE"</f>
        <v>REIMBURSE MEALS/MILEAGE</v>
      </c>
      <c r="G1189" s="2">
        <v>349.56</v>
      </c>
      <c r="H1189" t="str">
        <f>"REIMBURSE MEALS/MILEAGE"</f>
        <v>REIMBURSE MEALS/MILEAGE</v>
      </c>
    </row>
    <row r="1190" spans="1:8" x14ac:dyDescent="0.25">
      <c r="A1190" t="s">
        <v>371</v>
      </c>
      <c r="B1190" s="3">
        <v>81784</v>
      </c>
      <c r="C1190" s="2">
        <v>892.5</v>
      </c>
      <c r="D1190" s="1">
        <v>43563</v>
      </c>
      <c r="E1190" t="str">
        <f>"839869429"</f>
        <v>839869429</v>
      </c>
      <c r="F1190" t="str">
        <f>"ACCT#1005022937/WEST INFO CHRG"</f>
        <v>ACCT#1005022937/WEST INFO CHRG</v>
      </c>
      <c r="G1190" s="2">
        <v>892.5</v>
      </c>
      <c r="H1190" t="str">
        <f>"ACCT#1005022937/WEST INFO CHRG"</f>
        <v>ACCT#1005022937/WEST INFO CHRG</v>
      </c>
    </row>
    <row r="1191" spans="1:8" x14ac:dyDescent="0.25">
      <c r="A1191" t="s">
        <v>371</v>
      </c>
      <c r="B1191" s="3">
        <v>82003</v>
      </c>
      <c r="C1191" s="2">
        <v>1440.5</v>
      </c>
      <c r="D1191" s="1">
        <v>43577</v>
      </c>
      <c r="E1191" t="str">
        <f>"840015791"</f>
        <v>840015791</v>
      </c>
      <c r="F1191" t="str">
        <f>"ACCT#1000648597/WEST INFO CHRG"</f>
        <v>ACCT#1000648597/WEST INFO CHRG</v>
      </c>
      <c r="G1191" s="2">
        <v>548</v>
      </c>
      <c r="H1191" t="str">
        <f>"ACCT#1000648597/WEST INFO CHRG"</f>
        <v>ACCT#1000648597/WEST INFO CHRG</v>
      </c>
    </row>
    <row r="1192" spans="1:8" x14ac:dyDescent="0.25">
      <c r="E1192" t="str">
        <f>"840030287"</f>
        <v>840030287</v>
      </c>
      <c r="F1192" t="str">
        <f>"ACCT#1005022937/WEST INFO CHRG"</f>
        <v>ACCT#1005022937/WEST INFO CHRG</v>
      </c>
      <c r="G1192" s="2">
        <v>892.5</v>
      </c>
      <c r="H1192" t="str">
        <f>"ACCT#1005022937/WEST INFO CHRG"</f>
        <v>ACCT#1005022937/WEST INFO CHRG</v>
      </c>
    </row>
    <row r="1193" spans="1:8" x14ac:dyDescent="0.25">
      <c r="A1193" t="s">
        <v>372</v>
      </c>
      <c r="B1193" s="3">
        <v>82004</v>
      </c>
      <c r="C1193" s="2">
        <v>1544.75</v>
      </c>
      <c r="D1193" s="1">
        <v>43577</v>
      </c>
      <c r="E1193" t="str">
        <f>"201904118583"</f>
        <v>201904118583</v>
      </c>
      <c r="F1193" t="str">
        <f>"423-2327"</f>
        <v>423-2327</v>
      </c>
      <c r="G1193" s="2">
        <v>1544.75</v>
      </c>
      <c r="H1193" t="str">
        <f>"423-2327"</f>
        <v>423-2327</v>
      </c>
    </row>
    <row r="1194" spans="1:8" x14ac:dyDescent="0.25">
      <c r="A1194" t="s">
        <v>373</v>
      </c>
      <c r="B1194" s="3">
        <v>81785</v>
      </c>
      <c r="C1194" s="2">
        <v>11472.94</v>
      </c>
      <c r="D1194" s="1">
        <v>43563</v>
      </c>
      <c r="E1194" t="str">
        <f>"0003669032819"</f>
        <v>0003669032819</v>
      </c>
      <c r="F1194" t="str">
        <f>"ACCT#8260163000003669"</f>
        <v>ACCT#8260163000003669</v>
      </c>
      <c r="G1194" s="2">
        <v>11472.94</v>
      </c>
      <c r="H1194" t="str">
        <f>"ACCT#8260163000003669"</f>
        <v>ACCT#8260163000003669</v>
      </c>
    </row>
    <row r="1195" spans="1:8" x14ac:dyDescent="0.25">
      <c r="E1195" t="str">
        <f>""</f>
        <v/>
      </c>
      <c r="F1195" t="str">
        <f>""</f>
        <v/>
      </c>
      <c r="H1195" t="str">
        <f>"ACCT#8260163000003669"</f>
        <v>ACCT#8260163000003669</v>
      </c>
    </row>
    <row r="1196" spans="1:8" x14ac:dyDescent="0.25">
      <c r="E1196" t="str">
        <f>""</f>
        <v/>
      </c>
      <c r="F1196" t="str">
        <f>""</f>
        <v/>
      </c>
      <c r="H1196" t="str">
        <f>"ACCT#8260163000003669"</f>
        <v>ACCT#8260163000003669</v>
      </c>
    </row>
    <row r="1197" spans="1:8" x14ac:dyDescent="0.25">
      <c r="A1197" t="s">
        <v>374</v>
      </c>
      <c r="B1197" s="3">
        <v>82005</v>
      </c>
      <c r="C1197" s="2">
        <v>290</v>
      </c>
      <c r="D1197" s="1">
        <v>43577</v>
      </c>
      <c r="E1197" t="str">
        <f>"201904158718"</f>
        <v>201904158718</v>
      </c>
      <c r="F1197" t="str">
        <f>"FERAL HOGS"</f>
        <v>FERAL HOGS</v>
      </c>
      <c r="G1197" s="2">
        <v>290</v>
      </c>
      <c r="H1197" t="str">
        <f>"FERAL HOGS"</f>
        <v>FERAL HOGS</v>
      </c>
    </row>
    <row r="1198" spans="1:8" x14ac:dyDescent="0.25">
      <c r="A1198" t="s">
        <v>375</v>
      </c>
      <c r="B1198" s="3">
        <v>81786</v>
      </c>
      <c r="C1198" s="2">
        <v>5546</v>
      </c>
      <c r="D1198" s="1">
        <v>43563</v>
      </c>
      <c r="E1198" t="str">
        <f>"201904028339"</f>
        <v>201904028339</v>
      </c>
      <c r="F1198" t="str">
        <f>"TELVA D KESLER"</f>
        <v>TELVA D KESLER</v>
      </c>
      <c r="G1198" s="2">
        <v>5546</v>
      </c>
      <c r="H1198" t="str">
        <f>"Hepa Vacuum"</f>
        <v>Hepa Vacuum</v>
      </c>
    </row>
    <row r="1199" spans="1:8" x14ac:dyDescent="0.25">
      <c r="E1199" t="str">
        <f>""</f>
        <v/>
      </c>
      <c r="F1199" t="str">
        <f>""</f>
        <v/>
      </c>
      <c r="H1199" t="str">
        <f>"Vacuum Bags"</f>
        <v>Vacuum Bags</v>
      </c>
    </row>
    <row r="1200" spans="1:8" x14ac:dyDescent="0.25">
      <c r="A1200" t="s">
        <v>376</v>
      </c>
      <c r="B1200" s="3">
        <v>81787</v>
      </c>
      <c r="C1200" s="2">
        <v>275</v>
      </c>
      <c r="D1200" s="1">
        <v>43563</v>
      </c>
      <c r="E1200" t="str">
        <f>"201904038363"</f>
        <v>201904038363</v>
      </c>
      <c r="F1200" t="str">
        <f>"TRAINING"</f>
        <v>TRAINING</v>
      </c>
      <c r="G1200" s="2">
        <v>275</v>
      </c>
    </row>
    <row r="1201" spans="1:8" x14ac:dyDescent="0.25">
      <c r="A1201" t="s">
        <v>377</v>
      </c>
      <c r="B1201" s="3">
        <v>82006</v>
      </c>
      <c r="C1201" s="2">
        <v>500</v>
      </c>
      <c r="D1201" s="1">
        <v>43577</v>
      </c>
      <c r="E1201" t="str">
        <f>"2040819"</f>
        <v>2040819</v>
      </c>
      <c r="F1201" t="str">
        <f>"PRESENTATION TRAVEL &amp; TOURISM"</f>
        <v>PRESENTATION TRAVEL &amp; TOURISM</v>
      </c>
      <c r="G1201" s="2">
        <v>500</v>
      </c>
      <c r="H1201" t="str">
        <f>"PRESENTATION TRAVEL &amp; TOURISM"</f>
        <v>PRESENTATION TRAVEL &amp; TOURISM</v>
      </c>
    </row>
    <row r="1202" spans="1:8" x14ac:dyDescent="0.25">
      <c r="A1202" t="s">
        <v>378</v>
      </c>
      <c r="B1202" s="3">
        <v>81788</v>
      </c>
      <c r="C1202" s="2">
        <v>1863.82</v>
      </c>
      <c r="D1202" s="1">
        <v>43563</v>
      </c>
      <c r="E1202" t="str">
        <f>"201904028331"</f>
        <v>201904028331</v>
      </c>
      <c r="F1202" t="str">
        <f>"acct# 6035301200160982"</f>
        <v>acct# 6035301200160982</v>
      </c>
      <c r="G1202" s="2">
        <v>1863.82</v>
      </c>
      <c r="H1202" t="str">
        <f>"Inv# 300528120"</f>
        <v>Inv# 300528120</v>
      </c>
    </row>
    <row r="1203" spans="1:8" x14ac:dyDescent="0.25">
      <c r="E1203" t="str">
        <f>""</f>
        <v/>
      </c>
      <c r="F1203" t="str">
        <f>""</f>
        <v/>
      </c>
      <c r="H1203" t="str">
        <f>"Inv# 200552293"</f>
        <v>Inv# 200552293</v>
      </c>
    </row>
    <row r="1204" spans="1:8" x14ac:dyDescent="0.25">
      <c r="E1204" t="str">
        <f>""</f>
        <v/>
      </c>
      <c r="F1204" t="str">
        <f>""</f>
        <v/>
      </c>
      <c r="H1204" t="str">
        <f>"Inv# 300528474"</f>
        <v>Inv# 300528474</v>
      </c>
    </row>
    <row r="1205" spans="1:8" x14ac:dyDescent="0.25">
      <c r="E1205" t="str">
        <f>""</f>
        <v/>
      </c>
      <c r="F1205" t="str">
        <f>""</f>
        <v/>
      </c>
      <c r="H1205" t="str">
        <f>"Inv# 200553535"</f>
        <v>Inv# 200553535</v>
      </c>
    </row>
    <row r="1206" spans="1:8" x14ac:dyDescent="0.25">
      <c r="E1206" t="str">
        <f>""</f>
        <v/>
      </c>
      <c r="F1206" t="str">
        <f>""</f>
        <v/>
      </c>
      <c r="H1206" t="str">
        <f>"Inv# 200556370"</f>
        <v>Inv# 200556370</v>
      </c>
    </row>
    <row r="1207" spans="1:8" x14ac:dyDescent="0.25">
      <c r="E1207" t="str">
        <f>""</f>
        <v/>
      </c>
      <c r="F1207" t="str">
        <f>""</f>
        <v/>
      </c>
      <c r="H1207" t="str">
        <f>"Inv# 300528120"</f>
        <v>Inv# 300528120</v>
      </c>
    </row>
    <row r="1208" spans="1:8" x14ac:dyDescent="0.25">
      <c r="E1208" t="str">
        <f>""</f>
        <v/>
      </c>
      <c r="F1208" t="str">
        <f>""</f>
        <v/>
      </c>
      <c r="H1208" t="str">
        <f>"Inv# 200553571"</f>
        <v>Inv# 200553571</v>
      </c>
    </row>
    <row r="1209" spans="1:8" x14ac:dyDescent="0.25">
      <c r="E1209" t="str">
        <f>""</f>
        <v/>
      </c>
      <c r="F1209" t="str">
        <f>""</f>
        <v/>
      </c>
      <c r="H1209" t="str">
        <f>"Inv# 200554788"</f>
        <v>Inv# 200554788</v>
      </c>
    </row>
    <row r="1210" spans="1:8" x14ac:dyDescent="0.25">
      <c r="E1210" t="str">
        <f>""</f>
        <v/>
      </c>
      <c r="F1210" t="str">
        <f>""</f>
        <v/>
      </c>
      <c r="H1210" t="str">
        <f>"Inv# 200555047"</f>
        <v>Inv# 200555047</v>
      </c>
    </row>
    <row r="1211" spans="1:8" x14ac:dyDescent="0.25">
      <c r="E1211" t="str">
        <f>""</f>
        <v/>
      </c>
      <c r="F1211" t="str">
        <f>""</f>
        <v/>
      </c>
      <c r="H1211" t="str">
        <f>"Inv# 300527494"</f>
        <v>Inv# 300527494</v>
      </c>
    </row>
    <row r="1212" spans="1:8" x14ac:dyDescent="0.25">
      <c r="E1212" t="str">
        <f>""</f>
        <v/>
      </c>
      <c r="F1212" t="str">
        <f>""</f>
        <v/>
      </c>
      <c r="H1212" t="str">
        <f>"Inv# 300529154"</f>
        <v>Inv# 300529154</v>
      </c>
    </row>
    <row r="1213" spans="1:8" x14ac:dyDescent="0.25">
      <c r="E1213" t="str">
        <f>""</f>
        <v/>
      </c>
      <c r="F1213" t="str">
        <f>""</f>
        <v/>
      </c>
      <c r="H1213" t="str">
        <f>"Inv# 300529610"</f>
        <v>Inv# 300529610</v>
      </c>
    </row>
    <row r="1214" spans="1:8" x14ac:dyDescent="0.25">
      <c r="E1214" t="str">
        <f>""</f>
        <v/>
      </c>
      <c r="F1214" t="str">
        <f>""</f>
        <v/>
      </c>
      <c r="H1214" t="str">
        <f>"Inv# 200554765"</f>
        <v>Inv# 200554765</v>
      </c>
    </row>
    <row r="1215" spans="1:8" x14ac:dyDescent="0.25">
      <c r="E1215" t="str">
        <f>""</f>
        <v/>
      </c>
      <c r="F1215" t="str">
        <f>""</f>
        <v/>
      </c>
      <c r="H1215" t="str">
        <f>"Inv# 300524393"</f>
        <v>Inv# 300524393</v>
      </c>
    </row>
    <row r="1216" spans="1:8" x14ac:dyDescent="0.25">
      <c r="E1216" t="str">
        <f>""</f>
        <v/>
      </c>
      <c r="F1216" t="str">
        <f>""</f>
        <v/>
      </c>
      <c r="H1216" t="str">
        <f>"Inv# 300526187"</f>
        <v>Inv# 300526187</v>
      </c>
    </row>
    <row r="1217" spans="1:8" x14ac:dyDescent="0.25">
      <c r="E1217" t="str">
        <f>""</f>
        <v/>
      </c>
      <c r="F1217" t="str">
        <f>""</f>
        <v/>
      </c>
      <c r="H1217" t="str">
        <f>"Inv# 100092103"</f>
        <v>Inv# 100092103</v>
      </c>
    </row>
    <row r="1218" spans="1:8" x14ac:dyDescent="0.25">
      <c r="A1218" t="s">
        <v>379</v>
      </c>
      <c r="B1218" s="3">
        <v>81789</v>
      </c>
      <c r="C1218" s="2">
        <v>75</v>
      </c>
      <c r="D1218" s="1">
        <v>43563</v>
      </c>
      <c r="E1218" t="str">
        <f>"12982"</f>
        <v>12982</v>
      </c>
      <c r="F1218" t="str">
        <f>"SERVICE  02/13/19"</f>
        <v>SERVICE  02/13/19</v>
      </c>
      <c r="G1218" s="2">
        <v>75</v>
      </c>
      <c r="H1218" t="str">
        <f>"SERVICE  02/13/19"</f>
        <v>SERVICE  02/13/19</v>
      </c>
    </row>
    <row r="1219" spans="1:8" x14ac:dyDescent="0.25">
      <c r="A1219" t="s">
        <v>380</v>
      </c>
      <c r="B1219" s="3">
        <v>81790</v>
      </c>
      <c r="C1219" s="2">
        <v>2900</v>
      </c>
      <c r="D1219" s="1">
        <v>43563</v>
      </c>
      <c r="E1219" t="str">
        <f>"3300002212"</f>
        <v>3300002212</v>
      </c>
      <c r="F1219" t="str">
        <f>"CUST#100010/INV#3300002212"</f>
        <v>CUST#100010/INV#3300002212</v>
      </c>
      <c r="G1219" s="2">
        <v>2900</v>
      </c>
      <c r="H1219" t="str">
        <f>"CUST#100010/INV#3300002212"</f>
        <v>CUST#100010/INV#3300002212</v>
      </c>
    </row>
    <row r="1220" spans="1:8" x14ac:dyDescent="0.25">
      <c r="A1220" t="s">
        <v>380</v>
      </c>
      <c r="B1220" s="3">
        <v>82007</v>
      </c>
      <c r="C1220" s="2">
        <v>5800</v>
      </c>
      <c r="D1220" s="1">
        <v>43577</v>
      </c>
      <c r="E1220" t="str">
        <f>"3300002178"</f>
        <v>3300002178</v>
      </c>
      <c r="F1220" t="str">
        <f>"CUST#100733/INV#3300002178"</f>
        <v>CUST#100733/INV#3300002178</v>
      </c>
      <c r="G1220" s="2">
        <v>2900</v>
      </c>
      <c r="H1220" t="str">
        <f>"CUST#100733/INV#3300002178"</f>
        <v>CUST#100733/INV#3300002178</v>
      </c>
    </row>
    <row r="1221" spans="1:8" x14ac:dyDescent="0.25">
      <c r="E1221" t="str">
        <f>"3300002209"</f>
        <v>3300002209</v>
      </c>
      <c r="F1221" t="str">
        <f>"CUST#100011/INV#3300002209"</f>
        <v>CUST#100011/INV#3300002209</v>
      </c>
      <c r="G1221" s="2">
        <v>2900</v>
      </c>
      <c r="H1221" t="str">
        <f>"CUST#100011/INV#3300002209"</f>
        <v>CUST#100011/INV#3300002209</v>
      </c>
    </row>
    <row r="1222" spans="1:8" x14ac:dyDescent="0.25">
      <c r="A1222" t="s">
        <v>381</v>
      </c>
      <c r="B1222" s="3">
        <v>636</v>
      </c>
      <c r="C1222" s="2">
        <v>1269.3399999999999</v>
      </c>
      <c r="D1222" s="1">
        <v>43564</v>
      </c>
      <c r="E1222" t="str">
        <f>"201904038372"</f>
        <v>201904038372</v>
      </c>
      <c r="F1222" t="str">
        <f>"INV 754824 / UNIT 0116"</f>
        <v>INV 754824 / UNIT 0116</v>
      </c>
      <c r="G1222" s="2">
        <v>276.48</v>
      </c>
      <c r="H1222" t="str">
        <f>"INV 754824 / UNIT 0116"</f>
        <v>INV 754824 / UNIT 0116</v>
      </c>
    </row>
    <row r="1223" spans="1:8" x14ac:dyDescent="0.25">
      <c r="E1223" t="str">
        <f>"753997"</f>
        <v>753997</v>
      </c>
      <c r="F1223" t="str">
        <f>"INV 753997 / TRAILERS"</f>
        <v>INV 753997 / TRAILERS</v>
      </c>
      <c r="G1223" s="2">
        <v>182.66</v>
      </c>
      <c r="H1223" t="str">
        <f>"INV 753997 / TRAILERS"</f>
        <v>INV 753997 / TRAILERS</v>
      </c>
    </row>
    <row r="1224" spans="1:8" x14ac:dyDescent="0.25">
      <c r="E1224" t="str">
        <f>"753998"</f>
        <v>753998</v>
      </c>
      <c r="F1224" t="str">
        <f>"INV 753998 / UNIT"</f>
        <v>INV 753998 / UNIT</v>
      </c>
      <c r="G1224" s="2">
        <v>138.24</v>
      </c>
      <c r="H1224" t="str">
        <f>"INV 753998 / UNIT"</f>
        <v>INV 753998 / UNIT</v>
      </c>
    </row>
    <row r="1225" spans="1:8" x14ac:dyDescent="0.25">
      <c r="E1225" t="str">
        <f>"754600"</f>
        <v>754600</v>
      </c>
      <c r="F1225" t="str">
        <f>"INV 754600 / UNIT 4719"</f>
        <v>INV 754600 / UNIT 4719</v>
      </c>
      <c r="G1225" s="2">
        <v>552.96</v>
      </c>
      <c r="H1225" t="str">
        <f>"INV 754600 / UNIT 4719"</f>
        <v>INV 754600 / UNIT 4719</v>
      </c>
    </row>
    <row r="1226" spans="1:8" x14ac:dyDescent="0.25">
      <c r="E1226" t="str">
        <f>"754823"</f>
        <v>754823</v>
      </c>
      <c r="F1226" t="str">
        <f>"INV 754823 / UNIT"</f>
        <v>INV 754823 / UNIT</v>
      </c>
      <c r="G1226" s="2">
        <v>119</v>
      </c>
      <c r="H1226" t="str">
        <f>"INV 754823 / UNIT"</f>
        <v>INV 754823 / UNIT</v>
      </c>
    </row>
    <row r="1227" spans="1:8" x14ac:dyDescent="0.25">
      <c r="A1227" t="s">
        <v>382</v>
      </c>
      <c r="B1227" s="3">
        <v>82008</v>
      </c>
      <c r="C1227" s="2">
        <v>36.19</v>
      </c>
      <c r="D1227" s="1">
        <v>43577</v>
      </c>
      <c r="E1227" t="str">
        <f>"201904158677"</f>
        <v>201904158677</v>
      </c>
      <c r="F1227" t="str">
        <f>"INDIGENT HEALTH"</f>
        <v>INDIGENT HEALTH</v>
      </c>
      <c r="G1227" s="2">
        <v>36.19</v>
      </c>
      <c r="H1227" t="str">
        <f>"INDIGENT HEALTH"</f>
        <v>INDIGENT HEALTH</v>
      </c>
    </row>
    <row r="1228" spans="1:8" x14ac:dyDescent="0.25">
      <c r="E1228" t="str">
        <f>""</f>
        <v/>
      </c>
      <c r="F1228" t="str">
        <f>""</f>
        <v/>
      </c>
      <c r="H1228" t="str">
        <f>"INDIGENT HEALTH"</f>
        <v>INDIGENT HEALTH</v>
      </c>
    </row>
    <row r="1229" spans="1:8" x14ac:dyDescent="0.25">
      <c r="A1229" t="s">
        <v>383</v>
      </c>
      <c r="B1229" s="3">
        <v>680</v>
      </c>
      <c r="C1229" s="2">
        <v>4450</v>
      </c>
      <c r="D1229" s="1">
        <v>43564</v>
      </c>
      <c r="E1229" t="str">
        <f>"201904018189"</f>
        <v>201904018189</v>
      </c>
      <c r="F1229" t="str">
        <f>"CC20180811A"</f>
        <v>CC20180811A</v>
      </c>
      <c r="G1229" s="2">
        <v>400</v>
      </c>
      <c r="H1229" t="str">
        <f>"CC20180811A"</f>
        <v>CC20180811A</v>
      </c>
    </row>
    <row r="1230" spans="1:8" x14ac:dyDescent="0.25">
      <c r="E1230" t="str">
        <f>"201904018190"</f>
        <v>201904018190</v>
      </c>
      <c r="F1230" t="str">
        <f>"AC20180419A"</f>
        <v>AC20180419A</v>
      </c>
      <c r="G1230" s="2">
        <v>400</v>
      </c>
      <c r="H1230" t="str">
        <f>"AC20180419A"</f>
        <v>AC20180419A</v>
      </c>
    </row>
    <row r="1231" spans="1:8" x14ac:dyDescent="0.25">
      <c r="E1231" t="str">
        <f>"201904018191"</f>
        <v>201904018191</v>
      </c>
      <c r="F1231" t="str">
        <f>"C1800082"</f>
        <v>C1800082</v>
      </c>
      <c r="G1231" s="2">
        <v>400</v>
      </c>
      <c r="H1231" t="str">
        <f>"C1800082"</f>
        <v>C1800082</v>
      </c>
    </row>
    <row r="1232" spans="1:8" x14ac:dyDescent="0.25">
      <c r="E1232" t="str">
        <f>"201904018215"</f>
        <v>201904018215</v>
      </c>
      <c r="F1232" t="str">
        <f>"55 927"</f>
        <v>55 927</v>
      </c>
      <c r="G1232" s="2">
        <v>250</v>
      </c>
      <c r="H1232" t="str">
        <f>"55 927"</f>
        <v>55 927</v>
      </c>
    </row>
    <row r="1233" spans="1:8" x14ac:dyDescent="0.25">
      <c r="E1233" t="str">
        <f>"201904038408"</f>
        <v>201904038408</v>
      </c>
      <c r="F1233" t="str">
        <f>"20160653"</f>
        <v>20160653</v>
      </c>
      <c r="G1233" s="2">
        <v>250</v>
      </c>
      <c r="H1233" t="str">
        <f>"20160653"</f>
        <v>20160653</v>
      </c>
    </row>
    <row r="1234" spans="1:8" x14ac:dyDescent="0.25">
      <c r="E1234" t="str">
        <f>"201904038409"</f>
        <v>201904038409</v>
      </c>
      <c r="F1234" t="str">
        <f>"403178.1"</f>
        <v>403178.1</v>
      </c>
      <c r="G1234" s="2">
        <v>250</v>
      </c>
      <c r="H1234" t="str">
        <f>"403178.1"</f>
        <v>403178.1</v>
      </c>
    </row>
    <row r="1235" spans="1:8" x14ac:dyDescent="0.25">
      <c r="E1235" t="str">
        <f>"201904038410"</f>
        <v>201904038410</v>
      </c>
      <c r="F1235" t="str">
        <f>"AC20171207-B"</f>
        <v>AC20171207-B</v>
      </c>
      <c r="G1235" s="2">
        <v>250</v>
      </c>
      <c r="H1235" t="str">
        <f>"AC20171207-B"</f>
        <v>AC20171207-B</v>
      </c>
    </row>
    <row r="1236" spans="1:8" x14ac:dyDescent="0.25">
      <c r="E1236" t="str">
        <f>"201904038411"</f>
        <v>201904038411</v>
      </c>
      <c r="F1236" t="str">
        <f>"408087.1  TRN925346496819001"</f>
        <v>408087.1  TRN925346496819001</v>
      </c>
      <c r="G1236" s="2">
        <v>250</v>
      </c>
      <c r="H1236" t="str">
        <f>"408087.1  TRN925346496819001"</f>
        <v>408087.1  TRN925346496819001</v>
      </c>
    </row>
    <row r="1237" spans="1:8" x14ac:dyDescent="0.25">
      <c r="E1237" t="str">
        <f>"201904038412"</f>
        <v>201904038412</v>
      </c>
      <c r="F1237" t="str">
        <f>"1JP1191814  925-351-0765 19001"</f>
        <v>1JP1191814  925-351-0765 19001</v>
      </c>
      <c r="G1237" s="2">
        <v>250</v>
      </c>
      <c r="H1237" t="str">
        <f>"1JP1191814  925-351-0765 19001"</f>
        <v>1JP1191814  925-351-0765 19001</v>
      </c>
    </row>
    <row r="1238" spans="1:8" x14ac:dyDescent="0.25">
      <c r="E1238" t="str">
        <f>"201904038413"</f>
        <v>201904038413</v>
      </c>
      <c r="F1238" t="str">
        <f>"404296.5"</f>
        <v>404296.5</v>
      </c>
      <c r="G1238" s="2">
        <v>250</v>
      </c>
      <c r="H1238" t="str">
        <f>"404296.5"</f>
        <v>404296.5</v>
      </c>
    </row>
    <row r="1239" spans="1:8" x14ac:dyDescent="0.25">
      <c r="E1239" t="str">
        <f>"201904038414"</f>
        <v>201904038414</v>
      </c>
      <c r="F1239" t="str">
        <f>"JPM-120817-A"</f>
        <v>JPM-120817-A</v>
      </c>
      <c r="G1239" s="2">
        <v>250</v>
      </c>
      <c r="H1239" t="str">
        <f>"JPM-120817-A"</f>
        <v>JPM-120817-A</v>
      </c>
    </row>
    <row r="1240" spans="1:8" x14ac:dyDescent="0.25">
      <c r="E1240" t="str">
        <f>"201904038415"</f>
        <v>201904038415</v>
      </c>
      <c r="F1240" t="str">
        <f>"1JP91517A"</f>
        <v>1JP91517A</v>
      </c>
      <c r="G1240" s="2">
        <v>250</v>
      </c>
      <c r="H1240" t="str">
        <f>"1JP91517A"</f>
        <v>1JP91517A</v>
      </c>
    </row>
    <row r="1241" spans="1:8" x14ac:dyDescent="0.25">
      <c r="E1241" t="str">
        <f>"201904038416"</f>
        <v>201904038416</v>
      </c>
      <c r="F1241" t="str">
        <f>"AC20180130"</f>
        <v>AC20180130</v>
      </c>
      <c r="G1241" s="2">
        <v>250</v>
      </c>
      <c r="H1241" t="str">
        <f>"AC20180130"</f>
        <v>AC20180130</v>
      </c>
    </row>
    <row r="1242" spans="1:8" x14ac:dyDescent="0.25">
      <c r="E1242" t="str">
        <f>"201904038417"</f>
        <v>201904038417</v>
      </c>
      <c r="F1242" t="str">
        <f>"BC 2012.1207  TRN 925 351 2911"</f>
        <v>BC 2012.1207  TRN 925 351 2911</v>
      </c>
      <c r="G1242" s="2">
        <v>250</v>
      </c>
      <c r="H1242" t="str">
        <f>"BC 2012.1207  TRN 925 351 2911"</f>
        <v>BC 2012.1207  TRN 925 351 2911</v>
      </c>
    </row>
    <row r="1243" spans="1:8" x14ac:dyDescent="0.25">
      <c r="E1243" t="str">
        <f>"201904038418"</f>
        <v>201904038418</v>
      </c>
      <c r="F1243" t="str">
        <f>"1JP11918B"</f>
        <v>1JP11918B</v>
      </c>
      <c r="G1243" s="2">
        <v>250</v>
      </c>
      <c r="H1243" t="str">
        <f>"1JP11918B"</f>
        <v>1JP11918B</v>
      </c>
    </row>
    <row r="1244" spans="1:8" x14ac:dyDescent="0.25">
      <c r="E1244" t="str">
        <f>"201904038419"</f>
        <v>201904038419</v>
      </c>
      <c r="F1244" t="str">
        <f>"304052018D"</f>
        <v>304052018D</v>
      </c>
      <c r="G1244" s="2">
        <v>250</v>
      </c>
      <c r="H1244" t="str">
        <f>"304052018D"</f>
        <v>304052018D</v>
      </c>
    </row>
    <row r="1245" spans="1:8" x14ac:dyDescent="0.25">
      <c r="A1245" t="s">
        <v>383</v>
      </c>
      <c r="B1245" s="3">
        <v>735</v>
      </c>
      <c r="C1245" s="2">
        <v>4425</v>
      </c>
      <c r="D1245" s="1">
        <v>43578</v>
      </c>
      <c r="E1245" t="str">
        <f>"201904108550"</f>
        <v>201904108550</v>
      </c>
      <c r="F1245" t="str">
        <f>"AC20170913WA"</f>
        <v>AC20170913WA</v>
      </c>
      <c r="G1245" s="2">
        <v>400</v>
      </c>
      <c r="H1245" t="str">
        <f>"AC20170913WA"</f>
        <v>AC20170913WA</v>
      </c>
    </row>
    <row r="1246" spans="1:8" x14ac:dyDescent="0.25">
      <c r="E1246" t="str">
        <f>"201904108553"</f>
        <v>201904108553</v>
      </c>
      <c r="F1246" t="str">
        <f>"WA-00753A  19-00753B-G"</f>
        <v>WA-00753A  19-00753B-G</v>
      </c>
      <c r="G1246" s="2">
        <v>2000</v>
      </c>
      <c r="H1246" t="str">
        <f>"WA-00753A  19-00753B-G"</f>
        <v>WA-00753A  19-00753B-G</v>
      </c>
    </row>
    <row r="1247" spans="1:8" x14ac:dyDescent="0.25">
      <c r="E1247" t="str">
        <f>"201904108554"</f>
        <v>201904108554</v>
      </c>
      <c r="F1247" t="str">
        <f>"16 619"</f>
        <v>16 619</v>
      </c>
      <c r="G1247" s="2">
        <v>400</v>
      </c>
      <c r="H1247" t="str">
        <f>"16 619"</f>
        <v>16 619</v>
      </c>
    </row>
    <row r="1248" spans="1:8" x14ac:dyDescent="0.25">
      <c r="E1248" t="str">
        <f>"201904108557"</f>
        <v>201904108557</v>
      </c>
      <c r="F1248" t="str">
        <f>"404298-10  404298-11"</f>
        <v>404298-10  404298-11</v>
      </c>
      <c r="G1248" s="2">
        <v>375</v>
      </c>
      <c r="H1248" t="str">
        <f>"404298-10  404298-11"</f>
        <v>404298-10  404298-11</v>
      </c>
    </row>
    <row r="1249" spans="1:8" x14ac:dyDescent="0.25">
      <c r="E1249" t="str">
        <f>"201904108558"</f>
        <v>201904108558</v>
      </c>
      <c r="F1249" t="str">
        <f>"CH20170726A"</f>
        <v>CH20170726A</v>
      </c>
      <c r="G1249" s="2">
        <v>250</v>
      </c>
      <c r="H1249" t="str">
        <f>"CH20170726A"</f>
        <v>CH20170726A</v>
      </c>
    </row>
    <row r="1250" spans="1:8" x14ac:dyDescent="0.25">
      <c r="E1250" t="str">
        <f>"201904108559"</f>
        <v>201904108559</v>
      </c>
      <c r="F1250" t="str">
        <f>"2016 0508"</f>
        <v>2016 0508</v>
      </c>
      <c r="G1250" s="2">
        <v>250</v>
      </c>
      <c r="H1250" t="str">
        <f>"2016 0508"</f>
        <v>2016 0508</v>
      </c>
    </row>
    <row r="1251" spans="1:8" x14ac:dyDescent="0.25">
      <c r="E1251" t="str">
        <f>"201904108560"</f>
        <v>201904108560</v>
      </c>
      <c r="F1251" t="str">
        <f>"4070864M"</f>
        <v>4070864M</v>
      </c>
      <c r="G1251" s="2">
        <v>250</v>
      </c>
      <c r="H1251" t="str">
        <f>"4070864M"</f>
        <v>4070864M</v>
      </c>
    </row>
    <row r="1252" spans="1:8" x14ac:dyDescent="0.25">
      <c r="E1252" t="str">
        <f>"201904108561"</f>
        <v>201904108561</v>
      </c>
      <c r="F1252" t="str">
        <f>"CH20160104E"</f>
        <v>CH20160104E</v>
      </c>
      <c r="G1252" s="2">
        <v>250</v>
      </c>
      <c r="H1252" t="str">
        <f>"CH20160104E"</f>
        <v>CH20160104E</v>
      </c>
    </row>
    <row r="1253" spans="1:8" x14ac:dyDescent="0.25">
      <c r="E1253" t="str">
        <f>"201904108562"</f>
        <v>201904108562</v>
      </c>
      <c r="F1253" t="str">
        <f>"307172017A"</f>
        <v>307172017A</v>
      </c>
      <c r="G1253" s="2">
        <v>250</v>
      </c>
      <c r="H1253" t="str">
        <f>"307172017A"</f>
        <v>307172017A</v>
      </c>
    </row>
    <row r="1254" spans="1:8" x14ac:dyDescent="0.25">
      <c r="A1254" t="s">
        <v>384</v>
      </c>
      <c r="B1254" s="3">
        <v>81791</v>
      </c>
      <c r="C1254" s="2">
        <v>2100</v>
      </c>
      <c r="D1254" s="1">
        <v>43563</v>
      </c>
      <c r="E1254" t="str">
        <f>"WTR0052146/7/8"</f>
        <v>WTR0052146/7/8</v>
      </c>
      <c r="F1254" t="str">
        <f>"ACCT#0620010/ONSITE COUNCIL FE"</f>
        <v>ACCT#0620010/ONSITE COUNCIL FE</v>
      </c>
      <c r="G1254" s="2">
        <v>2100</v>
      </c>
      <c r="H1254" t="str">
        <f>"ACCT#0620010/ONSITE COUNCIL FE"</f>
        <v>ACCT#0620010/ONSITE COUNCIL FE</v>
      </c>
    </row>
    <row r="1255" spans="1:8" x14ac:dyDescent="0.25">
      <c r="A1255" t="s">
        <v>385</v>
      </c>
      <c r="B1255" s="3">
        <v>81792</v>
      </c>
      <c r="C1255" s="2">
        <v>1500</v>
      </c>
      <c r="D1255" s="1">
        <v>43563</v>
      </c>
      <c r="E1255" t="str">
        <f>"025-252710"</f>
        <v>025-252710</v>
      </c>
      <c r="F1255" t="str">
        <f>"CUST#42161/ORD#105824"</f>
        <v>CUST#42161/ORD#105824</v>
      </c>
      <c r="G1255" s="2">
        <v>1500</v>
      </c>
      <c r="H1255" t="str">
        <f>"CUST#42161/ORD#105824"</f>
        <v>CUST#42161/ORD#105824</v>
      </c>
    </row>
    <row r="1256" spans="1:8" x14ac:dyDescent="0.25">
      <c r="A1256" t="s">
        <v>386</v>
      </c>
      <c r="B1256" s="3">
        <v>690</v>
      </c>
      <c r="C1256" s="2">
        <v>1390.53</v>
      </c>
      <c r="D1256" s="1">
        <v>43578</v>
      </c>
      <c r="E1256" t="str">
        <f>"10372893"</f>
        <v>10372893</v>
      </c>
      <c r="F1256" t="str">
        <f>"ACCT#38049/AC FLUSH/PCT#4"</f>
        <v>ACCT#38049/AC FLUSH/PCT#4</v>
      </c>
      <c r="G1256" s="2">
        <v>-45.45</v>
      </c>
      <c r="H1256" t="str">
        <f>"ACCT#38049/AC FLUSH/PCT#4"</f>
        <v>ACCT#38049/AC FLUSH/PCT#4</v>
      </c>
    </row>
    <row r="1257" spans="1:8" x14ac:dyDescent="0.25">
      <c r="E1257" t="str">
        <f>"10367327"</f>
        <v>10367327</v>
      </c>
      <c r="F1257" t="str">
        <f>"ACCT#38049/PCT#4"</f>
        <v>ACCT#38049/PCT#4</v>
      </c>
      <c r="G1257" s="2">
        <v>37.75</v>
      </c>
      <c r="H1257" t="str">
        <f>"ACCT#38049/PCT#4"</f>
        <v>ACCT#38049/PCT#4</v>
      </c>
    </row>
    <row r="1258" spans="1:8" x14ac:dyDescent="0.25">
      <c r="E1258" t="str">
        <f>"201904108572"</f>
        <v>201904108572</v>
      </c>
      <c r="F1258" t="str">
        <f>"ACCT#38049/PCT#4"</f>
        <v>ACCT#38049/PCT#4</v>
      </c>
      <c r="G1258" s="2">
        <v>1398.23</v>
      </c>
      <c r="H1258" t="str">
        <f>"ACCT#38049/PCT#4"</f>
        <v>ACCT#38049/PCT#4</v>
      </c>
    </row>
    <row r="1259" spans="1:8" x14ac:dyDescent="0.25">
      <c r="A1259" t="s">
        <v>387</v>
      </c>
      <c r="B1259" s="3">
        <v>82009</v>
      </c>
      <c r="C1259" s="2">
        <v>2960.37</v>
      </c>
      <c r="D1259" s="1">
        <v>43577</v>
      </c>
      <c r="E1259" t="str">
        <f>"201904158678"</f>
        <v>201904158678</v>
      </c>
      <c r="F1259" t="str">
        <f>"INDIGENT HEALTH"</f>
        <v>INDIGENT HEALTH</v>
      </c>
      <c r="G1259" s="2">
        <v>2254.2800000000002</v>
      </c>
      <c r="H1259" t="str">
        <f>"INDIGENT HEALTH"</f>
        <v>INDIGENT HEALTH</v>
      </c>
    </row>
    <row r="1260" spans="1:8" x14ac:dyDescent="0.25">
      <c r="E1260" t="str">
        <f>"2683*98041*1"</f>
        <v>2683*98041*1</v>
      </c>
      <c r="F1260" t="str">
        <f>"JAIL MEDICAL"</f>
        <v>JAIL MEDICAL</v>
      </c>
      <c r="G1260" s="2">
        <v>706.09</v>
      </c>
      <c r="H1260" t="str">
        <f>"JAIL MEDICAL"</f>
        <v>JAIL MEDICAL</v>
      </c>
    </row>
    <row r="1261" spans="1:8" x14ac:dyDescent="0.25">
      <c r="A1261" t="s">
        <v>388</v>
      </c>
      <c r="B1261" s="3">
        <v>81793</v>
      </c>
      <c r="C1261" s="2">
        <v>14.7</v>
      </c>
      <c r="D1261" s="1">
        <v>43563</v>
      </c>
      <c r="E1261" t="str">
        <f>"000018VW63119"</f>
        <v>000018VW63119</v>
      </c>
      <c r="F1261" t="str">
        <f>"INV 000018VW63119"</f>
        <v>INV 000018VW63119</v>
      </c>
      <c r="G1261" s="2">
        <v>14.7</v>
      </c>
      <c r="H1261" t="str">
        <f>"INV 000018VW63119"</f>
        <v>INV 000018VW63119</v>
      </c>
    </row>
    <row r="1262" spans="1:8" x14ac:dyDescent="0.25">
      <c r="A1262" t="s">
        <v>389</v>
      </c>
      <c r="B1262" s="3">
        <v>82010</v>
      </c>
      <c r="C1262" s="2">
        <v>416.05</v>
      </c>
      <c r="D1262" s="1">
        <v>43577</v>
      </c>
      <c r="E1262" t="str">
        <f>"201904158681"</f>
        <v>201904158681</v>
      </c>
      <c r="F1262" t="str">
        <f>"INDIGENT HEALTH"</f>
        <v>INDIGENT HEALTH</v>
      </c>
      <c r="G1262" s="2">
        <v>416.05</v>
      </c>
      <c r="H1262" t="str">
        <f>"INDIGENT HEALTH"</f>
        <v>INDIGENT HEALTH</v>
      </c>
    </row>
    <row r="1263" spans="1:8" x14ac:dyDescent="0.25">
      <c r="A1263" t="s">
        <v>390</v>
      </c>
      <c r="B1263" s="3">
        <v>82011</v>
      </c>
      <c r="C1263" s="2">
        <v>20</v>
      </c>
      <c r="D1263" s="1">
        <v>43577</v>
      </c>
      <c r="E1263" t="str">
        <f>"201904158719"</f>
        <v>201904158719</v>
      </c>
      <c r="F1263" t="str">
        <f>"FERAL HOGS"</f>
        <v>FERAL HOGS</v>
      </c>
      <c r="G1263" s="2">
        <v>20</v>
      </c>
      <c r="H1263" t="str">
        <f>"FERAL HOGS"</f>
        <v>FERAL HOGS</v>
      </c>
    </row>
    <row r="1264" spans="1:8" x14ac:dyDescent="0.25">
      <c r="A1264" t="s">
        <v>391</v>
      </c>
      <c r="B1264" s="3">
        <v>82012</v>
      </c>
      <c r="C1264" s="2">
        <v>122.61</v>
      </c>
      <c r="D1264" s="1">
        <v>43577</v>
      </c>
      <c r="E1264" t="str">
        <f>"2008035"</f>
        <v>2008035</v>
      </c>
      <c r="F1264" t="str">
        <f>"REMOTE BIRTH ACCESS-MARCH 2019"</f>
        <v>REMOTE BIRTH ACCESS-MARCH 2019</v>
      </c>
      <c r="G1264" s="2">
        <v>122.61</v>
      </c>
      <c r="H1264" t="str">
        <f>"REMOTE BIRTH ACCESS-MARCH 2019"</f>
        <v>REMOTE BIRTH ACCESS-MARCH 2019</v>
      </c>
    </row>
    <row r="1265" spans="1:8" x14ac:dyDescent="0.25">
      <c r="A1265" t="s">
        <v>392</v>
      </c>
      <c r="B1265" s="3">
        <v>81794</v>
      </c>
      <c r="C1265" s="2">
        <v>41979.71</v>
      </c>
      <c r="D1265" s="1">
        <v>43563</v>
      </c>
      <c r="E1265" t="str">
        <f>"869395921913"</f>
        <v>869395921913</v>
      </c>
      <c r="F1265" t="str">
        <f>"inv# 869395921913"</f>
        <v>inv# 869395921913</v>
      </c>
      <c r="G1265" s="2">
        <v>41979.71</v>
      </c>
      <c r="H1265" t="str">
        <f>"Fuel"</f>
        <v>Fuel</v>
      </c>
    </row>
    <row r="1266" spans="1:8" x14ac:dyDescent="0.25">
      <c r="E1266" t="str">
        <f>""</f>
        <v/>
      </c>
      <c r="F1266" t="str">
        <f>""</f>
        <v/>
      </c>
      <c r="H1266" t="str">
        <f>"Tax"</f>
        <v>Tax</v>
      </c>
    </row>
    <row r="1267" spans="1:8" x14ac:dyDescent="0.25">
      <c r="E1267" t="str">
        <f>""</f>
        <v/>
      </c>
      <c r="F1267" t="str">
        <f>""</f>
        <v/>
      </c>
      <c r="H1267" t="str">
        <f>"Maintenace"</f>
        <v>Maintenace</v>
      </c>
    </row>
    <row r="1268" spans="1:8" x14ac:dyDescent="0.25">
      <c r="E1268" t="str">
        <f>""</f>
        <v/>
      </c>
      <c r="F1268" t="str">
        <f>""</f>
        <v/>
      </c>
      <c r="H1268" t="str">
        <f>"Fuel"</f>
        <v>Fuel</v>
      </c>
    </row>
    <row r="1269" spans="1:8" x14ac:dyDescent="0.25">
      <c r="E1269" t="str">
        <f>""</f>
        <v/>
      </c>
      <c r="F1269" t="str">
        <f>""</f>
        <v/>
      </c>
      <c r="H1269" t="str">
        <f>"Tax"</f>
        <v>Tax</v>
      </c>
    </row>
    <row r="1270" spans="1:8" x14ac:dyDescent="0.25">
      <c r="E1270" t="str">
        <f>""</f>
        <v/>
      </c>
      <c r="F1270" t="str">
        <f>""</f>
        <v/>
      </c>
      <c r="H1270" t="str">
        <f>"Maintenace"</f>
        <v>Maintenace</v>
      </c>
    </row>
    <row r="1271" spans="1:8" x14ac:dyDescent="0.25">
      <c r="E1271" t="str">
        <f>""</f>
        <v/>
      </c>
      <c r="F1271" t="str">
        <f>""</f>
        <v/>
      </c>
      <c r="H1271" t="str">
        <f>"Fuel"</f>
        <v>Fuel</v>
      </c>
    </row>
    <row r="1272" spans="1:8" x14ac:dyDescent="0.25">
      <c r="E1272" t="str">
        <f>""</f>
        <v/>
      </c>
      <c r="F1272" t="str">
        <f>""</f>
        <v/>
      </c>
      <c r="H1272" t="str">
        <f>"Tax"</f>
        <v>Tax</v>
      </c>
    </row>
    <row r="1273" spans="1:8" x14ac:dyDescent="0.25">
      <c r="E1273" t="str">
        <f>""</f>
        <v/>
      </c>
      <c r="F1273" t="str">
        <f>""</f>
        <v/>
      </c>
      <c r="H1273" t="str">
        <f>"Fuel"</f>
        <v>Fuel</v>
      </c>
    </row>
    <row r="1274" spans="1:8" x14ac:dyDescent="0.25">
      <c r="E1274" t="str">
        <f>""</f>
        <v/>
      </c>
      <c r="F1274" t="str">
        <f>""</f>
        <v/>
      </c>
      <c r="H1274" t="str">
        <f>"Tax"</f>
        <v>Tax</v>
      </c>
    </row>
    <row r="1275" spans="1:8" x14ac:dyDescent="0.25">
      <c r="E1275" t="str">
        <f>""</f>
        <v/>
      </c>
      <c r="F1275" t="str">
        <f>""</f>
        <v/>
      </c>
      <c r="H1275" t="str">
        <f>"Maintenace"</f>
        <v>Maintenace</v>
      </c>
    </row>
    <row r="1276" spans="1:8" x14ac:dyDescent="0.25">
      <c r="E1276" t="str">
        <f>""</f>
        <v/>
      </c>
      <c r="F1276" t="str">
        <f>""</f>
        <v/>
      </c>
      <c r="H1276" t="str">
        <f>"Fuel"</f>
        <v>Fuel</v>
      </c>
    </row>
    <row r="1277" spans="1:8" x14ac:dyDescent="0.25">
      <c r="E1277" t="str">
        <f>""</f>
        <v/>
      </c>
      <c r="F1277" t="str">
        <f>""</f>
        <v/>
      </c>
      <c r="H1277" t="str">
        <f>"Tax"</f>
        <v>Tax</v>
      </c>
    </row>
    <row r="1278" spans="1:8" x14ac:dyDescent="0.25">
      <c r="E1278" t="str">
        <f>""</f>
        <v/>
      </c>
      <c r="F1278" t="str">
        <f>""</f>
        <v/>
      </c>
      <c r="H1278" t="str">
        <f>"Maintenance"</f>
        <v>Maintenance</v>
      </c>
    </row>
    <row r="1279" spans="1:8" x14ac:dyDescent="0.25">
      <c r="E1279" t="str">
        <f>""</f>
        <v/>
      </c>
      <c r="F1279" t="str">
        <f>""</f>
        <v/>
      </c>
      <c r="H1279" t="str">
        <f>"Fuel"</f>
        <v>Fuel</v>
      </c>
    </row>
    <row r="1280" spans="1:8" x14ac:dyDescent="0.25">
      <c r="E1280" t="str">
        <f>""</f>
        <v/>
      </c>
      <c r="F1280" t="str">
        <f>""</f>
        <v/>
      </c>
      <c r="H1280" t="str">
        <f>"Tax"</f>
        <v>Tax</v>
      </c>
    </row>
    <row r="1281" spans="1:8" x14ac:dyDescent="0.25">
      <c r="E1281" t="str">
        <f>""</f>
        <v/>
      </c>
      <c r="F1281" t="str">
        <f>""</f>
        <v/>
      </c>
      <c r="H1281" t="str">
        <f>"Maintenance"</f>
        <v>Maintenance</v>
      </c>
    </row>
    <row r="1282" spans="1:8" x14ac:dyDescent="0.25">
      <c r="E1282" t="str">
        <f>""</f>
        <v/>
      </c>
      <c r="F1282" t="str">
        <f>""</f>
        <v/>
      </c>
      <c r="H1282" t="str">
        <f>"Fuel"</f>
        <v>Fuel</v>
      </c>
    </row>
    <row r="1283" spans="1:8" x14ac:dyDescent="0.25">
      <c r="E1283" t="str">
        <f>""</f>
        <v/>
      </c>
      <c r="F1283" t="str">
        <f>""</f>
        <v/>
      </c>
      <c r="H1283" t="str">
        <f>"Tax"</f>
        <v>Tax</v>
      </c>
    </row>
    <row r="1284" spans="1:8" x14ac:dyDescent="0.25">
      <c r="E1284" t="str">
        <f>""</f>
        <v/>
      </c>
      <c r="F1284" t="str">
        <f>""</f>
        <v/>
      </c>
      <c r="H1284" t="str">
        <f>"Maintenace"</f>
        <v>Maintenace</v>
      </c>
    </row>
    <row r="1285" spans="1:8" x14ac:dyDescent="0.25">
      <c r="E1285" t="str">
        <f>""</f>
        <v/>
      </c>
      <c r="F1285" t="str">
        <f>""</f>
        <v/>
      </c>
      <c r="H1285" t="str">
        <f>"Fuel"</f>
        <v>Fuel</v>
      </c>
    </row>
    <row r="1286" spans="1:8" x14ac:dyDescent="0.25">
      <c r="E1286" t="str">
        <f>""</f>
        <v/>
      </c>
      <c r="F1286" t="str">
        <f>""</f>
        <v/>
      </c>
      <c r="H1286" t="str">
        <f>"Tax"</f>
        <v>Tax</v>
      </c>
    </row>
    <row r="1287" spans="1:8" x14ac:dyDescent="0.25">
      <c r="E1287" t="str">
        <f>""</f>
        <v/>
      </c>
      <c r="F1287" t="str">
        <f>""</f>
        <v/>
      </c>
      <c r="H1287" t="str">
        <f>"Maintenace"</f>
        <v>Maintenace</v>
      </c>
    </row>
    <row r="1288" spans="1:8" x14ac:dyDescent="0.25">
      <c r="E1288" t="str">
        <f>""</f>
        <v/>
      </c>
      <c r="F1288" t="str">
        <f>""</f>
        <v/>
      </c>
      <c r="H1288" t="str">
        <f>"Maintenace"</f>
        <v>Maintenace</v>
      </c>
    </row>
    <row r="1289" spans="1:8" x14ac:dyDescent="0.25">
      <c r="A1289" t="s">
        <v>393</v>
      </c>
      <c r="B1289" s="3">
        <v>681</v>
      </c>
      <c r="C1289" s="2">
        <v>2813.7</v>
      </c>
      <c r="D1289" s="1">
        <v>43564</v>
      </c>
      <c r="E1289" t="str">
        <f>"337621"</f>
        <v>337621</v>
      </c>
      <c r="F1289" t="str">
        <f>"sign materials"</f>
        <v>sign materials</v>
      </c>
      <c r="G1289" s="2">
        <v>2813.7</v>
      </c>
      <c r="H1289" t="str">
        <f>"10' x 2# Green U-Cha"</f>
        <v>10' x 2# Green U-Cha</v>
      </c>
    </row>
    <row r="1290" spans="1:8" x14ac:dyDescent="0.25">
      <c r="E1290" t="str">
        <f>""</f>
        <v/>
      </c>
      <c r="F1290" t="str">
        <f>""</f>
        <v/>
      </c>
      <c r="H1290" t="str">
        <f>"6' x 1.12# Green U-C"</f>
        <v>6' x 1.12# Green U-C</v>
      </c>
    </row>
    <row r="1291" spans="1:8" x14ac:dyDescent="0.25">
      <c r="E1291" t="str">
        <f>""</f>
        <v/>
      </c>
      <c r="F1291" t="str">
        <f>""</f>
        <v/>
      </c>
      <c r="H1291" t="str">
        <f>"24 x9  Reflective Wh"</f>
        <v>24 x9  Reflective Wh</v>
      </c>
    </row>
    <row r="1292" spans="1:8" x14ac:dyDescent="0.25">
      <c r="E1292" t="str">
        <f>""</f>
        <v/>
      </c>
      <c r="F1292" t="str">
        <f>""</f>
        <v/>
      </c>
      <c r="H1292" t="str">
        <f>"18 x24  Reflective W"</f>
        <v>18 x24  Reflective W</v>
      </c>
    </row>
    <row r="1293" spans="1:8" x14ac:dyDescent="0.25">
      <c r="E1293" t="str">
        <f>""</f>
        <v/>
      </c>
      <c r="F1293" t="str">
        <f>""</f>
        <v/>
      </c>
      <c r="H1293" t="str">
        <f>"30 x30  Reflective Y"</f>
        <v>30 x30  Reflective Y</v>
      </c>
    </row>
    <row r="1294" spans="1:8" x14ac:dyDescent="0.25">
      <c r="A1294" t="s">
        <v>394</v>
      </c>
      <c r="B1294" s="3">
        <v>82013</v>
      </c>
      <c r="C1294" s="2">
        <v>253.61</v>
      </c>
      <c r="D1294" s="1">
        <v>43577</v>
      </c>
      <c r="E1294" t="str">
        <f>"0119-DR14926"</f>
        <v>0119-DR14926</v>
      </c>
      <c r="F1294" t="str">
        <f>"CLIENT ID:CXD 14926/JAN 2019"</f>
        <v>CLIENT ID:CXD 14926/JAN 2019</v>
      </c>
      <c r="G1294" s="2">
        <v>96.45</v>
      </c>
      <c r="H1294" t="str">
        <f>"CLIENT ID:CXD 14926/JAN 2019"</f>
        <v>CLIENT ID:CXD 14926/JAN 2019</v>
      </c>
    </row>
    <row r="1295" spans="1:8" x14ac:dyDescent="0.25">
      <c r="E1295" t="str">
        <f>"0219-DR14926"</f>
        <v>0219-DR14926</v>
      </c>
      <c r="F1295" t="str">
        <f>"CLIENT ID:CXD 14926/MARCH 2019"</f>
        <v>CLIENT ID:CXD 14926/MARCH 2019</v>
      </c>
      <c r="G1295" s="2">
        <v>36.86</v>
      </c>
      <c r="H1295" t="str">
        <f>"CLIENT ID:CXD 14926"</f>
        <v>CLIENT ID:CXD 14926</v>
      </c>
    </row>
    <row r="1296" spans="1:8" x14ac:dyDescent="0.25">
      <c r="E1296" t="str">
        <f>"0319-DR14926"</f>
        <v>0319-DR14926</v>
      </c>
      <c r="F1296" t="str">
        <f>"CLIENT ID:CXD 14926 3/01-3/31"</f>
        <v>CLIENT ID:CXD 14926 3/01-3/31</v>
      </c>
      <c r="G1296" s="2">
        <v>120.3</v>
      </c>
      <c r="H1296" t="str">
        <f>"CLIENT ID:CXD 14926 3/01-3/31"</f>
        <v>CLIENT ID:CXD 14926 3/01-3/31</v>
      </c>
    </row>
    <row r="1297" spans="1:8" x14ac:dyDescent="0.25">
      <c r="A1297" t="s">
        <v>395</v>
      </c>
      <c r="B1297" s="3">
        <v>640</v>
      </c>
      <c r="C1297" s="2">
        <v>2570.6999999999998</v>
      </c>
      <c r="D1297" s="1">
        <v>43564</v>
      </c>
      <c r="E1297" t="str">
        <f>"16357"</f>
        <v>16357</v>
      </c>
      <c r="F1297" t="str">
        <f>"COLD MIX/FREIGHT/PCT#1"</f>
        <v>COLD MIX/FREIGHT/PCT#1</v>
      </c>
      <c r="G1297" s="2">
        <v>2570.6999999999998</v>
      </c>
      <c r="H1297" t="str">
        <f>"COLD MIX/FREIGHT/PCT#1"</f>
        <v>COLD MIX/FREIGHT/PCT#1</v>
      </c>
    </row>
    <row r="1298" spans="1:8" x14ac:dyDescent="0.25">
      <c r="A1298" t="s">
        <v>395</v>
      </c>
      <c r="B1298" s="3">
        <v>697</v>
      </c>
      <c r="C1298" s="2">
        <v>2586.08</v>
      </c>
      <c r="D1298" s="1">
        <v>43578</v>
      </c>
      <c r="E1298" t="str">
        <f>"16484"</f>
        <v>16484</v>
      </c>
      <c r="F1298" t="str">
        <f>"COLD MIX/FREIGHT/PCT#4"</f>
        <v>COLD MIX/FREIGHT/PCT#4</v>
      </c>
      <c r="G1298" s="2">
        <v>2586.08</v>
      </c>
      <c r="H1298" t="str">
        <f>"COLD MIX/FREIGHT/PCT#4"</f>
        <v>COLD MIX/FREIGHT/PCT#4</v>
      </c>
    </row>
    <row r="1299" spans="1:8" x14ac:dyDescent="0.25">
      <c r="A1299" t="s">
        <v>396</v>
      </c>
      <c r="B1299" s="3">
        <v>81795</v>
      </c>
      <c r="C1299" s="2">
        <v>608.94000000000005</v>
      </c>
      <c r="D1299" s="1">
        <v>43563</v>
      </c>
      <c r="E1299" t="str">
        <f>"201904028332"</f>
        <v>201904028332</v>
      </c>
      <c r="F1299" t="str">
        <f>"acct# 6032202005312476"</f>
        <v>acct# 6032202005312476</v>
      </c>
      <c r="G1299" s="2">
        <v>608.94000000000005</v>
      </c>
      <c r="H1299" t="str">
        <f>"Inv# 002534"</f>
        <v>Inv# 002534</v>
      </c>
    </row>
    <row r="1300" spans="1:8" x14ac:dyDescent="0.25">
      <c r="E1300" t="str">
        <f>""</f>
        <v/>
      </c>
      <c r="F1300" t="str">
        <f>""</f>
        <v/>
      </c>
      <c r="H1300" t="str">
        <f>"Inv# 001405"</f>
        <v>Inv# 001405</v>
      </c>
    </row>
    <row r="1301" spans="1:8" x14ac:dyDescent="0.25">
      <c r="E1301" t="str">
        <f>""</f>
        <v/>
      </c>
      <c r="F1301" t="str">
        <f>""</f>
        <v/>
      </c>
      <c r="H1301" t="str">
        <f>"Inv# 003046"</f>
        <v>Inv# 003046</v>
      </c>
    </row>
    <row r="1302" spans="1:8" x14ac:dyDescent="0.25">
      <c r="E1302" t="str">
        <f>""</f>
        <v/>
      </c>
      <c r="F1302" t="str">
        <f>""</f>
        <v/>
      </c>
      <c r="H1302" t="str">
        <f>"Inv# 009293"</f>
        <v>Inv# 009293</v>
      </c>
    </row>
    <row r="1303" spans="1:8" x14ac:dyDescent="0.25">
      <c r="E1303" t="str">
        <f>""</f>
        <v/>
      </c>
      <c r="F1303" t="str">
        <f>""</f>
        <v/>
      </c>
      <c r="H1303" t="str">
        <f>"Inv# 008878"</f>
        <v>Inv# 008878</v>
      </c>
    </row>
    <row r="1304" spans="1:8" x14ac:dyDescent="0.25">
      <c r="E1304" t="str">
        <f>""</f>
        <v/>
      </c>
      <c r="F1304" t="str">
        <f>""</f>
        <v/>
      </c>
      <c r="H1304" t="str">
        <f>"Inv# 002240"</f>
        <v>Inv# 002240</v>
      </c>
    </row>
    <row r="1305" spans="1:8" x14ac:dyDescent="0.25">
      <c r="E1305" t="str">
        <f>""</f>
        <v/>
      </c>
      <c r="F1305" t="str">
        <f>""</f>
        <v/>
      </c>
      <c r="H1305" t="str">
        <f>"Inv# 007257"</f>
        <v>Inv# 007257</v>
      </c>
    </row>
    <row r="1306" spans="1:8" x14ac:dyDescent="0.25">
      <c r="E1306" t="str">
        <f>""</f>
        <v/>
      </c>
      <c r="F1306" t="str">
        <f>""</f>
        <v/>
      </c>
      <c r="H1306" t="str">
        <f>"Inv# 006005"</f>
        <v>Inv# 006005</v>
      </c>
    </row>
    <row r="1307" spans="1:8" x14ac:dyDescent="0.25">
      <c r="E1307" t="str">
        <f>""</f>
        <v/>
      </c>
      <c r="F1307" t="str">
        <f>""</f>
        <v/>
      </c>
      <c r="H1307" t="str">
        <f>"Inv# 007144"</f>
        <v>Inv# 007144</v>
      </c>
    </row>
    <row r="1308" spans="1:8" x14ac:dyDescent="0.25">
      <c r="E1308" t="str">
        <f>""</f>
        <v/>
      </c>
      <c r="F1308" t="str">
        <f>""</f>
        <v/>
      </c>
      <c r="H1308" t="str">
        <f>"Inv# 002698"</f>
        <v>Inv# 002698</v>
      </c>
    </row>
    <row r="1309" spans="1:8" x14ac:dyDescent="0.25">
      <c r="A1309" t="s">
        <v>397</v>
      </c>
      <c r="B1309" s="3">
        <v>674</v>
      </c>
      <c r="C1309" s="2">
        <v>1315.55</v>
      </c>
      <c r="D1309" s="1">
        <v>43564</v>
      </c>
      <c r="E1309" t="str">
        <f>"SCAUS0059047"</f>
        <v>SCAUS0059047</v>
      </c>
      <c r="F1309" t="str">
        <f>"CUST ID:BASCOTX/GEN SVCS"</f>
        <v>CUST ID:BASCOTX/GEN SVCS</v>
      </c>
      <c r="G1309" s="2">
        <v>1315.55</v>
      </c>
      <c r="H1309" t="str">
        <f>"CUST ID:BASCOTX/GEN SVCS"</f>
        <v>CUST ID:BASCOTX/GEN SVCS</v>
      </c>
    </row>
    <row r="1310" spans="1:8" x14ac:dyDescent="0.25">
      <c r="A1310" t="s">
        <v>398</v>
      </c>
      <c r="B1310" s="3">
        <v>81647</v>
      </c>
      <c r="C1310" s="2">
        <v>16734.150000000001</v>
      </c>
      <c r="D1310" s="1">
        <v>43560</v>
      </c>
      <c r="E1310" t="str">
        <f>"9807028"</f>
        <v>9807028</v>
      </c>
      <c r="F1310" t="str">
        <f>"ACCT#5150-005117630/04012019"</f>
        <v>ACCT#5150-005117630/04012019</v>
      </c>
      <c r="G1310" s="2">
        <v>250.29</v>
      </c>
      <c r="H1310" t="str">
        <f>"ACCT#5150-005117630/04012019"</f>
        <v>ACCT#5150-005117630/04012019</v>
      </c>
    </row>
    <row r="1311" spans="1:8" x14ac:dyDescent="0.25">
      <c r="E1311" t="str">
        <f>"9807035"</f>
        <v>9807035</v>
      </c>
      <c r="F1311" t="str">
        <f>"ACCT#5150-005117766/04012019"</f>
        <v>ACCT#5150-005117766/04012019</v>
      </c>
      <c r="G1311" s="2">
        <v>109.87</v>
      </c>
      <c r="H1311" t="str">
        <f>"ACCT#5150-005117766/04012019"</f>
        <v>ACCT#5150-005117766/04012019</v>
      </c>
    </row>
    <row r="1312" spans="1:8" x14ac:dyDescent="0.25">
      <c r="E1312" t="str">
        <f>"9807039"</f>
        <v>9807039</v>
      </c>
      <c r="F1312" t="str">
        <f>"ACCT#5150-005117838/04012019"</f>
        <v>ACCT#5150-005117838/04012019</v>
      </c>
      <c r="G1312" s="2">
        <v>101.68</v>
      </c>
      <c r="H1312" t="str">
        <f>"ACCT#5150-005117838/04012019"</f>
        <v>ACCT#5150-005117838/04012019</v>
      </c>
    </row>
    <row r="1313" spans="1:8" x14ac:dyDescent="0.25">
      <c r="E1313" t="str">
        <f>"9807041"</f>
        <v>9807041</v>
      </c>
      <c r="F1313" t="str">
        <f>"ACCT#5150-005117882/04012019"</f>
        <v>ACCT#5150-005117882/04012019</v>
      </c>
      <c r="G1313" s="2">
        <v>137.32</v>
      </c>
      <c r="H1313" t="str">
        <f>"ACCT#5150-005117882/04012019"</f>
        <v>ACCT#5150-005117882/04012019</v>
      </c>
    </row>
    <row r="1314" spans="1:8" x14ac:dyDescent="0.25">
      <c r="E1314" t="str">
        <f>"9807050"</f>
        <v>9807050</v>
      </c>
      <c r="F1314" t="str">
        <f>"ACCT#5150-005118183/04012019"</f>
        <v>ACCT#5150-005118183/04012019</v>
      </c>
      <c r="G1314" s="2">
        <v>589.49</v>
      </c>
      <c r="H1314" t="str">
        <f>"ACCT#5150-005118183/04012019"</f>
        <v>ACCT#5150-005118183/04012019</v>
      </c>
    </row>
    <row r="1315" spans="1:8" x14ac:dyDescent="0.25">
      <c r="E1315" t="str">
        <f>"9807133"</f>
        <v>9807133</v>
      </c>
      <c r="F1315" t="str">
        <f>"ACCT#5150-005129483/04012019"</f>
        <v>ACCT#5150-005129483/04012019</v>
      </c>
      <c r="G1315" s="2">
        <v>15545.5</v>
      </c>
      <c r="H1315" t="str">
        <f>"ACCT#5150-005129483/04012019"</f>
        <v>ACCT#5150-005129483/04012019</v>
      </c>
    </row>
    <row r="1316" spans="1:8" x14ac:dyDescent="0.25">
      <c r="A1316" t="s">
        <v>399</v>
      </c>
      <c r="B1316" s="3">
        <v>81796</v>
      </c>
      <c r="C1316" s="2">
        <v>736.14</v>
      </c>
      <c r="D1316" s="1">
        <v>43563</v>
      </c>
      <c r="E1316" t="str">
        <f>"0030137-2161-2"</f>
        <v>0030137-2161-2</v>
      </c>
      <c r="F1316" t="str">
        <f>"CUST ID:2-56581-95066/ANIMAL C"</f>
        <v>CUST ID:2-56581-95066/ANIMAL C</v>
      </c>
      <c r="G1316" s="2">
        <v>736.14</v>
      </c>
      <c r="H1316" t="str">
        <f>"CUST ID:2-56581-95066/ANIMAL C"</f>
        <v>CUST ID:2-56581-95066/ANIMAL C</v>
      </c>
    </row>
    <row r="1317" spans="1:8" x14ac:dyDescent="0.25">
      <c r="A1317" t="s">
        <v>399</v>
      </c>
      <c r="B1317" s="3">
        <v>82014</v>
      </c>
      <c r="C1317" s="2">
        <v>3368.98</v>
      </c>
      <c r="D1317" s="1">
        <v>43577</v>
      </c>
      <c r="E1317" t="str">
        <f>"0018416-2161-6"</f>
        <v>0018416-2161-6</v>
      </c>
      <c r="F1317" t="str">
        <f>"CUST ID:2-57060-55062/PCT#4"</f>
        <v>CUST ID:2-57060-55062/PCT#4</v>
      </c>
      <c r="G1317" s="2">
        <v>3148.86</v>
      </c>
      <c r="H1317" t="str">
        <f>"CUST ID:2-57060-55062/PCT#4"</f>
        <v>CUST ID:2-57060-55062/PCT#4</v>
      </c>
    </row>
    <row r="1318" spans="1:8" x14ac:dyDescent="0.25">
      <c r="E1318" t="str">
        <f>"0038301-2162-4"</f>
        <v>0038301-2162-4</v>
      </c>
      <c r="F1318" t="str">
        <f>"CUST ID:16-27603-83003"</f>
        <v>CUST ID:16-27603-83003</v>
      </c>
      <c r="G1318" s="2">
        <v>220.12</v>
      </c>
      <c r="H1318" t="str">
        <f>"CUST ID:16-27603-83003"</f>
        <v>CUST ID:16-27603-83003</v>
      </c>
    </row>
    <row r="1319" spans="1:8" x14ac:dyDescent="0.25">
      <c r="A1319" t="s">
        <v>400</v>
      </c>
      <c r="B1319" s="3">
        <v>81797</v>
      </c>
      <c r="C1319" s="2">
        <v>1492.63</v>
      </c>
      <c r="D1319" s="1">
        <v>43563</v>
      </c>
      <c r="E1319" t="str">
        <f>"309943"</f>
        <v>309943</v>
      </c>
      <c r="F1319" t="str">
        <f>"WATER TRUCK/GEN SVCS"</f>
        <v>WATER TRUCK/GEN SVCS</v>
      </c>
      <c r="G1319" s="2">
        <v>1492.63</v>
      </c>
      <c r="H1319" t="str">
        <f>"WATER TRUCK/GEN SVCS"</f>
        <v>WATER TRUCK/GEN SVCS</v>
      </c>
    </row>
    <row r="1320" spans="1:8" x14ac:dyDescent="0.25">
      <c r="A1320" t="s">
        <v>401</v>
      </c>
      <c r="B1320" s="3">
        <v>82015</v>
      </c>
      <c r="C1320" s="2">
        <v>500</v>
      </c>
      <c r="D1320" s="1">
        <v>43577</v>
      </c>
      <c r="E1320" t="str">
        <f>"040519.WC1"</f>
        <v>040519.WC1</v>
      </c>
      <c r="F1320" t="str">
        <f>"VENDOR AD-ANNUAL"</f>
        <v>VENDOR AD-ANNUAL</v>
      </c>
      <c r="G1320" s="2">
        <v>500</v>
      </c>
      <c r="H1320" t="str">
        <f>"VENDOR AD-ANNUAL"</f>
        <v>VENDOR AD-ANNUAL</v>
      </c>
    </row>
    <row r="1321" spans="1:8" x14ac:dyDescent="0.25">
      <c r="A1321" t="s">
        <v>402</v>
      </c>
      <c r="B1321" s="3">
        <v>82016</v>
      </c>
      <c r="C1321" s="2">
        <v>185</v>
      </c>
      <c r="D1321" s="1">
        <v>43577</v>
      </c>
      <c r="E1321" t="str">
        <f>"201904158720"</f>
        <v>201904158720</v>
      </c>
      <c r="F1321" t="str">
        <f>"FERAL HOGS"</f>
        <v>FERAL HOGS</v>
      </c>
      <c r="G1321" s="2">
        <v>185</v>
      </c>
      <c r="H1321" t="str">
        <f>"FERAL HOGS"</f>
        <v>FERAL HOGS</v>
      </c>
    </row>
    <row r="1322" spans="1:8" x14ac:dyDescent="0.25">
      <c r="A1322" t="s">
        <v>403</v>
      </c>
      <c r="B1322" s="3">
        <v>736</v>
      </c>
      <c r="C1322" s="2">
        <v>184.43</v>
      </c>
      <c r="D1322" s="1">
        <v>43578</v>
      </c>
      <c r="E1322" t="str">
        <f>"096506915"</f>
        <v>096506915</v>
      </c>
      <c r="F1322" t="str">
        <f>"CUST#662445931/REF#VTX00000X"</f>
        <v>CUST#662445931/REF#VTX00000X</v>
      </c>
      <c r="G1322" s="2">
        <v>106.45</v>
      </c>
      <c r="H1322" t="str">
        <f>"CUST#662445931/REF#VTX00000X"</f>
        <v>CUST#662445931/REF#VTX00000X</v>
      </c>
    </row>
    <row r="1323" spans="1:8" x14ac:dyDescent="0.25">
      <c r="E1323" t="str">
        <f>"096506916"</f>
        <v>096506916</v>
      </c>
      <c r="F1323" t="str">
        <f>"CUST#662445931/REF#VTX00000X"</f>
        <v>CUST#662445931/REF#VTX00000X</v>
      </c>
      <c r="G1323" s="2">
        <v>38.99</v>
      </c>
      <c r="H1323" t="str">
        <f>"CUST#662445931/REF#VTX00000X"</f>
        <v>CUST#662445931/REF#VTX00000X</v>
      </c>
    </row>
    <row r="1324" spans="1:8" x14ac:dyDescent="0.25">
      <c r="E1324" t="str">
        <f>"096506924"</f>
        <v>096506924</v>
      </c>
      <c r="F1324" t="str">
        <f>"CUST#723230843/REF#VTX00000X"</f>
        <v>CUST#723230843/REF#VTX00000X</v>
      </c>
      <c r="G1324" s="2">
        <v>38.99</v>
      </c>
      <c r="H1324" t="str">
        <f>"CUST#723230843/REF#VTX00000X"</f>
        <v>CUST#723230843/REF#VTX00000X</v>
      </c>
    </row>
    <row r="1325" spans="1:8" x14ac:dyDescent="0.25">
      <c r="A1325" t="s">
        <v>403</v>
      </c>
      <c r="B1325" s="3">
        <v>81798</v>
      </c>
      <c r="C1325" s="2">
        <v>201.64</v>
      </c>
      <c r="D1325" s="1">
        <v>43563</v>
      </c>
      <c r="E1325" t="str">
        <f>"1548537"</f>
        <v>1548537</v>
      </c>
      <c r="F1325" t="str">
        <f>"CONTRACT#010-0095885-001"</f>
        <v>CONTRACT#010-0095885-001</v>
      </c>
      <c r="G1325" s="2">
        <v>201.64</v>
      </c>
      <c r="H1325" t="str">
        <f>"CONTRACT#010-0095885-001"</f>
        <v>CONTRACT#010-0095885-001</v>
      </c>
    </row>
    <row r="1326" spans="1:8" x14ac:dyDescent="0.25">
      <c r="A1326" t="s">
        <v>403</v>
      </c>
      <c r="B1326" s="3">
        <v>82017</v>
      </c>
      <c r="C1326" s="2">
        <v>201.64</v>
      </c>
      <c r="D1326" s="1">
        <v>43577</v>
      </c>
      <c r="E1326" t="str">
        <f>"1584912"</f>
        <v>1584912</v>
      </c>
      <c r="F1326" t="str">
        <f>"CONTRACT#010-0095885-001"</f>
        <v>CONTRACT#010-0095885-001</v>
      </c>
      <c r="G1326" s="2">
        <v>201.64</v>
      </c>
      <c r="H1326" t="str">
        <f>"CONTRACT#010-0095885-001"</f>
        <v>CONTRACT#010-0095885-001</v>
      </c>
    </row>
    <row r="1327" spans="1:8" x14ac:dyDescent="0.25">
      <c r="A1327" t="s">
        <v>28</v>
      </c>
      <c r="B1327" s="3">
        <v>81799</v>
      </c>
      <c r="C1327" s="2">
        <v>258.10000000000002</v>
      </c>
      <c r="D1327" s="1">
        <v>43563</v>
      </c>
      <c r="E1327" t="str">
        <f>"13T9-Y194-FKC1"</f>
        <v>13T9-Y194-FKC1</v>
      </c>
      <c r="F1327" t="str">
        <f>"Batteries and charger"</f>
        <v>Batteries and charger</v>
      </c>
      <c r="G1327" s="2">
        <v>151.22</v>
      </c>
      <c r="H1327" t="str">
        <f>"AccuPower LCD Fast C"</f>
        <v>AccuPower LCD Fast C</v>
      </c>
    </row>
    <row r="1328" spans="1:8" x14ac:dyDescent="0.25">
      <c r="E1328" t="str">
        <f>""</f>
        <v/>
      </c>
      <c r="F1328" t="str">
        <f>""</f>
        <v/>
      </c>
      <c r="H1328" t="str">
        <f>"Pack of 100 Energize"</f>
        <v>Pack of 100 Energize</v>
      </c>
    </row>
    <row r="1329" spans="1:8" x14ac:dyDescent="0.25">
      <c r="E1329" t="str">
        <f>"1GFT-JYRX-GWRD"</f>
        <v>1GFT-JYRX-GWRD</v>
      </c>
      <c r="F1329" t="str">
        <f>"recliner"</f>
        <v>recliner</v>
      </c>
      <c r="G1329" s="2">
        <v>106.88</v>
      </c>
      <c r="H1329" t="str">
        <f>"recliner"</f>
        <v>recliner</v>
      </c>
    </row>
    <row r="1330" spans="1:8" x14ac:dyDescent="0.25">
      <c r="A1330" t="s">
        <v>34</v>
      </c>
      <c r="B1330" s="3">
        <v>82018</v>
      </c>
      <c r="C1330" s="2">
        <v>189.98</v>
      </c>
      <c r="D1330" s="1">
        <v>43577</v>
      </c>
      <c r="E1330" t="str">
        <f>"201904108576"</f>
        <v>201904108576</v>
      </c>
      <c r="F1330" t="str">
        <f>"ACCT#015397/JUVENILE BOOT CAMP"</f>
        <v>ACCT#015397/JUVENILE BOOT CAMP</v>
      </c>
      <c r="G1330" s="2">
        <v>189.98</v>
      </c>
      <c r="H1330" t="str">
        <f>"ACCT#015397/JUVENILE BOOT CAMP"</f>
        <v>ACCT#015397/JUVENILE BOOT CAMP</v>
      </c>
    </row>
    <row r="1331" spans="1:8" x14ac:dyDescent="0.25">
      <c r="A1331" t="s">
        <v>45</v>
      </c>
      <c r="B1331" s="3">
        <v>82019</v>
      </c>
      <c r="C1331" s="2">
        <v>1754.8</v>
      </c>
      <c r="D1331" s="1">
        <v>43577</v>
      </c>
      <c r="E1331" t="str">
        <f>"5063084"</f>
        <v>5063084</v>
      </c>
      <c r="F1331" t="str">
        <f>"CUST ID:16378/GEN SVCS"</f>
        <v>CUST ID:16378/GEN SVCS</v>
      </c>
      <c r="G1331" s="2">
        <v>1754.8</v>
      </c>
      <c r="H1331" t="str">
        <f>"CUST ID:16378/GEN SVCS"</f>
        <v>CUST ID:16378/GEN SVCS</v>
      </c>
    </row>
    <row r="1332" spans="1:8" x14ac:dyDescent="0.25">
      <c r="A1332" t="s">
        <v>53</v>
      </c>
      <c r="B1332" s="3">
        <v>82020</v>
      </c>
      <c r="C1332" s="2">
        <v>75.94</v>
      </c>
      <c r="D1332" s="1">
        <v>43577</v>
      </c>
      <c r="E1332" t="str">
        <f>"13497 &amp; 13501"</f>
        <v>13497 &amp; 13501</v>
      </c>
      <c r="F1332" t="str">
        <f>"ACCT#BC01"</f>
        <v>ACCT#BC01</v>
      </c>
      <c r="G1332" s="2">
        <v>75.94</v>
      </c>
      <c r="H1332" t="str">
        <f>"ACCT#BC01"</f>
        <v>ACCT#BC01</v>
      </c>
    </row>
    <row r="1333" spans="1:8" x14ac:dyDescent="0.25">
      <c r="E1333" t="str">
        <f>""</f>
        <v/>
      </c>
      <c r="F1333" t="str">
        <f>""</f>
        <v/>
      </c>
      <c r="H1333" t="str">
        <f>"ACCT#BC01"</f>
        <v>ACCT#BC01</v>
      </c>
    </row>
    <row r="1334" spans="1:8" x14ac:dyDescent="0.25">
      <c r="A1334" t="s">
        <v>404</v>
      </c>
      <c r="B1334" s="3">
        <v>81800</v>
      </c>
      <c r="C1334" s="2">
        <v>21171.52</v>
      </c>
      <c r="D1334" s="1">
        <v>43563</v>
      </c>
      <c r="E1334" t="str">
        <f>"1048"</f>
        <v>1048</v>
      </c>
      <c r="F1334" t="str">
        <f>"BOOT CAMP EXPS-JULY-SEP 2018"</f>
        <v>BOOT CAMP EXPS-JULY-SEP 2018</v>
      </c>
      <c r="G1334" s="2">
        <v>5155.4799999999996</v>
      </c>
      <c r="H1334" t="str">
        <f>"BOOT CAMP EXPS-JULY-SEP 2018"</f>
        <v>BOOT CAMP EXPS-JULY-SEP 2018</v>
      </c>
    </row>
    <row r="1335" spans="1:8" x14ac:dyDescent="0.25">
      <c r="E1335" t="str">
        <f>"1056"</f>
        <v>1056</v>
      </c>
      <c r="F1335" t="str">
        <f>"BOOT CAMP EXPS-OCT TO DEC 2018"</f>
        <v>BOOT CAMP EXPS-OCT TO DEC 2018</v>
      </c>
      <c r="G1335" s="2">
        <v>16016.04</v>
      </c>
      <c r="H1335" t="str">
        <f>"BOOT CAMP EXPS-OCT TO DEC 2018"</f>
        <v>BOOT CAMP EXPS-OCT TO DEC 2018</v>
      </c>
    </row>
    <row r="1336" spans="1:8" x14ac:dyDescent="0.25">
      <c r="E1336" t="str">
        <f>""</f>
        <v/>
      </c>
      <c r="F1336" t="str">
        <f>""</f>
        <v/>
      </c>
      <c r="H1336" t="str">
        <f>"BOOT CAMP EXPS-OCT TO DEC 2018"</f>
        <v>BOOT CAMP EXPS-OCT TO DEC 2018</v>
      </c>
    </row>
    <row r="1337" spans="1:8" x14ac:dyDescent="0.25">
      <c r="A1337" t="s">
        <v>70</v>
      </c>
      <c r="B1337" s="3">
        <v>81832</v>
      </c>
      <c r="C1337" s="2">
        <v>265.51</v>
      </c>
      <c r="D1337" s="1">
        <v>43564</v>
      </c>
      <c r="E1337" t="str">
        <f>"201904098532"</f>
        <v>201904098532</v>
      </c>
      <c r="F1337" t="str">
        <f>"ACCT#5000057374 / 04022019"</f>
        <v>ACCT#5000057374 / 04022019</v>
      </c>
      <c r="G1337" s="2">
        <v>265.51</v>
      </c>
      <c r="H1337" t="str">
        <f>"ACCT#5000057374 / 04022019"</f>
        <v>ACCT#5000057374 / 04022019</v>
      </c>
    </row>
    <row r="1338" spans="1:8" x14ac:dyDescent="0.25">
      <c r="A1338" t="s">
        <v>79</v>
      </c>
      <c r="B1338" s="3">
        <v>107</v>
      </c>
      <c r="C1338" s="2">
        <v>119.92</v>
      </c>
      <c r="D1338" s="1">
        <v>43563</v>
      </c>
      <c r="E1338" t="str">
        <f>"201904038428"</f>
        <v>201904038428</v>
      </c>
      <c r="F1338" t="str">
        <f>"Acct# 0058"</f>
        <v>Acct# 0058</v>
      </c>
      <c r="G1338" s="2">
        <v>119.92</v>
      </c>
      <c r="H1338" t="str">
        <f>"walmart"</f>
        <v>walmart</v>
      </c>
    </row>
    <row r="1339" spans="1:8" x14ac:dyDescent="0.25">
      <c r="A1339" t="s">
        <v>122</v>
      </c>
      <c r="B1339" s="3">
        <v>81801</v>
      </c>
      <c r="C1339" s="2">
        <v>10300.14</v>
      </c>
      <c r="D1339" s="1">
        <v>43563</v>
      </c>
      <c r="E1339" t="str">
        <f>"201904038349"</f>
        <v>201904038349</v>
      </c>
      <c r="F1339" t="str">
        <f>"DELL ORDER"</f>
        <v>DELL ORDER</v>
      </c>
      <c r="G1339" s="2">
        <v>10300.14</v>
      </c>
      <c r="H1339" t="str">
        <f>"DELL ORDER"</f>
        <v>DELL ORDER</v>
      </c>
    </row>
    <row r="1340" spans="1:8" x14ac:dyDescent="0.25">
      <c r="A1340" t="s">
        <v>405</v>
      </c>
      <c r="B1340" s="3">
        <v>81802</v>
      </c>
      <c r="C1340" s="2">
        <v>36.99</v>
      </c>
      <c r="D1340" s="1">
        <v>43563</v>
      </c>
      <c r="E1340" t="str">
        <f>"1985"</f>
        <v>1985</v>
      </c>
      <c r="F1340" t="str">
        <f>"HAND TOWELS/JUV BOOTCAMP"</f>
        <v>HAND TOWELS/JUV BOOTCAMP</v>
      </c>
      <c r="G1340" s="2">
        <v>36.99</v>
      </c>
      <c r="H1340" t="str">
        <f>"HAND TOWELS/JUV BOOTCAMP"</f>
        <v>HAND TOWELS/JUV BOOTCAMP</v>
      </c>
    </row>
    <row r="1341" spans="1:8" x14ac:dyDescent="0.25">
      <c r="A1341" t="s">
        <v>151</v>
      </c>
      <c r="B1341" s="3">
        <v>82021</v>
      </c>
      <c r="C1341" s="2">
        <v>336.99</v>
      </c>
      <c r="D1341" s="1">
        <v>43577</v>
      </c>
      <c r="E1341" t="str">
        <f>"6820866"</f>
        <v>6820866</v>
      </c>
      <c r="F1341" t="str">
        <f>"CUST#306066"</f>
        <v>CUST#306066</v>
      </c>
      <c r="G1341" s="2">
        <v>336.99</v>
      </c>
      <c r="H1341" t="str">
        <f>"CUST#306066"</f>
        <v>CUST#306066</v>
      </c>
    </row>
    <row r="1342" spans="1:8" x14ac:dyDescent="0.25">
      <c r="A1342" t="s">
        <v>183</v>
      </c>
      <c r="B1342" s="3">
        <v>81803</v>
      </c>
      <c r="C1342" s="2">
        <v>1356.16</v>
      </c>
      <c r="D1342" s="1">
        <v>43563</v>
      </c>
      <c r="E1342" t="str">
        <f>"5572190"</f>
        <v>5572190</v>
      </c>
      <c r="F1342" t="str">
        <f>"Acct# 6035322531933780"</f>
        <v>Acct# 6035322531933780</v>
      </c>
      <c r="G1342" s="2">
        <v>33.97</v>
      </c>
      <c r="H1342" t="str">
        <f>"inv# 5572190"</f>
        <v>inv# 5572190</v>
      </c>
    </row>
    <row r="1343" spans="1:8" x14ac:dyDescent="0.25">
      <c r="E1343" t="str">
        <f>"5900988"</f>
        <v>5900988</v>
      </c>
      <c r="F1343" t="str">
        <f>"Acct# 6035322531933780"</f>
        <v>Acct# 6035322531933780</v>
      </c>
      <c r="G1343" s="2">
        <v>1322.19</v>
      </c>
      <c r="H1343" t="str">
        <f>"inv# 5900988"</f>
        <v>inv# 5900988</v>
      </c>
    </row>
    <row r="1344" spans="1:8" x14ac:dyDescent="0.25">
      <c r="A1344" t="s">
        <v>406</v>
      </c>
      <c r="B1344" s="3">
        <v>82022</v>
      </c>
      <c r="C1344" s="2">
        <v>13773.58</v>
      </c>
      <c r="D1344" s="1">
        <v>43577</v>
      </c>
      <c r="E1344" t="str">
        <f>"201903015"</f>
        <v>201903015</v>
      </c>
      <c r="F1344" t="str">
        <f>"PROJ#2017072/911 ER OPER &amp; IT"</f>
        <v>PROJ#2017072/911 ER OPER &amp; IT</v>
      </c>
      <c r="G1344" s="2">
        <v>13773.58</v>
      </c>
      <c r="H1344" t="str">
        <f>"PROJ#2017072/911 ER OPER &amp; IT"</f>
        <v>PROJ#2017072/911 ER OPER &amp; IT</v>
      </c>
    </row>
    <row r="1345" spans="1:8" x14ac:dyDescent="0.25">
      <c r="A1345" t="s">
        <v>216</v>
      </c>
      <c r="B1345" s="3">
        <v>81804</v>
      </c>
      <c r="C1345" s="2">
        <v>57.61</v>
      </c>
      <c r="D1345" s="1">
        <v>43563</v>
      </c>
      <c r="E1345" t="str">
        <f>"201904028289"</f>
        <v>201904028289</v>
      </c>
      <c r="F1345" t="str">
        <f>"ACCT#1645/WILDFIRE MITIGATION"</f>
        <v>ACCT#1645/WILDFIRE MITIGATION</v>
      </c>
      <c r="G1345" s="2">
        <v>57.61</v>
      </c>
      <c r="H1345" t="str">
        <f>"ACCT#1645/WILDFIRE MITIGATION"</f>
        <v>ACCT#1645/WILDFIRE MITIGATION</v>
      </c>
    </row>
    <row r="1346" spans="1:8" x14ac:dyDescent="0.25">
      <c r="A1346" t="s">
        <v>407</v>
      </c>
      <c r="B1346" s="3">
        <v>81805</v>
      </c>
      <c r="C1346" s="2">
        <v>7680.88</v>
      </c>
      <c r="D1346" s="1">
        <v>43563</v>
      </c>
      <c r="E1346" t="str">
        <f>"3705"</f>
        <v>3705</v>
      </c>
      <c r="F1346" t="str">
        <f>"HMGP ADMIN-DRAINAGE IMP PROJ"</f>
        <v>HMGP ADMIN-DRAINAGE IMP PROJ</v>
      </c>
      <c r="G1346" s="2">
        <v>3032</v>
      </c>
      <c r="H1346" t="str">
        <f>"HMGP ADMIN-DRAINAGE IMP PROJ"</f>
        <v>HMGP ADMIN-DRAINAGE IMP PROJ</v>
      </c>
    </row>
    <row r="1347" spans="1:8" x14ac:dyDescent="0.25">
      <c r="E1347" t="str">
        <f>"3707"</f>
        <v>3707</v>
      </c>
      <c r="F1347" t="str">
        <f>"HMGP ADMIN-DRAINAGE IMPROV PRO"</f>
        <v>HMGP ADMIN-DRAINAGE IMPROV PRO</v>
      </c>
      <c r="G1347" s="2">
        <v>4648.88</v>
      </c>
      <c r="H1347" t="str">
        <f>"HMGP ADMIN"</f>
        <v>HMGP ADMIN</v>
      </c>
    </row>
    <row r="1348" spans="1:8" x14ac:dyDescent="0.25">
      <c r="A1348" t="s">
        <v>407</v>
      </c>
      <c r="B1348" s="3">
        <v>82023</v>
      </c>
      <c r="C1348" s="2">
        <v>53592.15</v>
      </c>
      <c r="D1348" s="1">
        <v>43577</v>
      </c>
      <c r="E1348" t="str">
        <f>"3674"</f>
        <v>3674</v>
      </c>
      <c r="F1348" t="str">
        <f>"HMGP ADMIN/DR-4245-017"</f>
        <v>HMGP ADMIN/DR-4245-017</v>
      </c>
      <c r="G1348" s="2">
        <v>6973.32</v>
      </c>
      <c r="H1348" t="str">
        <f>"HMGP ADMIN/DR-4245-017"</f>
        <v>HMGP ADMIN/DR-4245-017</v>
      </c>
    </row>
    <row r="1349" spans="1:8" x14ac:dyDescent="0.25">
      <c r="E1349" t="str">
        <f>"3735"</f>
        <v>3735</v>
      </c>
      <c r="F1349" t="str">
        <f>"WFR#010001 GLO DISASTER RECOVE"</f>
        <v>WFR#010001 GLO DISASTER RECOVE</v>
      </c>
      <c r="G1349" s="2">
        <v>46618.83</v>
      </c>
      <c r="H1349" t="str">
        <f>"WFR#010001 GLO DISASTER RECOVE"</f>
        <v>WFR#010001 GLO DISASTER RECOVE</v>
      </c>
    </row>
    <row r="1350" spans="1:8" x14ac:dyDescent="0.25">
      <c r="E1350" t="str">
        <f>""</f>
        <v/>
      </c>
      <c r="F1350" t="str">
        <f>""</f>
        <v/>
      </c>
      <c r="H1350" t="str">
        <f>"WFR#010001 GLO DISASTER RECOVE"</f>
        <v>WFR#010001 GLO DISASTER RECOVE</v>
      </c>
    </row>
    <row r="1351" spans="1:8" x14ac:dyDescent="0.25">
      <c r="A1351" t="s">
        <v>408</v>
      </c>
      <c r="B1351" s="3">
        <v>82024</v>
      </c>
      <c r="C1351" s="2">
        <v>9421.43</v>
      </c>
      <c r="D1351" s="1">
        <v>43577</v>
      </c>
      <c r="E1351" t="str">
        <f>"8482  8483"</f>
        <v>8482  8483</v>
      </c>
      <c r="F1351" t="str">
        <f>"MUSTANG MACHINERY COMPANY LTD"</f>
        <v>MUSTANG MACHINERY COMPANY LTD</v>
      </c>
      <c r="G1351" s="2">
        <v>9421.43</v>
      </c>
      <c r="H1351" t="str">
        <f>"Track Maint 8482"</f>
        <v>Track Maint 8482</v>
      </c>
    </row>
    <row r="1352" spans="1:8" x14ac:dyDescent="0.25">
      <c r="E1352" t="str">
        <f>""</f>
        <v/>
      </c>
      <c r="F1352" t="str">
        <f>""</f>
        <v/>
      </c>
      <c r="H1352" t="str">
        <f>"Track Maint 8483"</f>
        <v>Track Maint 8483</v>
      </c>
    </row>
    <row r="1353" spans="1:8" x14ac:dyDescent="0.25">
      <c r="A1353" t="s">
        <v>272</v>
      </c>
      <c r="B1353" s="3">
        <v>81806</v>
      </c>
      <c r="C1353" s="2">
        <v>86.64</v>
      </c>
      <c r="D1353" s="1">
        <v>43563</v>
      </c>
      <c r="E1353" t="str">
        <f>"289144730001"</f>
        <v>289144730001</v>
      </c>
      <c r="F1353" t="str">
        <f>"bill# 11059200"</f>
        <v>bill# 11059200</v>
      </c>
      <c r="G1353" s="2">
        <v>86.64</v>
      </c>
      <c r="H1353" t="str">
        <f>"Ord# 289144730001"</f>
        <v>Ord# 289144730001</v>
      </c>
    </row>
    <row r="1354" spans="1:8" x14ac:dyDescent="0.25">
      <c r="A1354" t="s">
        <v>409</v>
      </c>
      <c r="B1354" s="3">
        <v>81807</v>
      </c>
      <c r="C1354" s="2">
        <v>30300.11</v>
      </c>
      <c r="D1354" s="1">
        <v>43563</v>
      </c>
      <c r="E1354" t="str">
        <f>"201904038350"</f>
        <v>201904038350</v>
      </c>
      <c r="F1354" t="str">
        <f>"PARK CONTRACTORS  INC"</f>
        <v>PARK CONTRACTORS  INC</v>
      </c>
      <c r="G1354" s="2">
        <v>30300.11</v>
      </c>
      <c r="H1354" t="str">
        <f>"Fiber M. Fisher Bldg"</f>
        <v>Fiber M. Fisher Bldg</v>
      </c>
    </row>
    <row r="1355" spans="1:8" x14ac:dyDescent="0.25">
      <c r="A1355" t="s">
        <v>410</v>
      </c>
      <c r="B1355" s="3">
        <v>81808</v>
      </c>
      <c r="C1355" s="2">
        <v>294.91000000000003</v>
      </c>
      <c r="D1355" s="1">
        <v>43563</v>
      </c>
      <c r="E1355" t="str">
        <f>"1134"</f>
        <v>1134</v>
      </c>
      <c r="F1355" t="str">
        <f>"UNIFORMS/JUVENILE BOOTCAMP"</f>
        <v>UNIFORMS/JUVENILE BOOTCAMP</v>
      </c>
      <c r="G1355" s="2">
        <v>294.91000000000003</v>
      </c>
      <c r="H1355" t="str">
        <f>"UNIFORMS/JUVENILE BOOTCAMP"</f>
        <v>UNIFORMS/JUVENILE BOOTCAMP</v>
      </c>
    </row>
    <row r="1356" spans="1:8" x14ac:dyDescent="0.25">
      <c r="A1356" t="s">
        <v>411</v>
      </c>
      <c r="B1356" s="3">
        <v>82025</v>
      </c>
      <c r="C1356" s="2">
        <v>93821.24</v>
      </c>
      <c r="D1356" s="1">
        <v>43577</v>
      </c>
      <c r="E1356" t="str">
        <f>"87419"</f>
        <v>87419</v>
      </c>
      <c r="F1356" t="str">
        <f>"inv# 87419"</f>
        <v>inv# 87419</v>
      </c>
      <c r="G1356" s="2">
        <v>93821.24</v>
      </c>
      <c r="H1356" t="str">
        <f>"inv# 87419"</f>
        <v>inv# 87419</v>
      </c>
    </row>
    <row r="1357" spans="1:8" x14ac:dyDescent="0.25">
      <c r="A1357" t="s">
        <v>412</v>
      </c>
      <c r="B1357" s="3">
        <v>81809</v>
      </c>
      <c r="C1357" s="2">
        <v>467490.25</v>
      </c>
      <c r="D1357" s="1">
        <v>43563</v>
      </c>
      <c r="E1357" t="str">
        <f>"181204-7"</f>
        <v>181204-7</v>
      </c>
      <c r="F1357" t="str">
        <f>"PROJ#181204/COMMUNICATIONS BLD"</f>
        <v>PROJ#181204/COMMUNICATIONS BLD</v>
      </c>
      <c r="G1357" s="2">
        <v>467490.25</v>
      </c>
      <c r="H1357" t="str">
        <f>"PROJ#181204/COMMUNICATIONS BLD"</f>
        <v>PROJ#181204/COMMUNICATIONS BLD</v>
      </c>
    </row>
    <row r="1358" spans="1:8" x14ac:dyDescent="0.25">
      <c r="A1358" t="s">
        <v>353</v>
      </c>
      <c r="B1358" s="3">
        <v>81810</v>
      </c>
      <c r="C1358" s="2">
        <v>4200.74</v>
      </c>
      <c r="D1358" s="1">
        <v>43563</v>
      </c>
      <c r="E1358" t="str">
        <f>"0840334-IN"</f>
        <v>0840334-IN</v>
      </c>
      <c r="F1358" t="str">
        <f>"ACCT#01-0112917/FUEL"</f>
        <v>ACCT#01-0112917/FUEL</v>
      </c>
      <c r="G1358" s="2">
        <v>4200.74</v>
      </c>
      <c r="H1358" t="str">
        <f>"ACCT#01-0112917/FUEL"</f>
        <v>ACCT#01-0112917/FUEL</v>
      </c>
    </row>
    <row r="1359" spans="1:8" x14ac:dyDescent="0.25">
      <c r="A1359" t="s">
        <v>356</v>
      </c>
      <c r="B1359" s="3">
        <v>81811</v>
      </c>
      <c r="C1359" s="2">
        <v>23.25</v>
      </c>
      <c r="D1359" s="1">
        <v>43563</v>
      </c>
      <c r="E1359" t="str">
        <f>"D-2019-2-0110  245"</f>
        <v>D-2019-2-0110  245</v>
      </c>
      <c r="F1359" t="str">
        <f>"UNEMPLOYMENT QTR END 3/31/19"</f>
        <v>UNEMPLOYMENT QTR END 3/31/19</v>
      </c>
      <c r="G1359" s="2">
        <v>23.25</v>
      </c>
      <c r="H1359" t="str">
        <f>"UNEMPLOYMENTQTR ENDING 3/31/19"</f>
        <v>UNEMPLOYMENTQTR ENDING 3/31/19</v>
      </c>
    </row>
    <row r="1360" spans="1:8" x14ac:dyDescent="0.25">
      <c r="A1360" t="s">
        <v>356</v>
      </c>
      <c r="B1360" s="3">
        <v>81818</v>
      </c>
      <c r="C1360" s="2">
        <v>1.6</v>
      </c>
      <c r="D1360" s="1">
        <v>43563</v>
      </c>
      <c r="E1360" t="str">
        <f>"D-2019-2-0110 APTF"</f>
        <v>D-2019-2-0110 APTF</v>
      </c>
      <c r="F1360" t="str">
        <f>"UNEMPLOYMENT/QTR END 03/31/19"</f>
        <v>UNEMPLOYMENT/QTR END 03/31/19</v>
      </c>
      <c r="G1360" s="2">
        <v>1.6</v>
      </c>
      <c r="H1360" t="str">
        <f>"UNEMPLOYMENT/QTR END 03/31/19"</f>
        <v>UNEMPLOYMENT/QTR END 03/31/19</v>
      </c>
    </row>
    <row r="1361" spans="1:8" x14ac:dyDescent="0.25">
      <c r="A1361" t="s">
        <v>413</v>
      </c>
      <c r="B1361" s="3">
        <v>81812</v>
      </c>
      <c r="C1361" s="2">
        <v>486.71</v>
      </c>
      <c r="D1361" s="1">
        <v>43563</v>
      </c>
      <c r="E1361" t="str">
        <f>"UI449682"</f>
        <v>UI449682</v>
      </c>
      <c r="F1361" t="str">
        <f>"36  Seal"</f>
        <v>36  Seal</v>
      </c>
      <c r="G1361" s="2">
        <v>486.71</v>
      </c>
      <c r="H1361" t="str">
        <f>"Stock# 400105"</f>
        <v>Stock# 400105</v>
      </c>
    </row>
    <row r="1362" spans="1:8" x14ac:dyDescent="0.25">
      <c r="A1362" t="s">
        <v>414</v>
      </c>
      <c r="B1362" s="3">
        <v>81813</v>
      </c>
      <c r="C1362" s="2">
        <v>11899</v>
      </c>
      <c r="D1362" s="1">
        <v>43563</v>
      </c>
      <c r="E1362" t="str">
        <f>"201904038340"</f>
        <v>201904038340</v>
      </c>
      <c r="F1362" t="str">
        <f>"TRAILERS AND MORE  LLC"</f>
        <v>TRAILERS AND MORE  LLC</v>
      </c>
      <c r="G1362" s="2">
        <v>11899</v>
      </c>
      <c r="H1362" t="str">
        <f>"2019 Load Trail Trl"</f>
        <v>2019 Load Trail Trl</v>
      </c>
    </row>
    <row r="1363" spans="1:8" x14ac:dyDescent="0.25">
      <c r="E1363" t="str">
        <f>""</f>
        <v/>
      </c>
      <c r="F1363" t="str">
        <f>""</f>
        <v/>
      </c>
      <c r="H1363" t="str">
        <f>"Deposit"</f>
        <v>Deposit</v>
      </c>
    </row>
    <row r="1364" spans="1:8" x14ac:dyDescent="0.25">
      <c r="E1364" t="str">
        <f>""</f>
        <v/>
      </c>
      <c r="F1364" t="str">
        <f>""</f>
        <v/>
      </c>
      <c r="H1364" t="str">
        <f>"Doc Fee"</f>
        <v>Doc Fee</v>
      </c>
    </row>
    <row r="1365" spans="1:8" x14ac:dyDescent="0.25">
      <c r="A1365" t="s">
        <v>378</v>
      </c>
      <c r="B1365" s="3">
        <v>81814</v>
      </c>
      <c r="C1365" s="2">
        <v>50.13</v>
      </c>
      <c r="D1365" s="1">
        <v>43563</v>
      </c>
      <c r="E1365" t="str">
        <f>"200555676"</f>
        <v>200555676</v>
      </c>
      <c r="F1365" t="str">
        <f>"acct# 6035301200160982"</f>
        <v>acct# 6035301200160982</v>
      </c>
      <c r="G1365" s="2">
        <v>50.13</v>
      </c>
      <c r="H1365" t="str">
        <f>"Inv# 200555676"</f>
        <v>Inv# 200555676</v>
      </c>
    </row>
    <row r="1366" spans="1:8" x14ac:dyDescent="0.25">
      <c r="A1366" t="s">
        <v>392</v>
      </c>
      <c r="B1366" s="3">
        <v>81815</v>
      </c>
      <c r="C1366" s="2">
        <v>2197.86</v>
      </c>
      <c r="D1366" s="1">
        <v>43563</v>
      </c>
      <c r="E1366" t="str">
        <f>"201904038348"</f>
        <v>201904038348</v>
      </c>
      <c r="F1366" t="str">
        <f>"inv# 869395921913"</f>
        <v>inv# 869395921913</v>
      </c>
      <c r="G1366" s="2">
        <v>2197.86</v>
      </c>
      <c r="H1366" t="str">
        <f>"Fuel"</f>
        <v>Fuel</v>
      </c>
    </row>
    <row r="1367" spans="1:8" x14ac:dyDescent="0.25">
      <c r="E1367" t="str">
        <f>""</f>
        <v/>
      </c>
      <c r="F1367" t="str">
        <f>""</f>
        <v/>
      </c>
      <c r="H1367" t="str">
        <f>"Tax"</f>
        <v>Tax</v>
      </c>
    </row>
    <row r="1368" spans="1:8" x14ac:dyDescent="0.25">
      <c r="E1368" t="str">
        <f>""</f>
        <v/>
      </c>
      <c r="F1368" t="str">
        <f>""</f>
        <v/>
      </c>
      <c r="H1368" t="str">
        <f>"Maintenance"</f>
        <v>Maintenance</v>
      </c>
    </row>
    <row r="1369" spans="1:8" x14ac:dyDescent="0.25">
      <c r="A1369" t="s">
        <v>396</v>
      </c>
      <c r="B1369" s="3">
        <v>81816</v>
      </c>
      <c r="C1369" s="2">
        <v>324.36</v>
      </c>
      <c r="D1369" s="1">
        <v>43563</v>
      </c>
      <c r="E1369" t="str">
        <f>"007336"</f>
        <v>007336</v>
      </c>
      <c r="F1369" t="str">
        <f>"acct# 6032202005312476"</f>
        <v>acct# 6032202005312476</v>
      </c>
      <c r="G1369" s="2">
        <v>299.36</v>
      </c>
      <c r="H1369" t="str">
        <f>"Inv# 007336"</f>
        <v>Inv# 007336</v>
      </c>
    </row>
    <row r="1370" spans="1:8" x14ac:dyDescent="0.25">
      <c r="E1370" t="str">
        <f>"008498"</f>
        <v>008498</v>
      </c>
      <c r="F1370" t="str">
        <f>"acct# 6032202005312476"</f>
        <v>acct# 6032202005312476</v>
      </c>
      <c r="G1370" s="2">
        <v>25</v>
      </c>
      <c r="H1370" t="str">
        <f>"Inv# 008498"</f>
        <v>Inv# 008498</v>
      </c>
    </row>
    <row r="1371" spans="1:8" x14ac:dyDescent="0.25">
      <c r="A1371" t="s">
        <v>415</v>
      </c>
      <c r="B1371" s="3">
        <v>119</v>
      </c>
      <c r="C1371" s="2">
        <v>5571.19</v>
      </c>
      <c r="D1371" s="1">
        <v>43579</v>
      </c>
      <c r="E1371" t="str">
        <f>"201904228730"</f>
        <v>201904228730</v>
      </c>
      <c r="F1371" t="str">
        <f>"ROUNDING ADJUSTMENT"</f>
        <v>ROUNDING ADJUSTMENT</v>
      </c>
      <c r="G1371" s="2">
        <v>0.04</v>
      </c>
      <c r="H1371" t="str">
        <f>"ROUNDING ADJUSTMENT"</f>
        <v>ROUNDING ADJUSTMENT</v>
      </c>
    </row>
    <row r="1372" spans="1:8" x14ac:dyDescent="0.25">
      <c r="E1372" t="str">
        <f>"AS 201904038355"</f>
        <v>AS 201904038355</v>
      </c>
      <c r="F1372" t="str">
        <f t="shared" ref="F1372:F1385" si="16">"ALLSTATE"</f>
        <v>ALLSTATE</v>
      </c>
      <c r="G1372" s="2">
        <v>533.49</v>
      </c>
      <c r="H1372" t="str">
        <f t="shared" ref="H1372:H1385" si="17">"ALLSTATE"</f>
        <v>ALLSTATE</v>
      </c>
    </row>
    <row r="1373" spans="1:8" x14ac:dyDescent="0.25">
      <c r="E1373" t="str">
        <f>"AS 201904038356"</f>
        <v>AS 201904038356</v>
      </c>
      <c r="F1373" t="str">
        <f t="shared" si="16"/>
        <v>ALLSTATE</v>
      </c>
      <c r="G1373" s="2">
        <v>27.14</v>
      </c>
      <c r="H1373" t="str">
        <f t="shared" si="17"/>
        <v>ALLSTATE</v>
      </c>
    </row>
    <row r="1374" spans="1:8" x14ac:dyDescent="0.25">
      <c r="E1374" t="str">
        <f>"AS 201904168721"</f>
        <v>AS 201904168721</v>
      </c>
      <c r="F1374" t="str">
        <f t="shared" si="16"/>
        <v>ALLSTATE</v>
      </c>
      <c r="G1374" s="2">
        <v>533.49</v>
      </c>
      <c r="H1374" t="str">
        <f t="shared" si="17"/>
        <v>ALLSTATE</v>
      </c>
    </row>
    <row r="1375" spans="1:8" x14ac:dyDescent="0.25">
      <c r="E1375" t="str">
        <f>"AS 201904168722"</f>
        <v>AS 201904168722</v>
      </c>
      <c r="F1375" t="str">
        <f t="shared" si="16"/>
        <v>ALLSTATE</v>
      </c>
      <c r="G1375" s="2">
        <v>27.14</v>
      </c>
      <c r="H1375" t="str">
        <f t="shared" si="17"/>
        <v>ALLSTATE</v>
      </c>
    </row>
    <row r="1376" spans="1:8" x14ac:dyDescent="0.25">
      <c r="E1376" t="str">
        <f>"ASD201904038355"</f>
        <v>ASD201904038355</v>
      </c>
      <c r="F1376" t="str">
        <f t="shared" si="16"/>
        <v>ALLSTATE</v>
      </c>
      <c r="G1376" s="2">
        <v>193.92</v>
      </c>
      <c r="H1376" t="str">
        <f t="shared" si="17"/>
        <v>ALLSTATE</v>
      </c>
    </row>
    <row r="1377" spans="1:8" x14ac:dyDescent="0.25">
      <c r="E1377" t="str">
        <f>"ASD201904168721"</f>
        <v>ASD201904168721</v>
      </c>
      <c r="F1377" t="str">
        <f t="shared" si="16"/>
        <v>ALLSTATE</v>
      </c>
      <c r="G1377" s="2">
        <v>193.93</v>
      </c>
      <c r="H1377" t="str">
        <f t="shared" si="17"/>
        <v>ALLSTATE</v>
      </c>
    </row>
    <row r="1378" spans="1:8" x14ac:dyDescent="0.25">
      <c r="E1378" t="str">
        <f>"ASI201904038355"</f>
        <v>ASI201904038355</v>
      </c>
      <c r="F1378" t="str">
        <f t="shared" si="16"/>
        <v>ALLSTATE</v>
      </c>
      <c r="G1378" s="2">
        <v>636.55999999999995</v>
      </c>
      <c r="H1378" t="str">
        <f t="shared" si="17"/>
        <v>ALLSTATE</v>
      </c>
    </row>
    <row r="1379" spans="1:8" x14ac:dyDescent="0.25">
      <c r="E1379" t="str">
        <f>"ASI201904038356"</f>
        <v>ASI201904038356</v>
      </c>
      <c r="F1379" t="str">
        <f t="shared" si="16"/>
        <v>ALLSTATE</v>
      </c>
      <c r="G1379" s="2">
        <v>67.150000000000006</v>
      </c>
      <c r="H1379" t="str">
        <f t="shared" si="17"/>
        <v>ALLSTATE</v>
      </c>
    </row>
    <row r="1380" spans="1:8" x14ac:dyDescent="0.25">
      <c r="E1380" t="str">
        <f>"ASI201904168721"</f>
        <v>ASI201904168721</v>
      </c>
      <c r="F1380" t="str">
        <f t="shared" si="16"/>
        <v>ALLSTATE</v>
      </c>
      <c r="G1380" s="2">
        <v>636.55999999999995</v>
      </c>
      <c r="H1380" t="str">
        <f t="shared" si="17"/>
        <v>ALLSTATE</v>
      </c>
    </row>
    <row r="1381" spans="1:8" x14ac:dyDescent="0.25">
      <c r="E1381" t="str">
        <f>"ASI201904168722"</f>
        <v>ASI201904168722</v>
      </c>
      <c r="F1381" t="str">
        <f t="shared" si="16"/>
        <v>ALLSTATE</v>
      </c>
      <c r="G1381" s="2">
        <v>67.150000000000006</v>
      </c>
      <c r="H1381" t="str">
        <f t="shared" si="17"/>
        <v>ALLSTATE</v>
      </c>
    </row>
    <row r="1382" spans="1:8" x14ac:dyDescent="0.25">
      <c r="E1382" t="str">
        <f>"AST201904038355"</f>
        <v>AST201904038355</v>
      </c>
      <c r="F1382" t="str">
        <f t="shared" si="16"/>
        <v>ALLSTATE</v>
      </c>
      <c r="G1382" s="2">
        <v>1284.7</v>
      </c>
      <c r="H1382" t="str">
        <f t="shared" si="17"/>
        <v>ALLSTATE</v>
      </c>
    </row>
    <row r="1383" spans="1:8" x14ac:dyDescent="0.25">
      <c r="E1383" t="str">
        <f>"AST201904038356"</f>
        <v>AST201904038356</v>
      </c>
      <c r="F1383" t="str">
        <f t="shared" si="16"/>
        <v>ALLSTATE</v>
      </c>
      <c r="G1383" s="2">
        <v>42.61</v>
      </c>
      <c r="H1383" t="str">
        <f t="shared" si="17"/>
        <v>ALLSTATE</v>
      </c>
    </row>
    <row r="1384" spans="1:8" x14ac:dyDescent="0.25">
      <c r="E1384" t="str">
        <f>"AST201904168721"</f>
        <v>AST201904168721</v>
      </c>
      <c r="F1384" t="str">
        <f t="shared" si="16"/>
        <v>ALLSTATE</v>
      </c>
      <c r="G1384" s="2">
        <v>1284.7</v>
      </c>
      <c r="H1384" t="str">
        <f t="shared" si="17"/>
        <v>ALLSTATE</v>
      </c>
    </row>
    <row r="1385" spans="1:8" x14ac:dyDescent="0.25">
      <c r="E1385" t="str">
        <f>"AST201904168722"</f>
        <v>AST201904168722</v>
      </c>
      <c r="F1385" t="str">
        <f t="shared" si="16"/>
        <v>ALLSTATE</v>
      </c>
      <c r="G1385" s="2">
        <v>42.61</v>
      </c>
      <c r="H1385" t="str">
        <f t="shared" si="17"/>
        <v>ALLSTATE</v>
      </c>
    </row>
    <row r="1386" spans="1:8" x14ac:dyDescent="0.25">
      <c r="A1386" t="s">
        <v>416</v>
      </c>
      <c r="B1386" s="3">
        <v>115</v>
      </c>
      <c r="C1386" s="2">
        <v>27260.27</v>
      </c>
      <c r="D1386" s="1">
        <v>43580</v>
      </c>
      <c r="E1386" t="str">
        <f>"201904248771"</f>
        <v>201904248771</v>
      </c>
      <c r="F1386" t="str">
        <f>"AmWINS APRIL 2019"</f>
        <v>AmWINS APRIL 2019</v>
      </c>
      <c r="G1386" s="2">
        <v>27260.27</v>
      </c>
      <c r="H1386" t="str">
        <f>"AmWINS APRIL 2019"</f>
        <v>AmWINS APRIL 2019</v>
      </c>
    </row>
    <row r="1387" spans="1:8" x14ac:dyDescent="0.25">
      <c r="A1387" t="s">
        <v>417</v>
      </c>
      <c r="B1387" s="3">
        <v>101</v>
      </c>
      <c r="C1387" s="2">
        <v>2650.22</v>
      </c>
      <c r="D1387" s="1">
        <v>43560</v>
      </c>
      <c r="E1387" t="str">
        <f>"DDP201904038357"</f>
        <v>DDP201904038357</v>
      </c>
      <c r="F1387" t="str">
        <f>"AP - TEXAS DISCOUNT DENTAL"</f>
        <v>AP - TEXAS DISCOUNT DENTAL</v>
      </c>
      <c r="G1387" s="2">
        <v>2.7</v>
      </c>
      <c r="H1387" t="str">
        <f>"AP - TEXAS DISCOUNT DENTAL"</f>
        <v>AP - TEXAS DISCOUNT DENTAL</v>
      </c>
    </row>
    <row r="1388" spans="1:8" x14ac:dyDescent="0.25">
      <c r="E1388" t="str">
        <f>"DHM201904038357"</f>
        <v>DHM201904038357</v>
      </c>
      <c r="F1388" t="str">
        <f>"AP - DENTAL HMO"</f>
        <v>AP - DENTAL HMO</v>
      </c>
      <c r="G1388" s="2">
        <v>51.8</v>
      </c>
      <c r="H1388" t="str">
        <f>"AP - DENTAL HMO"</f>
        <v>AP - DENTAL HMO</v>
      </c>
    </row>
    <row r="1389" spans="1:8" x14ac:dyDescent="0.25">
      <c r="E1389" t="str">
        <f>"DTX201904038357"</f>
        <v>DTX201904038357</v>
      </c>
      <c r="F1389" t="str">
        <f>"AP - TEXAS DENTAL"</f>
        <v>AP - TEXAS DENTAL</v>
      </c>
      <c r="G1389" s="2">
        <v>388.16</v>
      </c>
      <c r="H1389" t="str">
        <f>"AP - TEXAS DENTAL"</f>
        <v>AP - TEXAS DENTAL</v>
      </c>
    </row>
    <row r="1390" spans="1:8" x14ac:dyDescent="0.25">
      <c r="E1390" t="str">
        <f>"FD 201904038357"</f>
        <v>FD 201904038357</v>
      </c>
      <c r="F1390" t="str">
        <f>"AP - FT DEARBORN PRE-TAX"</f>
        <v>AP - FT DEARBORN PRE-TAX</v>
      </c>
      <c r="G1390" s="2">
        <v>138.33000000000001</v>
      </c>
      <c r="H1390" t="str">
        <f>"AP - FT DEARBORN PRE-TAX"</f>
        <v>AP - FT DEARBORN PRE-TAX</v>
      </c>
    </row>
    <row r="1391" spans="1:8" x14ac:dyDescent="0.25">
      <c r="E1391" t="str">
        <f>"FDT201904038357"</f>
        <v>FDT201904038357</v>
      </c>
      <c r="F1391" t="str">
        <f>"AP - FT DEARBORN AFTER TAX"</f>
        <v>AP - FT DEARBORN AFTER TAX</v>
      </c>
      <c r="G1391" s="2">
        <v>64.39</v>
      </c>
      <c r="H1391" t="str">
        <f>"AP - FT DEARBORN AFTER TAX"</f>
        <v>AP - FT DEARBORN AFTER TAX</v>
      </c>
    </row>
    <row r="1392" spans="1:8" x14ac:dyDescent="0.25">
      <c r="E1392" t="str">
        <f>"FLX201904038357"</f>
        <v>FLX201904038357</v>
      </c>
      <c r="F1392" t="str">
        <f>"AP - TEX FLEX"</f>
        <v>AP - TEX FLEX</v>
      </c>
      <c r="G1392" s="2">
        <v>220</v>
      </c>
      <c r="H1392" t="str">
        <f>"AP - TEX FLEX"</f>
        <v>AP - TEX FLEX</v>
      </c>
    </row>
    <row r="1393" spans="1:8" x14ac:dyDescent="0.25">
      <c r="E1393" t="str">
        <f>"MHS201904038357"</f>
        <v>MHS201904038357</v>
      </c>
      <c r="F1393" t="str">
        <f>"AP - HEALTH SELECT MEDICAL"</f>
        <v>AP - HEALTH SELECT MEDICAL</v>
      </c>
      <c r="G1393" s="2">
        <v>1316.8</v>
      </c>
      <c r="H1393" t="str">
        <f>"AP - HEALTH SELECT MEDICAL"</f>
        <v>AP - HEALTH SELECT MEDICAL</v>
      </c>
    </row>
    <row r="1394" spans="1:8" x14ac:dyDescent="0.25">
      <c r="E1394" t="str">
        <f>"MSW201904038357"</f>
        <v>MSW201904038357</v>
      </c>
      <c r="F1394" t="str">
        <f>"AP - SCOTT &amp; WHITE MEDICAL"</f>
        <v>AP - SCOTT &amp; WHITE MEDICAL</v>
      </c>
      <c r="G1394" s="2">
        <v>431.02</v>
      </c>
      <c r="H1394" t="str">
        <f>"AP - SCOTT &amp; WHITE MEDICAL"</f>
        <v>AP - SCOTT &amp; WHITE MEDICAL</v>
      </c>
    </row>
    <row r="1395" spans="1:8" x14ac:dyDescent="0.25">
      <c r="E1395" t="str">
        <f>"SPE201904038357"</f>
        <v>SPE201904038357</v>
      </c>
      <c r="F1395" t="str">
        <f>"AP - STATE VISION"</f>
        <v>AP - STATE VISION</v>
      </c>
      <c r="G1395" s="2">
        <v>37.020000000000003</v>
      </c>
      <c r="H1395" t="str">
        <f>"AP - STATE VISION"</f>
        <v>AP - STATE VISION</v>
      </c>
    </row>
    <row r="1396" spans="1:8" x14ac:dyDescent="0.25">
      <c r="A1396" t="s">
        <v>417</v>
      </c>
      <c r="B1396" s="3">
        <v>109</v>
      </c>
      <c r="C1396" s="2">
        <v>2650.22</v>
      </c>
      <c r="D1396" s="1">
        <v>43573</v>
      </c>
      <c r="E1396" t="str">
        <f>"DDP201904168723"</f>
        <v>DDP201904168723</v>
      </c>
      <c r="F1396" t="str">
        <f>"AP - TEXAS DISCOUNT DENTAL"</f>
        <v>AP - TEXAS DISCOUNT DENTAL</v>
      </c>
      <c r="G1396" s="2">
        <v>2.7</v>
      </c>
      <c r="H1396" t="str">
        <f>"AP - TEXAS DISCOUNT DENTAL"</f>
        <v>AP - TEXAS DISCOUNT DENTAL</v>
      </c>
    </row>
    <row r="1397" spans="1:8" x14ac:dyDescent="0.25">
      <c r="E1397" t="str">
        <f>"DHM201904168723"</f>
        <v>DHM201904168723</v>
      </c>
      <c r="F1397" t="str">
        <f>"AP - DENTAL HMO"</f>
        <v>AP - DENTAL HMO</v>
      </c>
      <c r="G1397" s="2">
        <v>51.8</v>
      </c>
      <c r="H1397" t="str">
        <f>"AP - DENTAL HMO"</f>
        <v>AP - DENTAL HMO</v>
      </c>
    </row>
    <row r="1398" spans="1:8" x14ac:dyDescent="0.25">
      <c r="E1398" t="str">
        <f>"DTX201904168723"</f>
        <v>DTX201904168723</v>
      </c>
      <c r="F1398" t="str">
        <f>"AP - TEXAS DENTAL"</f>
        <v>AP - TEXAS DENTAL</v>
      </c>
      <c r="G1398" s="2">
        <v>388.16</v>
      </c>
      <c r="H1398" t="str">
        <f>"AP - TEXAS DENTAL"</f>
        <v>AP - TEXAS DENTAL</v>
      </c>
    </row>
    <row r="1399" spans="1:8" x14ac:dyDescent="0.25">
      <c r="E1399" t="str">
        <f>"FD 201904168723"</f>
        <v>FD 201904168723</v>
      </c>
      <c r="F1399" t="str">
        <f>"AP - FT DEARBORN PRE-TAX"</f>
        <v>AP - FT DEARBORN PRE-TAX</v>
      </c>
      <c r="G1399" s="2">
        <v>138.33000000000001</v>
      </c>
      <c r="H1399" t="str">
        <f>"AP - FT DEARBORN PRE-TAX"</f>
        <v>AP - FT DEARBORN PRE-TAX</v>
      </c>
    </row>
    <row r="1400" spans="1:8" x14ac:dyDescent="0.25">
      <c r="E1400" t="str">
        <f>"FDT201904168723"</f>
        <v>FDT201904168723</v>
      </c>
      <c r="F1400" t="str">
        <f>"AP - FT DEARBORN AFTER TAX"</f>
        <v>AP - FT DEARBORN AFTER TAX</v>
      </c>
      <c r="G1400" s="2">
        <v>64.39</v>
      </c>
      <c r="H1400" t="str">
        <f>"AP - FT DEARBORN AFTER TAX"</f>
        <v>AP - FT DEARBORN AFTER TAX</v>
      </c>
    </row>
    <row r="1401" spans="1:8" x14ac:dyDescent="0.25">
      <c r="E1401" t="str">
        <f>"FLX201904168723"</f>
        <v>FLX201904168723</v>
      </c>
      <c r="F1401" t="str">
        <f>"AP - TEX FLEX"</f>
        <v>AP - TEX FLEX</v>
      </c>
      <c r="G1401" s="2">
        <v>220</v>
      </c>
      <c r="H1401" t="str">
        <f>"AP - TEX FLEX"</f>
        <v>AP - TEX FLEX</v>
      </c>
    </row>
    <row r="1402" spans="1:8" x14ac:dyDescent="0.25">
      <c r="E1402" t="str">
        <f>"MHS201904168723"</f>
        <v>MHS201904168723</v>
      </c>
      <c r="F1402" t="str">
        <f>"AP - HEALTH SELECT MEDICAL"</f>
        <v>AP - HEALTH SELECT MEDICAL</v>
      </c>
      <c r="G1402" s="2">
        <v>1316.8</v>
      </c>
      <c r="H1402" t="str">
        <f>"AP - HEALTH SELECT MEDICAL"</f>
        <v>AP - HEALTH SELECT MEDICAL</v>
      </c>
    </row>
    <row r="1403" spans="1:8" x14ac:dyDescent="0.25">
      <c r="E1403" t="str">
        <f>"MSW201904168723"</f>
        <v>MSW201904168723</v>
      </c>
      <c r="F1403" t="str">
        <f>"AP - SCOTT &amp; WHITE MEDICAL"</f>
        <v>AP - SCOTT &amp; WHITE MEDICAL</v>
      </c>
      <c r="G1403" s="2">
        <v>431.02</v>
      </c>
      <c r="H1403" t="str">
        <f>"AP - SCOTT &amp; WHITE MEDICAL"</f>
        <v>AP - SCOTT &amp; WHITE MEDICAL</v>
      </c>
    </row>
    <row r="1404" spans="1:8" x14ac:dyDescent="0.25">
      <c r="E1404" t="str">
        <f>"SPE201904168723"</f>
        <v>SPE201904168723</v>
      </c>
      <c r="F1404" t="str">
        <f>"AP - STATE VISION"</f>
        <v>AP - STATE VISION</v>
      </c>
      <c r="G1404" s="2">
        <v>37.020000000000003</v>
      </c>
      <c r="H1404" t="str">
        <f>"AP - STATE VISION"</f>
        <v>AP - STATE VISION</v>
      </c>
    </row>
    <row r="1405" spans="1:8" x14ac:dyDescent="0.25">
      <c r="A1405" t="s">
        <v>418</v>
      </c>
      <c r="B1405" s="3">
        <v>120</v>
      </c>
      <c r="C1405" s="2">
        <v>4291.97</v>
      </c>
      <c r="D1405" s="1">
        <v>43579</v>
      </c>
      <c r="E1405" t="str">
        <f>"201904248775"</f>
        <v>201904248775</v>
      </c>
      <c r="F1405" t="str">
        <f>"Dwaylon Ov PD on bill in March"</f>
        <v>Dwaylon Ov PD on bill in March</v>
      </c>
      <c r="G1405" s="2">
        <v>-53.26</v>
      </c>
      <c r="H1405" t="str">
        <f>"Dwaylon Ov PD on bill in March"</f>
        <v>Dwaylon Ov PD on bill in March</v>
      </c>
    </row>
    <row r="1406" spans="1:8" x14ac:dyDescent="0.25">
      <c r="E1406" t="str">
        <f>"201904248776"</f>
        <v>201904248776</v>
      </c>
      <c r="F1406" t="str">
        <f>"Katie Newton Ov Pd March 2019"</f>
        <v>Katie Newton Ov Pd March 2019</v>
      </c>
      <c r="G1406" s="2">
        <v>-35.31</v>
      </c>
      <c r="H1406" t="str">
        <f>"Katie Newton Ov Pd March 2019"</f>
        <v>Katie Newton Ov Pd March 2019</v>
      </c>
    </row>
    <row r="1407" spans="1:8" x14ac:dyDescent="0.25">
      <c r="E1407" t="str">
        <f>"201904248777"</f>
        <v>201904248777</v>
      </c>
      <c r="F1407" t="str">
        <f>"ROUND MARCH 2019"</f>
        <v>ROUND MARCH 2019</v>
      </c>
      <c r="G1407" s="2">
        <v>0.5</v>
      </c>
      <c r="H1407" t="str">
        <f>"ROUND MARCH 2019"</f>
        <v>ROUND MARCH 2019</v>
      </c>
    </row>
    <row r="1408" spans="1:8" x14ac:dyDescent="0.25">
      <c r="E1408" t="str">
        <f>"201904248778"</f>
        <v>201904248778</v>
      </c>
      <c r="F1408" t="str">
        <f>"DANETTE PEREZ FEB 2019"</f>
        <v>DANETTE PEREZ FEB 2019</v>
      </c>
      <c r="G1408" s="2">
        <v>18.39</v>
      </c>
      <c r="H1408" t="str">
        <f>"DANETTE PEREZ FEB 2019"</f>
        <v>DANETTE PEREZ FEB 2019</v>
      </c>
    </row>
    <row r="1409" spans="5:8" x14ac:dyDescent="0.25">
      <c r="E1409" t="str">
        <f>"CL 201904038355"</f>
        <v>CL 201904038355</v>
      </c>
      <c r="F1409" t="str">
        <f t="shared" ref="F1409:F1428" si="18">"COLONIAL"</f>
        <v>COLONIAL</v>
      </c>
      <c r="G1409" s="2">
        <v>655.96</v>
      </c>
      <c r="H1409" t="str">
        <f t="shared" ref="H1409:H1428" si="19">"COLONIAL"</f>
        <v>COLONIAL</v>
      </c>
    </row>
    <row r="1410" spans="5:8" x14ac:dyDescent="0.25">
      <c r="E1410" t="str">
        <f>"CL 201904038356"</f>
        <v>CL 201904038356</v>
      </c>
      <c r="F1410" t="str">
        <f t="shared" si="18"/>
        <v>COLONIAL</v>
      </c>
      <c r="G1410" s="2">
        <v>14.49</v>
      </c>
      <c r="H1410" t="str">
        <f t="shared" si="19"/>
        <v>COLONIAL</v>
      </c>
    </row>
    <row r="1411" spans="5:8" x14ac:dyDescent="0.25">
      <c r="E1411" t="str">
        <f>"CL 201904168721"</f>
        <v>CL 201904168721</v>
      </c>
      <c r="F1411" t="str">
        <f t="shared" si="18"/>
        <v>COLONIAL</v>
      </c>
      <c r="G1411" s="2">
        <v>655.96</v>
      </c>
      <c r="H1411" t="str">
        <f t="shared" si="19"/>
        <v>COLONIAL</v>
      </c>
    </row>
    <row r="1412" spans="5:8" x14ac:dyDescent="0.25">
      <c r="E1412" t="str">
        <f>"CL 201904168722"</f>
        <v>CL 201904168722</v>
      </c>
      <c r="F1412" t="str">
        <f t="shared" si="18"/>
        <v>COLONIAL</v>
      </c>
      <c r="G1412" s="2">
        <v>14.49</v>
      </c>
      <c r="H1412" t="str">
        <f t="shared" si="19"/>
        <v>COLONIAL</v>
      </c>
    </row>
    <row r="1413" spans="5:8" x14ac:dyDescent="0.25">
      <c r="E1413" t="str">
        <f>"CLC201904038355"</f>
        <v>CLC201904038355</v>
      </c>
      <c r="F1413" t="str">
        <f t="shared" si="18"/>
        <v>COLONIAL</v>
      </c>
      <c r="G1413" s="2">
        <v>33.99</v>
      </c>
      <c r="H1413" t="str">
        <f t="shared" si="19"/>
        <v>COLONIAL</v>
      </c>
    </row>
    <row r="1414" spans="5:8" x14ac:dyDescent="0.25">
      <c r="E1414" t="str">
        <f>"CLC201904168721"</f>
        <v>CLC201904168721</v>
      </c>
      <c r="F1414" t="str">
        <f t="shared" si="18"/>
        <v>COLONIAL</v>
      </c>
      <c r="G1414" s="2">
        <v>33.99</v>
      </c>
      <c r="H1414" t="str">
        <f t="shared" si="19"/>
        <v>COLONIAL</v>
      </c>
    </row>
    <row r="1415" spans="5:8" x14ac:dyDescent="0.25">
      <c r="E1415" t="str">
        <f>"CLI201904038355"</f>
        <v>CLI201904038355</v>
      </c>
      <c r="F1415" t="str">
        <f t="shared" si="18"/>
        <v>COLONIAL</v>
      </c>
      <c r="G1415" s="2">
        <v>540.58000000000004</v>
      </c>
      <c r="H1415" t="str">
        <f t="shared" si="19"/>
        <v>COLONIAL</v>
      </c>
    </row>
    <row r="1416" spans="5:8" x14ac:dyDescent="0.25">
      <c r="E1416" t="str">
        <f>"CLI201904168721"</f>
        <v>CLI201904168721</v>
      </c>
      <c r="F1416" t="str">
        <f t="shared" si="18"/>
        <v>COLONIAL</v>
      </c>
      <c r="G1416" s="2">
        <v>540.58000000000004</v>
      </c>
      <c r="H1416" t="str">
        <f t="shared" si="19"/>
        <v>COLONIAL</v>
      </c>
    </row>
    <row r="1417" spans="5:8" x14ac:dyDescent="0.25">
      <c r="E1417" t="str">
        <f>"CLK201904038355"</f>
        <v>CLK201904038355</v>
      </c>
      <c r="F1417" t="str">
        <f t="shared" si="18"/>
        <v>COLONIAL</v>
      </c>
      <c r="G1417" s="2">
        <v>27.09</v>
      </c>
      <c r="H1417" t="str">
        <f t="shared" si="19"/>
        <v>COLONIAL</v>
      </c>
    </row>
    <row r="1418" spans="5:8" x14ac:dyDescent="0.25">
      <c r="E1418" t="str">
        <f>"CLK201904168721"</f>
        <v>CLK201904168721</v>
      </c>
      <c r="F1418" t="str">
        <f t="shared" si="18"/>
        <v>COLONIAL</v>
      </c>
      <c r="G1418" s="2">
        <v>27.09</v>
      </c>
      <c r="H1418" t="str">
        <f t="shared" si="19"/>
        <v>COLONIAL</v>
      </c>
    </row>
    <row r="1419" spans="5:8" x14ac:dyDescent="0.25">
      <c r="E1419" t="str">
        <f>"CLS201904038355"</f>
        <v>CLS201904038355</v>
      </c>
      <c r="F1419" t="str">
        <f t="shared" si="18"/>
        <v>COLONIAL</v>
      </c>
      <c r="G1419" s="2">
        <v>335.13</v>
      </c>
      <c r="H1419" t="str">
        <f t="shared" si="19"/>
        <v>COLONIAL</v>
      </c>
    </row>
    <row r="1420" spans="5:8" x14ac:dyDescent="0.25">
      <c r="E1420" t="str">
        <f>"CLS201904038356"</f>
        <v>CLS201904038356</v>
      </c>
      <c r="F1420" t="str">
        <f t="shared" si="18"/>
        <v>COLONIAL</v>
      </c>
      <c r="G1420" s="2">
        <v>28.57</v>
      </c>
      <c r="H1420" t="str">
        <f t="shared" si="19"/>
        <v>COLONIAL</v>
      </c>
    </row>
    <row r="1421" spans="5:8" x14ac:dyDescent="0.25">
      <c r="E1421" t="str">
        <f>"CLS201904168721"</f>
        <v>CLS201904168721</v>
      </c>
      <c r="F1421" t="str">
        <f t="shared" si="18"/>
        <v>COLONIAL</v>
      </c>
      <c r="G1421" s="2">
        <v>335.13</v>
      </c>
      <c r="H1421" t="str">
        <f t="shared" si="19"/>
        <v>COLONIAL</v>
      </c>
    </row>
    <row r="1422" spans="5:8" x14ac:dyDescent="0.25">
      <c r="E1422" t="str">
        <f>"CLS201904168722"</f>
        <v>CLS201904168722</v>
      </c>
      <c r="F1422" t="str">
        <f t="shared" si="18"/>
        <v>COLONIAL</v>
      </c>
      <c r="G1422" s="2">
        <v>28.57</v>
      </c>
      <c r="H1422" t="str">
        <f t="shared" si="19"/>
        <v>COLONIAL</v>
      </c>
    </row>
    <row r="1423" spans="5:8" x14ac:dyDescent="0.25">
      <c r="E1423" t="str">
        <f>"CLT201904038355"</f>
        <v>CLT201904038355</v>
      </c>
      <c r="F1423" t="str">
        <f t="shared" si="18"/>
        <v>COLONIAL</v>
      </c>
      <c r="G1423" s="2">
        <v>300.85000000000002</v>
      </c>
      <c r="H1423" t="str">
        <f t="shared" si="19"/>
        <v>COLONIAL</v>
      </c>
    </row>
    <row r="1424" spans="5:8" x14ac:dyDescent="0.25">
      <c r="E1424" t="str">
        <f>"CLT201904168721"</f>
        <v>CLT201904168721</v>
      </c>
      <c r="F1424" t="str">
        <f t="shared" si="18"/>
        <v>COLONIAL</v>
      </c>
      <c r="G1424" s="2">
        <v>300.85000000000002</v>
      </c>
      <c r="H1424" t="str">
        <f t="shared" si="19"/>
        <v>COLONIAL</v>
      </c>
    </row>
    <row r="1425" spans="1:8" x14ac:dyDescent="0.25">
      <c r="E1425" t="str">
        <f>"CLU201904038355"</f>
        <v>CLU201904038355</v>
      </c>
      <c r="F1425" t="str">
        <f t="shared" si="18"/>
        <v>COLONIAL</v>
      </c>
      <c r="G1425" s="2">
        <v>111.55</v>
      </c>
      <c r="H1425" t="str">
        <f t="shared" si="19"/>
        <v>COLONIAL</v>
      </c>
    </row>
    <row r="1426" spans="1:8" x14ac:dyDescent="0.25">
      <c r="E1426" t="str">
        <f>"CLU201904168721"</f>
        <v>CLU201904168721</v>
      </c>
      <c r="F1426" t="str">
        <f t="shared" si="18"/>
        <v>COLONIAL</v>
      </c>
      <c r="G1426" s="2">
        <v>106.54</v>
      </c>
      <c r="H1426" t="str">
        <f t="shared" si="19"/>
        <v>COLONIAL</v>
      </c>
    </row>
    <row r="1427" spans="1:8" x14ac:dyDescent="0.25">
      <c r="E1427" t="str">
        <f>"CLW201904038355"</f>
        <v>CLW201904038355</v>
      </c>
      <c r="F1427" t="str">
        <f t="shared" si="18"/>
        <v>COLONIAL</v>
      </c>
      <c r="G1427" s="2">
        <v>141.81</v>
      </c>
      <c r="H1427" t="str">
        <f t="shared" si="19"/>
        <v>COLONIAL</v>
      </c>
    </row>
    <row r="1428" spans="1:8" x14ac:dyDescent="0.25">
      <c r="E1428" t="str">
        <f>"CLW201904168721"</f>
        <v>CLW201904168721</v>
      </c>
      <c r="F1428" t="str">
        <f t="shared" si="18"/>
        <v>COLONIAL</v>
      </c>
      <c r="G1428" s="2">
        <v>128.43</v>
      </c>
      <c r="H1428" t="str">
        <f t="shared" si="19"/>
        <v>COLONIAL</v>
      </c>
    </row>
    <row r="1429" spans="1:8" x14ac:dyDescent="0.25">
      <c r="A1429" t="s">
        <v>111</v>
      </c>
      <c r="B1429" s="3">
        <v>102</v>
      </c>
      <c r="C1429" s="2">
        <v>7005.86</v>
      </c>
      <c r="D1429" s="1">
        <v>43560</v>
      </c>
      <c r="E1429" t="str">
        <f>"CPI201904038355"</f>
        <v>CPI201904038355</v>
      </c>
      <c r="F1429" t="str">
        <f>"DEFERRED COMP 457B PAYABLE"</f>
        <v>DEFERRED COMP 457B PAYABLE</v>
      </c>
      <c r="G1429" s="2">
        <v>6898.36</v>
      </c>
      <c r="H1429" t="str">
        <f>"DEFERRED COMP 457B PAYABLE"</f>
        <v>DEFERRED COMP 457B PAYABLE</v>
      </c>
    </row>
    <row r="1430" spans="1:8" x14ac:dyDescent="0.25">
      <c r="E1430" t="str">
        <f>"CPI201904038356"</f>
        <v>CPI201904038356</v>
      </c>
      <c r="F1430" t="str">
        <f>"DEFERRED COMP 457B PAYABLE"</f>
        <v>DEFERRED COMP 457B PAYABLE</v>
      </c>
      <c r="G1430" s="2">
        <v>107.5</v>
      </c>
      <c r="H1430" t="str">
        <f>"DEFERRED COMP 457B PAYABLE"</f>
        <v>DEFERRED COMP 457B PAYABLE</v>
      </c>
    </row>
    <row r="1431" spans="1:8" x14ac:dyDescent="0.25">
      <c r="A1431" t="s">
        <v>111</v>
      </c>
      <c r="B1431" s="3">
        <v>110</v>
      </c>
      <c r="C1431" s="2">
        <v>7005.88</v>
      </c>
      <c r="D1431" s="1">
        <v>43573</v>
      </c>
      <c r="E1431" t="str">
        <f>"CPI201904168721"</f>
        <v>CPI201904168721</v>
      </c>
      <c r="F1431" t="str">
        <f>"DEFERRED COMP 457B PAYABLE"</f>
        <v>DEFERRED COMP 457B PAYABLE</v>
      </c>
      <c r="G1431" s="2">
        <v>6898.38</v>
      </c>
      <c r="H1431" t="str">
        <f>"DEFERRED COMP 457B PAYABLE"</f>
        <v>DEFERRED COMP 457B PAYABLE</v>
      </c>
    </row>
    <row r="1432" spans="1:8" x14ac:dyDescent="0.25">
      <c r="E1432" t="str">
        <f>"CPI201904168722"</f>
        <v>CPI201904168722</v>
      </c>
      <c r="F1432" t="str">
        <f>"DEFERRED COMP 457B PAYABLE"</f>
        <v>DEFERRED COMP 457B PAYABLE</v>
      </c>
      <c r="G1432" s="2">
        <v>107.5</v>
      </c>
      <c r="H1432" t="str">
        <f>"DEFERRED COMP 457B PAYABLE"</f>
        <v>DEFERRED COMP 457B PAYABLE</v>
      </c>
    </row>
    <row r="1433" spans="1:8" x14ac:dyDescent="0.25">
      <c r="A1433" t="s">
        <v>419</v>
      </c>
      <c r="B1433" s="3">
        <v>47386</v>
      </c>
      <c r="C1433" s="2">
        <v>853.85</v>
      </c>
      <c r="D1433" s="1">
        <v>43560</v>
      </c>
      <c r="E1433" t="str">
        <f>"B13201904038355"</f>
        <v>B13201904038355</v>
      </c>
      <c r="F1433" t="str">
        <f>"Rosa Warren 15-10357-TMD"</f>
        <v>Rosa Warren 15-10357-TMD</v>
      </c>
      <c r="G1433" s="2">
        <v>853.85</v>
      </c>
      <c r="H1433" t="str">
        <f>"Rosa Warren 15-10357-TMD"</f>
        <v>Rosa Warren 15-10357-TMD</v>
      </c>
    </row>
    <row r="1434" spans="1:8" x14ac:dyDescent="0.25">
      <c r="A1434" t="s">
        <v>419</v>
      </c>
      <c r="B1434" s="3">
        <v>47409</v>
      </c>
      <c r="C1434" s="2">
        <v>853.85</v>
      </c>
      <c r="D1434" s="1">
        <v>43573</v>
      </c>
      <c r="E1434" t="str">
        <f>"B13201904168721"</f>
        <v>B13201904168721</v>
      </c>
      <c r="F1434" t="str">
        <f>"Rosa Warren 15-10357-TMD"</f>
        <v>Rosa Warren 15-10357-TMD</v>
      </c>
      <c r="G1434" s="2">
        <v>853.85</v>
      </c>
      <c r="H1434" t="str">
        <f>"Rosa Warren 15-10357-TMD"</f>
        <v>Rosa Warren 15-10357-TMD</v>
      </c>
    </row>
    <row r="1435" spans="1:8" x14ac:dyDescent="0.25">
      <c r="A1435" t="s">
        <v>420</v>
      </c>
      <c r="B1435" s="3">
        <v>116</v>
      </c>
      <c r="C1435" s="2">
        <v>32910.75</v>
      </c>
      <c r="D1435" s="1">
        <v>43580</v>
      </c>
      <c r="E1435" t="str">
        <f>"201904238734"</f>
        <v>201904238734</v>
      </c>
      <c r="F1435" t="str">
        <f>"GUARDIAN CREDIT FROM 2017"</f>
        <v>GUARDIAN CREDIT FROM 2017</v>
      </c>
      <c r="G1435" s="2">
        <v>-7354.95</v>
      </c>
      <c r="H1435" t="str">
        <f>"GUARDIAN CREDIT FROM 2017"</f>
        <v>GUARDIAN CREDIT FROM 2017</v>
      </c>
    </row>
    <row r="1436" spans="1:8" x14ac:dyDescent="0.25">
      <c r="E1436" t="str">
        <f>"201904238735"</f>
        <v>201904238735</v>
      </c>
      <c r="F1436" t="str">
        <f>"GUARDIAN ADJUSTMENT"</f>
        <v>GUARDIAN ADJUSTMENT</v>
      </c>
      <c r="G1436" s="2">
        <v>-363.07</v>
      </c>
      <c r="H1436" t="str">
        <f>"GUARDIAN ADJUSTMENT"</f>
        <v>GUARDIAN ADJUSTMENT</v>
      </c>
    </row>
    <row r="1437" spans="1:8" x14ac:dyDescent="0.25">
      <c r="E1437" t="str">
        <f>"201904238731"</f>
        <v>201904238731</v>
      </c>
      <c r="F1437" t="str">
        <f>"RETIREE GUARDIAN DENTAL"</f>
        <v>RETIREE GUARDIAN DENTAL</v>
      </c>
      <c r="G1437" s="2">
        <v>3272.9</v>
      </c>
      <c r="H1437" t="str">
        <f>"RETIREE GUARDIAN DENTAL"</f>
        <v>RETIREE GUARDIAN DENTAL</v>
      </c>
    </row>
    <row r="1438" spans="1:8" x14ac:dyDescent="0.25">
      <c r="E1438" t="str">
        <f>"201904238732"</f>
        <v>201904238732</v>
      </c>
      <c r="F1438" t="str">
        <f>"RETIREE GUARDIAN VISION"</f>
        <v>RETIREE GUARDIAN VISION</v>
      </c>
      <c r="G1438" s="2">
        <v>126.1</v>
      </c>
      <c r="H1438" t="str">
        <f>"RETIREE GUARDIAN VISION"</f>
        <v>RETIREE GUARDIAN VISION</v>
      </c>
    </row>
    <row r="1439" spans="1:8" x14ac:dyDescent="0.25">
      <c r="E1439" t="str">
        <f>"201904238733"</f>
        <v>201904238733</v>
      </c>
      <c r="F1439" t="str">
        <f>"RETIREE GUARDIAN LIFE"</f>
        <v>RETIREE GUARDIAN LIFE</v>
      </c>
      <c r="G1439" s="2">
        <v>138.16</v>
      </c>
      <c r="H1439" t="str">
        <f>"RETIREE GUARDIAN LIFE"</f>
        <v>RETIREE GUARDIAN LIFE</v>
      </c>
    </row>
    <row r="1440" spans="1:8" x14ac:dyDescent="0.25">
      <c r="E1440" t="str">
        <f>"ADC201904038355"</f>
        <v>ADC201904038355</v>
      </c>
      <c r="F1440" t="str">
        <f t="shared" ref="F1440:F1452" si="20">"GUARDIAN"</f>
        <v>GUARDIAN</v>
      </c>
      <c r="G1440" s="2">
        <v>4.5199999999999996</v>
      </c>
      <c r="H1440" t="str">
        <f t="shared" ref="H1440:H1503" si="21">"GUARDIAN"</f>
        <v>GUARDIAN</v>
      </c>
    </row>
    <row r="1441" spans="5:8" x14ac:dyDescent="0.25">
      <c r="E1441" t="str">
        <f>"ADC201904038356"</f>
        <v>ADC201904038356</v>
      </c>
      <c r="F1441" t="str">
        <f t="shared" si="20"/>
        <v>GUARDIAN</v>
      </c>
      <c r="G1441" s="2">
        <v>0.16</v>
      </c>
      <c r="H1441" t="str">
        <f t="shared" si="21"/>
        <v>GUARDIAN</v>
      </c>
    </row>
    <row r="1442" spans="5:8" x14ac:dyDescent="0.25">
      <c r="E1442" t="str">
        <f>"ADC201904168721"</f>
        <v>ADC201904168721</v>
      </c>
      <c r="F1442" t="str">
        <f t="shared" si="20"/>
        <v>GUARDIAN</v>
      </c>
      <c r="G1442" s="2">
        <v>4.37</v>
      </c>
      <c r="H1442" t="str">
        <f t="shared" si="21"/>
        <v>GUARDIAN</v>
      </c>
    </row>
    <row r="1443" spans="5:8" x14ac:dyDescent="0.25">
      <c r="E1443" t="str">
        <f>"ADC201904168722"</f>
        <v>ADC201904168722</v>
      </c>
      <c r="F1443" t="str">
        <f t="shared" si="20"/>
        <v>GUARDIAN</v>
      </c>
      <c r="G1443" s="2">
        <v>0.16</v>
      </c>
      <c r="H1443" t="str">
        <f t="shared" si="21"/>
        <v>GUARDIAN</v>
      </c>
    </row>
    <row r="1444" spans="5:8" x14ac:dyDescent="0.25">
      <c r="E1444" t="str">
        <f>"ADE201904038355"</f>
        <v>ADE201904038355</v>
      </c>
      <c r="F1444" t="str">
        <f t="shared" si="20"/>
        <v>GUARDIAN</v>
      </c>
      <c r="G1444" s="2">
        <v>215.82</v>
      </c>
      <c r="H1444" t="str">
        <f t="shared" si="21"/>
        <v>GUARDIAN</v>
      </c>
    </row>
    <row r="1445" spans="5:8" x14ac:dyDescent="0.25">
      <c r="E1445" t="str">
        <f>"ADE201904038356"</f>
        <v>ADE201904038356</v>
      </c>
      <c r="F1445" t="str">
        <f t="shared" si="20"/>
        <v>GUARDIAN</v>
      </c>
      <c r="G1445" s="2">
        <v>6.3</v>
      </c>
      <c r="H1445" t="str">
        <f t="shared" si="21"/>
        <v>GUARDIAN</v>
      </c>
    </row>
    <row r="1446" spans="5:8" x14ac:dyDescent="0.25">
      <c r="E1446" t="str">
        <f>"ADE201904168721"</f>
        <v>ADE201904168721</v>
      </c>
      <c r="F1446" t="str">
        <f t="shared" si="20"/>
        <v>GUARDIAN</v>
      </c>
      <c r="G1446" s="2">
        <v>213.96</v>
      </c>
      <c r="H1446" t="str">
        <f t="shared" si="21"/>
        <v>GUARDIAN</v>
      </c>
    </row>
    <row r="1447" spans="5:8" x14ac:dyDescent="0.25">
      <c r="E1447" t="str">
        <f>"ADE201904168722"</f>
        <v>ADE201904168722</v>
      </c>
      <c r="F1447" t="str">
        <f t="shared" si="20"/>
        <v>GUARDIAN</v>
      </c>
      <c r="G1447" s="2">
        <v>6.3</v>
      </c>
      <c r="H1447" t="str">
        <f t="shared" si="21"/>
        <v>GUARDIAN</v>
      </c>
    </row>
    <row r="1448" spans="5:8" x14ac:dyDescent="0.25">
      <c r="E1448" t="str">
        <f>"ADS201904038355"</f>
        <v>ADS201904038355</v>
      </c>
      <c r="F1448" t="str">
        <f t="shared" si="20"/>
        <v>GUARDIAN</v>
      </c>
      <c r="G1448" s="2">
        <v>37.92</v>
      </c>
      <c r="H1448" t="str">
        <f t="shared" si="21"/>
        <v>GUARDIAN</v>
      </c>
    </row>
    <row r="1449" spans="5:8" x14ac:dyDescent="0.25">
      <c r="E1449" t="str">
        <f>"ADS201904038356"</f>
        <v>ADS201904038356</v>
      </c>
      <c r="F1449" t="str">
        <f t="shared" si="20"/>
        <v>GUARDIAN</v>
      </c>
      <c r="G1449" s="2">
        <v>0.53</v>
      </c>
      <c r="H1449" t="str">
        <f t="shared" si="21"/>
        <v>GUARDIAN</v>
      </c>
    </row>
    <row r="1450" spans="5:8" x14ac:dyDescent="0.25">
      <c r="E1450" t="str">
        <f>"ADS201904168721"</f>
        <v>ADS201904168721</v>
      </c>
      <c r="F1450" t="str">
        <f t="shared" si="20"/>
        <v>GUARDIAN</v>
      </c>
      <c r="G1450" s="2">
        <v>36.79</v>
      </c>
      <c r="H1450" t="str">
        <f t="shared" si="21"/>
        <v>GUARDIAN</v>
      </c>
    </row>
    <row r="1451" spans="5:8" x14ac:dyDescent="0.25">
      <c r="E1451" t="str">
        <f>"ADS201904168722"</f>
        <v>ADS201904168722</v>
      </c>
      <c r="F1451" t="str">
        <f t="shared" si="20"/>
        <v>GUARDIAN</v>
      </c>
      <c r="G1451" s="2">
        <v>0.53</v>
      </c>
      <c r="H1451" t="str">
        <f t="shared" si="21"/>
        <v>GUARDIAN</v>
      </c>
    </row>
    <row r="1452" spans="5:8" x14ac:dyDescent="0.25">
      <c r="E1452" t="str">
        <f>"GDC201904038355"</f>
        <v>GDC201904038355</v>
      </c>
      <c r="F1452" t="str">
        <f t="shared" si="20"/>
        <v>GUARDIAN</v>
      </c>
      <c r="G1452" s="2">
        <v>2614.92</v>
      </c>
      <c r="H1452" t="str">
        <f t="shared" si="21"/>
        <v>GUARDIAN</v>
      </c>
    </row>
    <row r="1453" spans="5:8" x14ac:dyDescent="0.25">
      <c r="E1453" t="str">
        <f>""</f>
        <v/>
      </c>
      <c r="F1453" t="str">
        <f>""</f>
        <v/>
      </c>
      <c r="H1453" t="str">
        <f t="shared" si="21"/>
        <v>GUARDIAN</v>
      </c>
    </row>
    <row r="1454" spans="5:8" x14ac:dyDescent="0.25">
      <c r="E1454" t="str">
        <f>""</f>
        <v/>
      </c>
      <c r="F1454" t="str">
        <f>""</f>
        <v/>
      </c>
      <c r="H1454" t="str">
        <f t="shared" si="21"/>
        <v>GUARDIAN</v>
      </c>
    </row>
    <row r="1455" spans="5:8" x14ac:dyDescent="0.25">
      <c r="E1455" t="str">
        <f>""</f>
        <v/>
      </c>
      <c r="F1455" t="str">
        <f>""</f>
        <v/>
      </c>
      <c r="H1455" t="str">
        <f t="shared" si="21"/>
        <v>GUARDIAN</v>
      </c>
    </row>
    <row r="1456" spans="5:8" x14ac:dyDescent="0.25">
      <c r="E1456" t="str">
        <f>""</f>
        <v/>
      </c>
      <c r="F1456" t="str">
        <f>""</f>
        <v/>
      </c>
      <c r="H1456" t="str">
        <f t="shared" si="21"/>
        <v>GUARDIAN</v>
      </c>
    </row>
    <row r="1457" spans="5:8" x14ac:dyDescent="0.25">
      <c r="E1457" t="str">
        <f>""</f>
        <v/>
      </c>
      <c r="F1457" t="str">
        <f>""</f>
        <v/>
      </c>
      <c r="H1457" t="str">
        <f t="shared" si="21"/>
        <v>GUARDIAN</v>
      </c>
    </row>
    <row r="1458" spans="5:8" x14ac:dyDescent="0.25">
      <c r="E1458" t="str">
        <f>""</f>
        <v/>
      </c>
      <c r="F1458" t="str">
        <f>""</f>
        <v/>
      </c>
      <c r="H1458" t="str">
        <f t="shared" si="21"/>
        <v>GUARDIAN</v>
      </c>
    </row>
    <row r="1459" spans="5:8" x14ac:dyDescent="0.25">
      <c r="E1459" t="str">
        <f>""</f>
        <v/>
      </c>
      <c r="F1459" t="str">
        <f>""</f>
        <v/>
      </c>
      <c r="H1459" t="str">
        <f t="shared" si="21"/>
        <v>GUARDIAN</v>
      </c>
    </row>
    <row r="1460" spans="5:8" x14ac:dyDescent="0.25">
      <c r="E1460" t="str">
        <f>""</f>
        <v/>
      </c>
      <c r="F1460" t="str">
        <f>""</f>
        <v/>
      </c>
      <c r="H1460" t="str">
        <f t="shared" si="21"/>
        <v>GUARDIAN</v>
      </c>
    </row>
    <row r="1461" spans="5:8" x14ac:dyDescent="0.25">
      <c r="E1461" t="str">
        <f>""</f>
        <v/>
      </c>
      <c r="F1461" t="str">
        <f>""</f>
        <v/>
      </c>
      <c r="H1461" t="str">
        <f t="shared" si="21"/>
        <v>GUARDIAN</v>
      </c>
    </row>
    <row r="1462" spans="5:8" x14ac:dyDescent="0.25">
      <c r="E1462" t="str">
        <f>""</f>
        <v/>
      </c>
      <c r="F1462" t="str">
        <f>""</f>
        <v/>
      </c>
      <c r="H1462" t="str">
        <f t="shared" si="21"/>
        <v>GUARDIAN</v>
      </c>
    </row>
    <row r="1463" spans="5:8" x14ac:dyDescent="0.25">
      <c r="E1463" t="str">
        <f>""</f>
        <v/>
      </c>
      <c r="F1463" t="str">
        <f>""</f>
        <v/>
      </c>
      <c r="H1463" t="str">
        <f t="shared" si="21"/>
        <v>GUARDIAN</v>
      </c>
    </row>
    <row r="1464" spans="5:8" x14ac:dyDescent="0.25">
      <c r="E1464" t="str">
        <f>""</f>
        <v/>
      </c>
      <c r="F1464" t="str">
        <f>""</f>
        <v/>
      </c>
      <c r="H1464" t="str">
        <f t="shared" si="21"/>
        <v>GUARDIAN</v>
      </c>
    </row>
    <row r="1465" spans="5:8" x14ac:dyDescent="0.25">
      <c r="E1465" t="str">
        <f>""</f>
        <v/>
      </c>
      <c r="F1465" t="str">
        <f>""</f>
        <v/>
      </c>
      <c r="H1465" t="str">
        <f t="shared" si="21"/>
        <v>GUARDIAN</v>
      </c>
    </row>
    <row r="1466" spans="5:8" x14ac:dyDescent="0.25">
      <c r="E1466" t="str">
        <f>""</f>
        <v/>
      </c>
      <c r="F1466" t="str">
        <f>""</f>
        <v/>
      </c>
      <c r="H1466" t="str">
        <f t="shared" si="21"/>
        <v>GUARDIAN</v>
      </c>
    </row>
    <row r="1467" spans="5:8" x14ac:dyDescent="0.25">
      <c r="E1467" t="str">
        <f>""</f>
        <v/>
      </c>
      <c r="F1467" t="str">
        <f>""</f>
        <v/>
      </c>
      <c r="H1467" t="str">
        <f t="shared" si="21"/>
        <v>GUARDIAN</v>
      </c>
    </row>
    <row r="1468" spans="5:8" x14ac:dyDescent="0.25">
      <c r="E1468" t="str">
        <f>""</f>
        <v/>
      </c>
      <c r="F1468" t="str">
        <f>""</f>
        <v/>
      </c>
      <c r="H1468" t="str">
        <f t="shared" si="21"/>
        <v>GUARDIAN</v>
      </c>
    </row>
    <row r="1469" spans="5:8" x14ac:dyDescent="0.25">
      <c r="E1469" t="str">
        <f>""</f>
        <v/>
      </c>
      <c r="F1469" t="str">
        <f>""</f>
        <v/>
      </c>
      <c r="H1469" t="str">
        <f t="shared" si="21"/>
        <v>GUARDIAN</v>
      </c>
    </row>
    <row r="1470" spans="5:8" x14ac:dyDescent="0.25">
      <c r="E1470" t="str">
        <f>""</f>
        <v/>
      </c>
      <c r="F1470" t="str">
        <f>""</f>
        <v/>
      </c>
      <c r="H1470" t="str">
        <f t="shared" si="21"/>
        <v>GUARDIAN</v>
      </c>
    </row>
    <row r="1471" spans="5:8" x14ac:dyDescent="0.25">
      <c r="E1471" t="str">
        <f>""</f>
        <v/>
      </c>
      <c r="F1471" t="str">
        <f>""</f>
        <v/>
      </c>
      <c r="H1471" t="str">
        <f t="shared" si="21"/>
        <v>GUARDIAN</v>
      </c>
    </row>
    <row r="1472" spans="5:8" x14ac:dyDescent="0.25">
      <c r="E1472" t="str">
        <f>""</f>
        <v/>
      </c>
      <c r="F1472" t="str">
        <f>""</f>
        <v/>
      </c>
      <c r="H1472" t="str">
        <f t="shared" si="21"/>
        <v>GUARDIAN</v>
      </c>
    </row>
    <row r="1473" spans="5:8" x14ac:dyDescent="0.25">
      <c r="E1473" t="str">
        <f>""</f>
        <v/>
      </c>
      <c r="F1473" t="str">
        <f>""</f>
        <v/>
      </c>
      <c r="H1473" t="str">
        <f t="shared" si="21"/>
        <v>GUARDIAN</v>
      </c>
    </row>
    <row r="1474" spans="5:8" x14ac:dyDescent="0.25">
      <c r="E1474" t="str">
        <f>""</f>
        <v/>
      </c>
      <c r="F1474" t="str">
        <f>""</f>
        <v/>
      </c>
      <c r="H1474" t="str">
        <f t="shared" si="21"/>
        <v>GUARDIAN</v>
      </c>
    </row>
    <row r="1475" spans="5:8" x14ac:dyDescent="0.25">
      <c r="E1475" t="str">
        <f>""</f>
        <v/>
      </c>
      <c r="F1475" t="str">
        <f>""</f>
        <v/>
      </c>
      <c r="H1475" t="str">
        <f t="shared" si="21"/>
        <v>GUARDIAN</v>
      </c>
    </row>
    <row r="1476" spans="5:8" x14ac:dyDescent="0.25">
      <c r="E1476" t="str">
        <f>""</f>
        <v/>
      </c>
      <c r="F1476" t="str">
        <f>""</f>
        <v/>
      </c>
      <c r="H1476" t="str">
        <f t="shared" si="21"/>
        <v>GUARDIAN</v>
      </c>
    </row>
    <row r="1477" spans="5:8" x14ac:dyDescent="0.25">
      <c r="E1477" t="str">
        <f>""</f>
        <v/>
      </c>
      <c r="F1477" t="str">
        <f>""</f>
        <v/>
      </c>
      <c r="H1477" t="str">
        <f t="shared" si="21"/>
        <v>GUARDIAN</v>
      </c>
    </row>
    <row r="1478" spans="5:8" x14ac:dyDescent="0.25">
      <c r="E1478" t="str">
        <f>""</f>
        <v/>
      </c>
      <c r="F1478" t="str">
        <f>""</f>
        <v/>
      </c>
      <c r="H1478" t="str">
        <f t="shared" si="21"/>
        <v>GUARDIAN</v>
      </c>
    </row>
    <row r="1479" spans="5:8" x14ac:dyDescent="0.25">
      <c r="E1479" t="str">
        <f>""</f>
        <v/>
      </c>
      <c r="F1479" t="str">
        <f>""</f>
        <v/>
      </c>
      <c r="H1479" t="str">
        <f t="shared" si="21"/>
        <v>GUARDIAN</v>
      </c>
    </row>
    <row r="1480" spans="5:8" x14ac:dyDescent="0.25">
      <c r="E1480" t="str">
        <f>""</f>
        <v/>
      </c>
      <c r="F1480" t="str">
        <f>""</f>
        <v/>
      </c>
      <c r="H1480" t="str">
        <f t="shared" si="21"/>
        <v>GUARDIAN</v>
      </c>
    </row>
    <row r="1481" spans="5:8" x14ac:dyDescent="0.25">
      <c r="E1481" t="str">
        <f>""</f>
        <v/>
      </c>
      <c r="F1481" t="str">
        <f>""</f>
        <v/>
      </c>
      <c r="H1481" t="str">
        <f t="shared" si="21"/>
        <v>GUARDIAN</v>
      </c>
    </row>
    <row r="1482" spans="5:8" x14ac:dyDescent="0.25">
      <c r="E1482" t="str">
        <f>""</f>
        <v/>
      </c>
      <c r="F1482" t="str">
        <f>""</f>
        <v/>
      </c>
      <c r="H1482" t="str">
        <f t="shared" si="21"/>
        <v>GUARDIAN</v>
      </c>
    </row>
    <row r="1483" spans="5:8" x14ac:dyDescent="0.25">
      <c r="E1483" t="str">
        <f>"GDC201904038356"</f>
        <v>GDC201904038356</v>
      </c>
      <c r="F1483" t="str">
        <f>"GUARDIAN"</f>
        <v>GUARDIAN</v>
      </c>
      <c r="G1483" s="2">
        <v>135.84</v>
      </c>
      <c r="H1483" t="str">
        <f t="shared" si="21"/>
        <v>GUARDIAN</v>
      </c>
    </row>
    <row r="1484" spans="5:8" x14ac:dyDescent="0.25">
      <c r="E1484" t="str">
        <f>""</f>
        <v/>
      </c>
      <c r="F1484" t="str">
        <f>""</f>
        <v/>
      </c>
      <c r="H1484" t="str">
        <f t="shared" si="21"/>
        <v>GUARDIAN</v>
      </c>
    </row>
    <row r="1485" spans="5:8" x14ac:dyDescent="0.25">
      <c r="E1485" t="str">
        <f>"GDC201904168721"</f>
        <v>GDC201904168721</v>
      </c>
      <c r="F1485" t="str">
        <f>"GUARDIAN"</f>
        <v>GUARDIAN</v>
      </c>
      <c r="G1485" s="2">
        <v>2580.96</v>
      </c>
      <c r="H1485" t="str">
        <f t="shared" si="21"/>
        <v>GUARDIAN</v>
      </c>
    </row>
    <row r="1486" spans="5:8" x14ac:dyDescent="0.25">
      <c r="E1486" t="str">
        <f>""</f>
        <v/>
      </c>
      <c r="F1486" t="str">
        <f>""</f>
        <v/>
      </c>
      <c r="H1486" t="str">
        <f t="shared" si="21"/>
        <v>GUARDIAN</v>
      </c>
    </row>
    <row r="1487" spans="5:8" x14ac:dyDescent="0.25">
      <c r="E1487" t="str">
        <f>""</f>
        <v/>
      </c>
      <c r="F1487" t="str">
        <f>""</f>
        <v/>
      </c>
      <c r="H1487" t="str">
        <f t="shared" si="21"/>
        <v>GUARDIAN</v>
      </c>
    </row>
    <row r="1488" spans="5:8" x14ac:dyDescent="0.25">
      <c r="E1488" t="str">
        <f>""</f>
        <v/>
      </c>
      <c r="F1488" t="str">
        <f>""</f>
        <v/>
      </c>
      <c r="H1488" t="str">
        <f t="shared" si="21"/>
        <v>GUARDIAN</v>
      </c>
    </row>
    <row r="1489" spans="5:8" x14ac:dyDescent="0.25">
      <c r="E1489" t="str">
        <f>""</f>
        <v/>
      </c>
      <c r="F1489" t="str">
        <f>""</f>
        <v/>
      </c>
      <c r="H1489" t="str">
        <f t="shared" si="21"/>
        <v>GUARDIAN</v>
      </c>
    </row>
    <row r="1490" spans="5:8" x14ac:dyDescent="0.25">
      <c r="E1490" t="str">
        <f>""</f>
        <v/>
      </c>
      <c r="F1490" t="str">
        <f>""</f>
        <v/>
      </c>
      <c r="H1490" t="str">
        <f t="shared" si="21"/>
        <v>GUARDIAN</v>
      </c>
    </row>
    <row r="1491" spans="5:8" x14ac:dyDescent="0.25">
      <c r="E1491" t="str">
        <f>""</f>
        <v/>
      </c>
      <c r="F1491" t="str">
        <f>""</f>
        <v/>
      </c>
      <c r="H1491" t="str">
        <f t="shared" si="21"/>
        <v>GUARDIAN</v>
      </c>
    </row>
    <row r="1492" spans="5:8" x14ac:dyDescent="0.25">
      <c r="E1492" t="str">
        <f>""</f>
        <v/>
      </c>
      <c r="F1492" t="str">
        <f>""</f>
        <v/>
      </c>
      <c r="H1492" t="str">
        <f t="shared" si="21"/>
        <v>GUARDIAN</v>
      </c>
    </row>
    <row r="1493" spans="5:8" x14ac:dyDescent="0.25">
      <c r="E1493" t="str">
        <f>""</f>
        <v/>
      </c>
      <c r="F1493" t="str">
        <f>""</f>
        <v/>
      </c>
      <c r="H1493" t="str">
        <f t="shared" si="21"/>
        <v>GUARDIAN</v>
      </c>
    </row>
    <row r="1494" spans="5:8" x14ac:dyDescent="0.25">
      <c r="E1494" t="str">
        <f>""</f>
        <v/>
      </c>
      <c r="F1494" t="str">
        <f>""</f>
        <v/>
      </c>
      <c r="H1494" t="str">
        <f t="shared" si="21"/>
        <v>GUARDIAN</v>
      </c>
    </row>
    <row r="1495" spans="5:8" x14ac:dyDescent="0.25">
      <c r="E1495" t="str">
        <f>""</f>
        <v/>
      </c>
      <c r="F1495" t="str">
        <f>""</f>
        <v/>
      </c>
      <c r="H1495" t="str">
        <f t="shared" si="21"/>
        <v>GUARDIAN</v>
      </c>
    </row>
    <row r="1496" spans="5:8" x14ac:dyDescent="0.25">
      <c r="E1496" t="str">
        <f>""</f>
        <v/>
      </c>
      <c r="F1496" t="str">
        <f>""</f>
        <v/>
      </c>
      <c r="H1496" t="str">
        <f t="shared" si="21"/>
        <v>GUARDIAN</v>
      </c>
    </row>
    <row r="1497" spans="5:8" x14ac:dyDescent="0.25">
      <c r="E1497" t="str">
        <f>""</f>
        <v/>
      </c>
      <c r="F1497" t="str">
        <f>""</f>
        <v/>
      </c>
      <c r="H1497" t="str">
        <f t="shared" si="21"/>
        <v>GUARDIAN</v>
      </c>
    </row>
    <row r="1498" spans="5:8" x14ac:dyDescent="0.25">
      <c r="E1498" t="str">
        <f>""</f>
        <v/>
      </c>
      <c r="F1498" t="str">
        <f>""</f>
        <v/>
      </c>
      <c r="H1498" t="str">
        <f t="shared" si="21"/>
        <v>GUARDIAN</v>
      </c>
    </row>
    <row r="1499" spans="5:8" x14ac:dyDescent="0.25">
      <c r="E1499" t="str">
        <f>""</f>
        <v/>
      </c>
      <c r="F1499" t="str">
        <f>""</f>
        <v/>
      </c>
      <c r="H1499" t="str">
        <f t="shared" si="21"/>
        <v>GUARDIAN</v>
      </c>
    </row>
    <row r="1500" spans="5:8" x14ac:dyDescent="0.25">
      <c r="E1500" t="str">
        <f>""</f>
        <v/>
      </c>
      <c r="F1500" t="str">
        <f>""</f>
        <v/>
      </c>
      <c r="H1500" t="str">
        <f t="shared" si="21"/>
        <v>GUARDIAN</v>
      </c>
    </row>
    <row r="1501" spans="5:8" x14ac:dyDescent="0.25">
      <c r="E1501" t="str">
        <f>""</f>
        <v/>
      </c>
      <c r="F1501" t="str">
        <f>""</f>
        <v/>
      </c>
      <c r="H1501" t="str">
        <f t="shared" si="21"/>
        <v>GUARDIAN</v>
      </c>
    </row>
    <row r="1502" spans="5:8" x14ac:dyDescent="0.25">
      <c r="E1502" t="str">
        <f>""</f>
        <v/>
      </c>
      <c r="F1502" t="str">
        <f>""</f>
        <v/>
      </c>
      <c r="H1502" t="str">
        <f t="shared" si="21"/>
        <v>GUARDIAN</v>
      </c>
    </row>
    <row r="1503" spans="5:8" x14ac:dyDescent="0.25">
      <c r="E1503" t="str">
        <f>""</f>
        <v/>
      </c>
      <c r="F1503" t="str">
        <f>""</f>
        <v/>
      </c>
      <c r="H1503" t="str">
        <f t="shared" si="21"/>
        <v>GUARDIAN</v>
      </c>
    </row>
    <row r="1504" spans="5:8" x14ac:dyDescent="0.25">
      <c r="E1504" t="str">
        <f>""</f>
        <v/>
      </c>
      <c r="F1504" t="str">
        <f>""</f>
        <v/>
      </c>
      <c r="H1504" t="str">
        <f t="shared" ref="H1504:H1567" si="22">"GUARDIAN"</f>
        <v>GUARDIAN</v>
      </c>
    </row>
    <row r="1505" spans="5:8" x14ac:dyDescent="0.25">
      <c r="E1505" t="str">
        <f>""</f>
        <v/>
      </c>
      <c r="F1505" t="str">
        <f>""</f>
        <v/>
      </c>
      <c r="H1505" t="str">
        <f t="shared" si="22"/>
        <v>GUARDIAN</v>
      </c>
    </row>
    <row r="1506" spans="5:8" x14ac:dyDescent="0.25">
      <c r="E1506" t="str">
        <f>""</f>
        <v/>
      </c>
      <c r="F1506" t="str">
        <f>""</f>
        <v/>
      </c>
      <c r="H1506" t="str">
        <f t="shared" si="22"/>
        <v>GUARDIAN</v>
      </c>
    </row>
    <row r="1507" spans="5:8" x14ac:dyDescent="0.25">
      <c r="E1507" t="str">
        <f>""</f>
        <v/>
      </c>
      <c r="F1507" t="str">
        <f>""</f>
        <v/>
      </c>
      <c r="H1507" t="str">
        <f t="shared" si="22"/>
        <v>GUARDIAN</v>
      </c>
    </row>
    <row r="1508" spans="5:8" x14ac:dyDescent="0.25">
      <c r="E1508" t="str">
        <f>""</f>
        <v/>
      </c>
      <c r="F1508" t="str">
        <f>""</f>
        <v/>
      </c>
      <c r="H1508" t="str">
        <f t="shared" si="22"/>
        <v>GUARDIAN</v>
      </c>
    </row>
    <row r="1509" spans="5:8" x14ac:dyDescent="0.25">
      <c r="E1509" t="str">
        <f>""</f>
        <v/>
      </c>
      <c r="F1509" t="str">
        <f>""</f>
        <v/>
      </c>
      <c r="H1509" t="str">
        <f t="shared" si="22"/>
        <v>GUARDIAN</v>
      </c>
    </row>
    <row r="1510" spans="5:8" x14ac:dyDescent="0.25">
      <c r="E1510" t="str">
        <f>""</f>
        <v/>
      </c>
      <c r="F1510" t="str">
        <f>""</f>
        <v/>
      </c>
      <c r="H1510" t="str">
        <f t="shared" si="22"/>
        <v>GUARDIAN</v>
      </c>
    </row>
    <row r="1511" spans="5:8" x14ac:dyDescent="0.25">
      <c r="E1511" t="str">
        <f>""</f>
        <v/>
      </c>
      <c r="F1511" t="str">
        <f>""</f>
        <v/>
      </c>
      <c r="H1511" t="str">
        <f t="shared" si="22"/>
        <v>GUARDIAN</v>
      </c>
    </row>
    <row r="1512" spans="5:8" x14ac:dyDescent="0.25">
      <c r="E1512" t="str">
        <f>""</f>
        <v/>
      </c>
      <c r="F1512" t="str">
        <f>""</f>
        <v/>
      </c>
      <c r="H1512" t="str">
        <f t="shared" si="22"/>
        <v>GUARDIAN</v>
      </c>
    </row>
    <row r="1513" spans="5:8" x14ac:dyDescent="0.25">
      <c r="E1513" t="str">
        <f>""</f>
        <v/>
      </c>
      <c r="F1513" t="str">
        <f>""</f>
        <v/>
      </c>
      <c r="H1513" t="str">
        <f t="shared" si="22"/>
        <v>GUARDIAN</v>
      </c>
    </row>
    <row r="1514" spans="5:8" x14ac:dyDescent="0.25">
      <c r="E1514" t="str">
        <f>""</f>
        <v/>
      </c>
      <c r="F1514" t="str">
        <f>""</f>
        <v/>
      </c>
      <c r="H1514" t="str">
        <f t="shared" si="22"/>
        <v>GUARDIAN</v>
      </c>
    </row>
    <row r="1515" spans="5:8" x14ac:dyDescent="0.25">
      <c r="E1515" t="str">
        <f>""</f>
        <v/>
      </c>
      <c r="F1515" t="str">
        <f>""</f>
        <v/>
      </c>
      <c r="H1515" t="str">
        <f t="shared" si="22"/>
        <v>GUARDIAN</v>
      </c>
    </row>
    <row r="1516" spans="5:8" x14ac:dyDescent="0.25">
      <c r="E1516" t="str">
        <f>"GDC201904168722"</f>
        <v>GDC201904168722</v>
      </c>
      <c r="F1516" t="str">
        <f>"GUARDIAN"</f>
        <v>GUARDIAN</v>
      </c>
      <c r="G1516" s="2">
        <v>135.84</v>
      </c>
      <c r="H1516" t="str">
        <f t="shared" si="22"/>
        <v>GUARDIAN</v>
      </c>
    </row>
    <row r="1517" spans="5:8" x14ac:dyDescent="0.25">
      <c r="E1517" t="str">
        <f>""</f>
        <v/>
      </c>
      <c r="F1517" t="str">
        <f>""</f>
        <v/>
      </c>
      <c r="H1517" t="str">
        <f t="shared" si="22"/>
        <v>GUARDIAN</v>
      </c>
    </row>
    <row r="1518" spans="5:8" x14ac:dyDescent="0.25">
      <c r="E1518" t="str">
        <f>"GDE201904038355"</f>
        <v>GDE201904038355</v>
      </c>
      <c r="F1518" t="str">
        <f>"GUARDIAN"</f>
        <v>GUARDIAN</v>
      </c>
      <c r="G1518" s="2">
        <v>4216.8599999999997</v>
      </c>
      <c r="H1518" t="str">
        <f t="shared" si="22"/>
        <v>GUARDIAN</v>
      </c>
    </row>
    <row r="1519" spans="5:8" x14ac:dyDescent="0.25">
      <c r="E1519" t="str">
        <f>""</f>
        <v/>
      </c>
      <c r="F1519" t="str">
        <f>""</f>
        <v/>
      </c>
      <c r="H1519" t="str">
        <f t="shared" si="22"/>
        <v>GUARDIAN</v>
      </c>
    </row>
    <row r="1520" spans="5:8" x14ac:dyDescent="0.25">
      <c r="E1520" t="str">
        <f>""</f>
        <v/>
      </c>
      <c r="F1520" t="str">
        <f>""</f>
        <v/>
      </c>
      <c r="H1520" t="str">
        <f t="shared" si="22"/>
        <v>GUARDIAN</v>
      </c>
    </row>
    <row r="1521" spans="5:8" x14ac:dyDescent="0.25">
      <c r="E1521" t="str">
        <f>""</f>
        <v/>
      </c>
      <c r="F1521" t="str">
        <f>""</f>
        <v/>
      </c>
      <c r="H1521" t="str">
        <f t="shared" si="22"/>
        <v>GUARDIAN</v>
      </c>
    </row>
    <row r="1522" spans="5:8" x14ac:dyDescent="0.25">
      <c r="E1522" t="str">
        <f>""</f>
        <v/>
      </c>
      <c r="F1522" t="str">
        <f>""</f>
        <v/>
      </c>
      <c r="H1522" t="str">
        <f t="shared" si="22"/>
        <v>GUARDIAN</v>
      </c>
    </row>
    <row r="1523" spans="5:8" x14ac:dyDescent="0.25">
      <c r="E1523" t="str">
        <f>""</f>
        <v/>
      </c>
      <c r="F1523" t="str">
        <f>""</f>
        <v/>
      </c>
      <c r="H1523" t="str">
        <f t="shared" si="22"/>
        <v>GUARDIAN</v>
      </c>
    </row>
    <row r="1524" spans="5:8" x14ac:dyDescent="0.25">
      <c r="E1524" t="str">
        <f>""</f>
        <v/>
      </c>
      <c r="F1524" t="str">
        <f>""</f>
        <v/>
      </c>
      <c r="H1524" t="str">
        <f t="shared" si="22"/>
        <v>GUARDIAN</v>
      </c>
    </row>
    <row r="1525" spans="5:8" x14ac:dyDescent="0.25">
      <c r="E1525" t="str">
        <f>""</f>
        <v/>
      </c>
      <c r="F1525" t="str">
        <f>""</f>
        <v/>
      </c>
      <c r="H1525" t="str">
        <f t="shared" si="22"/>
        <v>GUARDIAN</v>
      </c>
    </row>
    <row r="1526" spans="5:8" x14ac:dyDescent="0.25">
      <c r="E1526" t="str">
        <f>""</f>
        <v/>
      </c>
      <c r="F1526" t="str">
        <f>""</f>
        <v/>
      </c>
      <c r="H1526" t="str">
        <f t="shared" si="22"/>
        <v>GUARDIAN</v>
      </c>
    </row>
    <row r="1527" spans="5:8" x14ac:dyDescent="0.25">
      <c r="E1527" t="str">
        <f>""</f>
        <v/>
      </c>
      <c r="F1527" t="str">
        <f>""</f>
        <v/>
      </c>
      <c r="H1527" t="str">
        <f t="shared" si="22"/>
        <v>GUARDIAN</v>
      </c>
    </row>
    <row r="1528" spans="5:8" x14ac:dyDescent="0.25">
      <c r="E1528" t="str">
        <f>""</f>
        <v/>
      </c>
      <c r="F1528" t="str">
        <f>""</f>
        <v/>
      </c>
      <c r="H1528" t="str">
        <f t="shared" si="22"/>
        <v>GUARDIAN</v>
      </c>
    </row>
    <row r="1529" spans="5:8" x14ac:dyDescent="0.25">
      <c r="E1529" t="str">
        <f>""</f>
        <v/>
      </c>
      <c r="F1529" t="str">
        <f>""</f>
        <v/>
      </c>
      <c r="H1529" t="str">
        <f t="shared" si="22"/>
        <v>GUARDIAN</v>
      </c>
    </row>
    <row r="1530" spans="5:8" x14ac:dyDescent="0.25">
      <c r="E1530" t="str">
        <f>""</f>
        <v/>
      </c>
      <c r="F1530" t="str">
        <f>""</f>
        <v/>
      </c>
      <c r="H1530" t="str">
        <f t="shared" si="22"/>
        <v>GUARDIAN</v>
      </c>
    </row>
    <row r="1531" spans="5:8" x14ac:dyDescent="0.25">
      <c r="E1531" t="str">
        <f>""</f>
        <v/>
      </c>
      <c r="F1531" t="str">
        <f>""</f>
        <v/>
      </c>
      <c r="H1531" t="str">
        <f t="shared" si="22"/>
        <v>GUARDIAN</v>
      </c>
    </row>
    <row r="1532" spans="5:8" x14ac:dyDescent="0.25">
      <c r="E1532" t="str">
        <f>""</f>
        <v/>
      </c>
      <c r="F1532" t="str">
        <f>""</f>
        <v/>
      </c>
      <c r="H1532" t="str">
        <f t="shared" si="22"/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 t="shared" si="22"/>
        <v>GUARDIAN</v>
      </c>
    </row>
    <row r="1534" spans="5:8" x14ac:dyDescent="0.25">
      <c r="E1534" t="str">
        <f>""</f>
        <v/>
      </c>
      <c r="F1534" t="str">
        <f>""</f>
        <v/>
      </c>
      <c r="H1534" t="str">
        <f t="shared" si="22"/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 t="shared" si="22"/>
        <v>GUARDIAN</v>
      </c>
    </row>
    <row r="1536" spans="5:8" x14ac:dyDescent="0.25">
      <c r="E1536" t="str">
        <f>""</f>
        <v/>
      </c>
      <c r="F1536" t="str">
        <f>""</f>
        <v/>
      </c>
      <c r="H1536" t="str">
        <f t="shared" si="22"/>
        <v>GUARDIAN</v>
      </c>
    </row>
    <row r="1537" spans="5:8" x14ac:dyDescent="0.25">
      <c r="E1537" t="str">
        <f>""</f>
        <v/>
      </c>
      <c r="F1537" t="str">
        <f>""</f>
        <v/>
      </c>
      <c r="H1537" t="str">
        <f t="shared" si="22"/>
        <v>GUARDIAN</v>
      </c>
    </row>
    <row r="1538" spans="5:8" x14ac:dyDescent="0.25">
      <c r="E1538" t="str">
        <f>""</f>
        <v/>
      </c>
      <c r="F1538" t="str">
        <f>""</f>
        <v/>
      </c>
      <c r="H1538" t="str">
        <f t="shared" si="22"/>
        <v>GUARDIAN</v>
      </c>
    </row>
    <row r="1539" spans="5:8" x14ac:dyDescent="0.25">
      <c r="E1539" t="str">
        <f>""</f>
        <v/>
      </c>
      <c r="F1539" t="str">
        <f>""</f>
        <v/>
      </c>
      <c r="H1539" t="str">
        <f t="shared" si="22"/>
        <v>GUARDIAN</v>
      </c>
    </row>
    <row r="1540" spans="5:8" x14ac:dyDescent="0.25">
      <c r="E1540" t="str">
        <f>""</f>
        <v/>
      </c>
      <c r="F1540" t="str">
        <f>""</f>
        <v/>
      </c>
      <c r="H1540" t="str">
        <f t="shared" si="22"/>
        <v>GUARDIAN</v>
      </c>
    </row>
    <row r="1541" spans="5:8" x14ac:dyDescent="0.25">
      <c r="E1541" t="str">
        <f>""</f>
        <v/>
      </c>
      <c r="F1541" t="str">
        <f>""</f>
        <v/>
      </c>
      <c r="H1541" t="str">
        <f t="shared" si="22"/>
        <v>GUARDIAN</v>
      </c>
    </row>
    <row r="1542" spans="5:8" x14ac:dyDescent="0.25">
      <c r="E1542" t="str">
        <f>""</f>
        <v/>
      </c>
      <c r="F1542" t="str">
        <f>""</f>
        <v/>
      </c>
      <c r="H1542" t="str">
        <f t="shared" si="22"/>
        <v>GUARDIAN</v>
      </c>
    </row>
    <row r="1543" spans="5:8" x14ac:dyDescent="0.25">
      <c r="E1543" t="str">
        <f>""</f>
        <v/>
      </c>
      <c r="F1543" t="str">
        <f>""</f>
        <v/>
      </c>
      <c r="H1543" t="str">
        <f t="shared" si="22"/>
        <v>GUARDIAN</v>
      </c>
    </row>
    <row r="1544" spans="5:8" x14ac:dyDescent="0.25">
      <c r="E1544" t="str">
        <f>""</f>
        <v/>
      </c>
      <c r="F1544" t="str">
        <f>""</f>
        <v/>
      </c>
      <c r="H1544" t="str">
        <f t="shared" si="22"/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 t="shared" si="22"/>
        <v>GUARDIAN</v>
      </c>
    </row>
    <row r="1546" spans="5:8" x14ac:dyDescent="0.25">
      <c r="E1546" t="str">
        <f>""</f>
        <v/>
      </c>
      <c r="F1546" t="str">
        <f>""</f>
        <v/>
      </c>
      <c r="H1546" t="str">
        <f t="shared" si="22"/>
        <v>GUARDIAN</v>
      </c>
    </row>
    <row r="1547" spans="5:8" x14ac:dyDescent="0.25">
      <c r="E1547" t="str">
        <f>""</f>
        <v/>
      </c>
      <c r="F1547" t="str">
        <f>""</f>
        <v/>
      </c>
      <c r="H1547" t="str">
        <f t="shared" si="22"/>
        <v>GUARDIAN</v>
      </c>
    </row>
    <row r="1548" spans="5:8" x14ac:dyDescent="0.25">
      <c r="E1548" t="str">
        <f>""</f>
        <v/>
      </c>
      <c r="F1548" t="str">
        <f>""</f>
        <v/>
      </c>
      <c r="H1548" t="str">
        <f t="shared" si="22"/>
        <v>GUARDIAN</v>
      </c>
    </row>
    <row r="1549" spans="5:8" x14ac:dyDescent="0.25">
      <c r="E1549" t="str">
        <f>""</f>
        <v/>
      </c>
      <c r="F1549" t="str">
        <f>""</f>
        <v/>
      </c>
      <c r="H1549" t="str">
        <f t="shared" si="22"/>
        <v>GUARDIAN</v>
      </c>
    </row>
    <row r="1550" spans="5:8" x14ac:dyDescent="0.25">
      <c r="E1550" t="str">
        <f>""</f>
        <v/>
      </c>
      <c r="F1550" t="str">
        <f>""</f>
        <v/>
      </c>
      <c r="H1550" t="str">
        <f t="shared" si="22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22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si="22"/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22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22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22"/>
        <v>GUARDIAN</v>
      </c>
    </row>
    <row r="1556" spans="5:8" x14ac:dyDescent="0.25">
      <c r="E1556" t="str">
        <f>""</f>
        <v/>
      </c>
      <c r="F1556" t="str">
        <f>""</f>
        <v/>
      </c>
      <c r="H1556" t="str">
        <f t="shared" si="22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22"/>
        <v>GUARDIAN</v>
      </c>
    </row>
    <row r="1558" spans="5:8" x14ac:dyDescent="0.25">
      <c r="E1558" t="str">
        <f>""</f>
        <v/>
      </c>
      <c r="F1558" t="str">
        <f>""</f>
        <v/>
      </c>
      <c r="H1558" t="str">
        <f t="shared" si="22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22"/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si="22"/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22"/>
        <v>GUARDIAN</v>
      </c>
    </row>
    <row r="1562" spans="5:8" x14ac:dyDescent="0.25">
      <c r="E1562" t="str">
        <f>"GDE201904038356"</f>
        <v>GDE201904038356</v>
      </c>
      <c r="F1562" t="str">
        <f>"GUARDIAN"</f>
        <v>GUARDIAN</v>
      </c>
      <c r="G1562" s="2">
        <v>169.29</v>
      </c>
      <c r="H1562" t="str">
        <f t="shared" si="22"/>
        <v>GUARDIAN</v>
      </c>
    </row>
    <row r="1563" spans="5:8" x14ac:dyDescent="0.25">
      <c r="E1563" t="str">
        <f>"GDE201904168721"</f>
        <v>GDE201904168721</v>
      </c>
      <c r="F1563" t="str">
        <f>"GUARDIAN"</f>
        <v>GUARDIAN</v>
      </c>
      <c r="G1563" s="2">
        <v>4216.8599999999997</v>
      </c>
      <c r="H1563" t="str">
        <f t="shared" si="22"/>
        <v>GUARDIAN</v>
      </c>
    </row>
    <row r="1564" spans="5:8" x14ac:dyDescent="0.25">
      <c r="E1564" t="str">
        <f>""</f>
        <v/>
      </c>
      <c r="F1564" t="str">
        <f>""</f>
        <v/>
      </c>
      <c r="H1564" t="str">
        <f t="shared" si="22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22"/>
        <v>GUARDIAN</v>
      </c>
    </row>
    <row r="1566" spans="5:8" x14ac:dyDescent="0.25">
      <c r="E1566" t="str">
        <f>""</f>
        <v/>
      </c>
      <c r="F1566" t="str">
        <f>""</f>
        <v/>
      </c>
      <c r="H1566" t="str">
        <f t="shared" si="22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22"/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 t="shared" ref="H1568:H1631" si="23">"GUARDIAN"</f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 t="shared" si="23"/>
        <v>GUARDIAN</v>
      </c>
    </row>
    <row r="1570" spans="5:8" x14ac:dyDescent="0.25">
      <c r="E1570" t="str">
        <f>""</f>
        <v/>
      </c>
      <c r="F1570" t="str">
        <f>""</f>
        <v/>
      </c>
      <c r="H1570" t="str">
        <f t="shared" si="23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23"/>
        <v>GUARDIAN</v>
      </c>
    </row>
    <row r="1572" spans="5:8" x14ac:dyDescent="0.25">
      <c r="E1572" t="str">
        <f>""</f>
        <v/>
      </c>
      <c r="F1572" t="str">
        <f>""</f>
        <v/>
      </c>
      <c r="H1572" t="str">
        <f t="shared" si="23"/>
        <v>GUARDIAN</v>
      </c>
    </row>
    <row r="1573" spans="5:8" x14ac:dyDescent="0.25">
      <c r="E1573" t="str">
        <f>""</f>
        <v/>
      </c>
      <c r="F1573" t="str">
        <f>""</f>
        <v/>
      </c>
      <c r="H1573" t="str">
        <f t="shared" si="23"/>
        <v>GUARDIAN</v>
      </c>
    </row>
    <row r="1574" spans="5:8" x14ac:dyDescent="0.25">
      <c r="E1574" t="str">
        <f>""</f>
        <v/>
      </c>
      <c r="F1574" t="str">
        <f>""</f>
        <v/>
      </c>
      <c r="H1574" t="str">
        <f t="shared" si="23"/>
        <v>GUARDIAN</v>
      </c>
    </row>
    <row r="1575" spans="5:8" x14ac:dyDescent="0.25">
      <c r="E1575" t="str">
        <f>""</f>
        <v/>
      </c>
      <c r="F1575" t="str">
        <f>""</f>
        <v/>
      </c>
      <c r="H1575" t="str">
        <f t="shared" si="23"/>
        <v>GUARDIAN</v>
      </c>
    </row>
    <row r="1576" spans="5:8" x14ac:dyDescent="0.25">
      <c r="E1576" t="str">
        <f>""</f>
        <v/>
      </c>
      <c r="F1576" t="str">
        <f>""</f>
        <v/>
      </c>
      <c r="H1576" t="str">
        <f t="shared" si="23"/>
        <v>GUARDIAN</v>
      </c>
    </row>
    <row r="1577" spans="5:8" x14ac:dyDescent="0.25">
      <c r="E1577" t="str">
        <f>""</f>
        <v/>
      </c>
      <c r="F1577" t="str">
        <f>""</f>
        <v/>
      </c>
      <c r="H1577" t="str">
        <f t="shared" si="23"/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 t="shared" si="23"/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23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23"/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 t="shared" si="23"/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23"/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 t="shared" si="23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si="23"/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23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23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23"/>
        <v>GUARDIAN</v>
      </c>
    </row>
    <row r="1588" spans="5:8" x14ac:dyDescent="0.25">
      <c r="E1588" t="str">
        <f>""</f>
        <v/>
      </c>
      <c r="F1588" t="str">
        <f>""</f>
        <v/>
      </c>
      <c r="H1588" t="str">
        <f t="shared" si="23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23"/>
        <v>GUARDIAN</v>
      </c>
    </row>
    <row r="1590" spans="5:8" x14ac:dyDescent="0.25">
      <c r="E1590" t="str">
        <f>""</f>
        <v/>
      </c>
      <c r="F1590" t="str">
        <f>""</f>
        <v/>
      </c>
      <c r="H1590" t="str">
        <f t="shared" si="23"/>
        <v>GUARDIAN</v>
      </c>
    </row>
    <row r="1591" spans="5:8" x14ac:dyDescent="0.25">
      <c r="E1591" t="str">
        <f>""</f>
        <v/>
      </c>
      <c r="F1591" t="str">
        <f>""</f>
        <v/>
      </c>
      <c r="H1591" t="str">
        <f t="shared" si="23"/>
        <v>GUARDIAN</v>
      </c>
    </row>
    <row r="1592" spans="5:8" x14ac:dyDescent="0.25">
      <c r="E1592" t="str">
        <f>""</f>
        <v/>
      </c>
      <c r="F1592" t="str">
        <f>""</f>
        <v/>
      </c>
      <c r="H1592" t="str">
        <f t="shared" si="23"/>
        <v>GUARDIAN</v>
      </c>
    </row>
    <row r="1593" spans="5:8" x14ac:dyDescent="0.25">
      <c r="E1593" t="str">
        <f>""</f>
        <v/>
      </c>
      <c r="F1593" t="str">
        <f>""</f>
        <v/>
      </c>
      <c r="H1593" t="str">
        <f t="shared" si="23"/>
        <v>GUARDIAN</v>
      </c>
    </row>
    <row r="1594" spans="5:8" x14ac:dyDescent="0.25">
      <c r="E1594" t="str">
        <f>""</f>
        <v/>
      </c>
      <c r="F1594" t="str">
        <f>""</f>
        <v/>
      </c>
      <c r="H1594" t="str">
        <f t="shared" si="23"/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 t="shared" si="23"/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 t="shared" si="23"/>
        <v>GUARDIAN</v>
      </c>
    </row>
    <row r="1597" spans="5:8" x14ac:dyDescent="0.25">
      <c r="E1597" t="str">
        <f>""</f>
        <v/>
      </c>
      <c r="F1597" t="str">
        <f>""</f>
        <v/>
      </c>
      <c r="H1597" t="str">
        <f t="shared" si="23"/>
        <v>GUARDIAN</v>
      </c>
    </row>
    <row r="1598" spans="5:8" x14ac:dyDescent="0.25">
      <c r="E1598" t="str">
        <f>""</f>
        <v/>
      </c>
      <c r="F1598" t="str">
        <f>""</f>
        <v/>
      </c>
      <c r="H1598" t="str">
        <f t="shared" si="23"/>
        <v>GUARDIAN</v>
      </c>
    </row>
    <row r="1599" spans="5:8" x14ac:dyDescent="0.25">
      <c r="E1599" t="str">
        <f>""</f>
        <v/>
      </c>
      <c r="F1599" t="str">
        <f>""</f>
        <v/>
      </c>
      <c r="H1599" t="str">
        <f t="shared" si="23"/>
        <v>GUARDIAN</v>
      </c>
    </row>
    <row r="1600" spans="5:8" x14ac:dyDescent="0.25">
      <c r="E1600" t="str">
        <f>""</f>
        <v/>
      </c>
      <c r="F1600" t="str">
        <f>""</f>
        <v/>
      </c>
      <c r="H1600" t="str">
        <f t="shared" si="23"/>
        <v>GUARDIAN</v>
      </c>
    </row>
    <row r="1601" spans="5:8" x14ac:dyDescent="0.25">
      <c r="E1601" t="str">
        <f>""</f>
        <v/>
      </c>
      <c r="F1601" t="str">
        <f>""</f>
        <v/>
      </c>
      <c r="H1601" t="str">
        <f t="shared" si="23"/>
        <v>GUARDIAN</v>
      </c>
    </row>
    <row r="1602" spans="5:8" x14ac:dyDescent="0.25">
      <c r="E1602" t="str">
        <f>""</f>
        <v/>
      </c>
      <c r="F1602" t="str">
        <f>""</f>
        <v/>
      </c>
      <c r="H1602" t="str">
        <f t="shared" si="23"/>
        <v>GUARDIAN</v>
      </c>
    </row>
    <row r="1603" spans="5:8" x14ac:dyDescent="0.25">
      <c r="E1603" t="str">
        <f>""</f>
        <v/>
      </c>
      <c r="F1603" t="str">
        <f>""</f>
        <v/>
      </c>
      <c r="H1603" t="str">
        <f t="shared" si="23"/>
        <v>GUARDIAN</v>
      </c>
    </row>
    <row r="1604" spans="5:8" x14ac:dyDescent="0.25">
      <c r="E1604" t="str">
        <f>""</f>
        <v/>
      </c>
      <c r="F1604" t="str">
        <f>""</f>
        <v/>
      </c>
      <c r="H1604" t="str">
        <f t="shared" si="23"/>
        <v>GUARDIAN</v>
      </c>
    </row>
    <row r="1605" spans="5:8" x14ac:dyDescent="0.25">
      <c r="E1605" t="str">
        <f>""</f>
        <v/>
      </c>
      <c r="F1605" t="str">
        <f>""</f>
        <v/>
      </c>
      <c r="H1605" t="str">
        <f t="shared" si="23"/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 t="shared" si="23"/>
        <v>GUARDIAN</v>
      </c>
    </row>
    <row r="1607" spans="5:8" x14ac:dyDescent="0.25">
      <c r="E1607" t="str">
        <f>"GDE201904168722"</f>
        <v>GDE201904168722</v>
      </c>
      <c r="F1607" t="str">
        <f>"GUARDIAN"</f>
        <v>GUARDIAN</v>
      </c>
      <c r="G1607" s="2">
        <v>169.29</v>
      </c>
      <c r="H1607" t="str">
        <f t="shared" si="23"/>
        <v>GUARDIAN</v>
      </c>
    </row>
    <row r="1608" spans="5:8" x14ac:dyDescent="0.25">
      <c r="E1608" t="str">
        <f>"GDF201904038355"</f>
        <v>GDF201904038355</v>
      </c>
      <c r="F1608" t="str">
        <f>"GUARDIAN"</f>
        <v>GUARDIAN</v>
      </c>
      <c r="G1608" s="2">
        <v>2410.08</v>
      </c>
      <c r="H1608" t="str">
        <f t="shared" si="23"/>
        <v>GUARDIAN</v>
      </c>
    </row>
    <row r="1609" spans="5:8" x14ac:dyDescent="0.25">
      <c r="E1609" t="str">
        <f>""</f>
        <v/>
      </c>
      <c r="F1609" t="str">
        <f>""</f>
        <v/>
      </c>
      <c r="H1609" t="str">
        <f t="shared" si="23"/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 t="shared" si="23"/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 t="shared" si="23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si="23"/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si="23"/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23"/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 t="shared" si="23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si="23"/>
        <v>GUARDIAN</v>
      </c>
    </row>
    <row r="1617" spans="5:8" x14ac:dyDescent="0.25">
      <c r="E1617" t="str">
        <f>""</f>
        <v/>
      </c>
      <c r="F1617" t="str">
        <f>""</f>
        <v/>
      </c>
      <c r="H1617" t="str">
        <f t="shared" si="23"/>
        <v>GUARDIAN</v>
      </c>
    </row>
    <row r="1618" spans="5:8" x14ac:dyDescent="0.25">
      <c r="E1618" t="str">
        <f>""</f>
        <v/>
      </c>
      <c r="F1618" t="str">
        <f>""</f>
        <v/>
      </c>
      <c r="H1618" t="str">
        <f t="shared" si="23"/>
        <v>GUARDIAN</v>
      </c>
    </row>
    <row r="1619" spans="5:8" x14ac:dyDescent="0.25">
      <c r="E1619" t="str">
        <f>""</f>
        <v/>
      </c>
      <c r="F1619" t="str">
        <f>""</f>
        <v/>
      </c>
      <c r="H1619" t="str">
        <f t="shared" si="23"/>
        <v>GUARDIAN</v>
      </c>
    </row>
    <row r="1620" spans="5:8" x14ac:dyDescent="0.25">
      <c r="E1620" t="str">
        <f>""</f>
        <v/>
      </c>
      <c r="F1620" t="str">
        <f>""</f>
        <v/>
      </c>
      <c r="H1620" t="str">
        <f t="shared" si="23"/>
        <v>GUARDIAN</v>
      </c>
    </row>
    <row r="1621" spans="5:8" x14ac:dyDescent="0.25">
      <c r="E1621" t="str">
        <f>""</f>
        <v/>
      </c>
      <c r="F1621" t="str">
        <f>""</f>
        <v/>
      </c>
      <c r="H1621" t="str">
        <f t="shared" si="23"/>
        <v>GUARDIAN</v>
      </c>
    </row>
    <row r="1622" spans="5:8" x14ac:dyDescent="0.25">
      <c r="E1622" t="str">
        <f>""</f>
        <v/>
      </c>
      <c r="F1622" t="str">
        <f>""</f>
        <v/>
      </c>
      <c r="H1622" t="str">
        <f t="shared" si="23"/>
        <v>GUARDIAN</v>
      </c>
    </row>
    <row r="1623" spans="5:8" x14ac:dyDescent="0.25">
      <c r="E1623" t="str">
        <f>""</f>
        <v/>
      </c>
      <c r="F1623" t="str">
        <f>""</f>
        <v/>
      </c>
      <c r="H1623" t="str">
        <f t="shared" si="23"/>
        <v>GUARDIAN</v>
      </c>
    </row>
    <row r="1624" spans="5:8" x14ac:dyDescent="0.25">
      <c r="E1624" t="str">
        <f>""</f>
        <v/>
      </c>
      <c r="F1624" t="str">
        <f>""</f>
        <v/>
      </c>
      <c r="H1624" t="str">
        <f t="shared" si="23"/>
        <v>GUARDIAN</v>
      </c>
    </row>
    <row r="1625" spans="5:8" x14ac:dyDescent="0.25">
      <c r="E1625" t="str">
        <f>""</f>
        <v/>
      </c>
      <c r="F1625" t="str">
        <f>""</f>
        <v/>
      </c>
      <c r="H1625" t="str">
        <f t="shared" si="23"/>
        <v>GUARDIAN</v>
      </c>
    </row>
    <row r="1626" spans="5:8" x14ac:dyDescent="0.25">
      <c r="E1626" t="str">
        <f>""</f>
        <v/>
      </c>
      <c r="F1626" t="str">
        <f>""</f>
        <v/>
      </c>
      <c r="H1626" t="str">
        <f t="shared" si="23"/>
        <v>GUARDIAN</v>
      </c>
    </row>
    <row r="1627" spans="5:8" x14ac:dyDescent="0.25">
      <c r="E1627" t="str">
        <f>"GDF201904038356"</f>
        <v>GDF201904038356</v>
      </c>
      <c r="F1627" t="str">
        <f>"GUARDIAN"</f>
        <v>GUARDIAN</v>
      </c>
      <c r="G1627" s="2">
        <v>100.42</v>
      </c>
      <c r="H1627" t="str">
        <f t="shared" si="23"/>
        <v>GUARDIAN</v>
      </c>
    </row>
    <row r="1628" spans="5:8" x14ac:dyDescent="0.25">
      <c r="E1628" t="str">
        <f>""</f>
        <v/>
      </c>
      <c r="F1628" t="str">
        <f>""</f>
        <v/>
      </c>
      <c r="H1628" t="str">
        <f t="shared" si="23"/>
        <v>GUARDIAN</v>
      </c>
    </row>
    <row r="1629" spans="5:8" x14ac:dyDescent="0.25">
      <c r="E1629" t="str">
        <f>"GDF201904168721"</f>
        <v>GDF201904168721</v>
      </c>
      <c r="F1629" t="str">
        <f>"GUARDIAN"</f>
        <v>GUARDIAN</v>
      </c>
      <c r="G1629" s="2">
        <v>2410.08</v>
      </c>
      <c r="H1629" t="str">
        <f t="shared" si="23"/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 t="shared" si="23"/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 t="shared" si="23"/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 t="shared" ref="H1632:H1699" si="24">"GUARDIAN"</f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si="24"/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si="24"/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24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24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24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si="24"/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24"/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 t="shared" si="24"/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 t="shared" si="24"/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 t="shared" si="24"/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24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24"/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 t="shared" si="24"/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24"/>
        <v>GUARDIAN</v>
      </c>
    </row>
    <row r="1647" spans="5:8" x14ac:dyDescent="0.25">
      <c r="E1647" t="str">
        <f>""</f>
        <v/>
      </c>
      <c r="F1647" t="str">
        <f>""</f>
        <v/>
      </c>
      <c r="H1647" t="str">
        <f t="shared" si="24"/>
        <v>GUARDIAN</v>
      </c>
    </row>
    <row r="1648" spans="5:8" x14ac:dyDescent="0.25">
      <c r="E1648" t="str">
        <f>"GDF201904168722"</f>
        <v>GDF201904168722</v>
      </c>
      <c r="F1648" t="str">
        <f>"GUARDIAN"</f>
        <v>GUARDIAN</v>
      </c>
      <c r="G1648" s="2">
        <v>100.42</v>
      </c>
      <c r="H1648" t="str">
        <f t="shared" si="24"/>
        <v>GUARDIAN</v>
      </c>
    </row>
    <row r="1649" spans="5:8" x14ac:dyDescent="0.25">
      <c r="E1649" t="str">
        <f>""</f>
        <v/>
      </c>
      <c r="F1649" t="str">
        <f>""</f>
        <v/>
      </c>
      <c r="H1649" t="str">
        <f t="shared" si="24"/>
        <v>GUARDIAN</v>
      </c>
    </row>
    <row r="1650" spans="5:8" x14ac:dyDescent="0.25">
      <c r="E1650" t="str">
        <f>"GDS201904038355"</f>
        <v>GDS201904038355</v>
      </c>
      <c r="F1650" t="str">
        <f>"GUARDIAN"</f>
        <v>GUARDIAN</v>
      </c>
      <c r="G1650" s="2">
        <v>1892.22</v>
      </c>
      <c r="H1650" t="str">
        <f t="shared" si="24"/>
        <v>GUARDIAN</v>
      </c>
    </row>
    <row r="1651" spans="5:8" x14ac:dyDescent="0.25">
      <c r="E1651" t="str">
        <f>""</f>
        <v/>
      </c>
      <c r="F1651" t="str">
        <f>""</f>
        <v/>
      </c>
      <c r="H1651" t="str">
        <f t="shared" si="24"/>
        <v>GUARDIAN</v>
      </c>
    </row>
    <row r="1652" spans="5:8" x14ac:dyDescent="0.25">
      <c r="E1652" t="str">
        <f>""</f>
        <v/>
      </c>
      <c r="F1652" t="str">
        <f>""</f>
        <v/>
      </c>
      <c r="H1652" t="str">
        <f t="shared" si="24"/>
        <v>GUARDIAN</v>
      </c>
    </row>
    <row r="1653" spans="5:8" x14ac:dyDescent="0.25">
      <c r="E1653" t="str">
        <f>""</f>
        <v/>
      </c>
      <c r="F1653" t="str">
        <f>""</f>
        <v/>
      </c>
      <c r="H1653" t="str">
        <f t="shared" si="24"/>
        <v>GUARDIAN</v>
      </c>
    </row>
    <row r="1654" spans="5:8" x14ac:dyDescent="0.25">
      <c r="E1654" t="str">
        <f>""</f>
        <v/>
      </c>
      <c r="F1654" t="str">
        <f>""</f>
        <v/>
      </c>
      <c r="H1654" t="str">
        <f t="shared" si="24"/>
        <v>GUARDIAN</v>
      </c>
    </row>
    <row r="1655" spans="5:8" x14ac:dyDescent="0.25">
      <c r="E1655" t="str">
        <f>""</f>
        <v/>
      </c>
      <c r="F1655" t="str">
        <f>""</f>
        <v/>
      </c>
      <c r="H1655" t="str">
        <f t="shared" si="24"/>
        <v>GUARDIAN</v>
      </c>
    </row>
    <row r="1656" spans="5:8" x14ac:dyDescent="0.25">
      <c r="E1656" t="str">
        <f>""</f>
        <v/>
      </c>
      <c r="F1656" t="str">
        <f>""</f>
        <v/>
      </c>
      <c r="H1656" t="str">
        <f t="shared" si="24"/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 t="shared" si="24"/>
        <v>GUARDIAN</v>
      </c>
    </row>
    <row r="1658" spans="5:8" x14ac:dyDescent="0.25">
      <c r="E1658" t="str">
        <f>""</f>
        <v/>
      </c>
      <c r="F1658" t="str">
        <f>""</f>
        <v/>
      </c>
      <c r="H1658" t="str">
        <f t="shared" si="24"/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 t="shared" si="24"/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 t="shared" si="24"/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 t="shared" si="24"/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 t="shared" si="24"/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 t="shared" si="24"/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24"/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 t="shared" si="24"/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 t="shared" si="24"/>
        <v>GUARDIAN</v>
      </c>
    </row>
    <row r="1667" spans="5:8" x14ac:dyDescent="0.25">
      <c r="E1667" t="str">
        <f>""</f>
        <v/>
      </c>
      <c r="F1667" t="str">
        <f>""</f>
        <v/>
      </c>
      <c r="H1667" t="str">
        <f t="shared" si="24"/>
        <v>GUARDIAN</v>
      </c>
    </row>
    <row r="1668" spans="5:8" x14ac:dyDescent="0.25">
      <c r="E1668" t="str">
        <f>""</f>
        <v/>
      </c>
      <c r="F1668" t="str">
        <f>""</f>
        <v/>
      </c>
      <c r="H1668" t="str">
        <f t="shared" si="24"/>
        <v>GUARDIAN</v>
      </c>
    </row>
    <row r="1669" spans="5:8" x14ac:dyDescent="0.25">
      <c r="E1669" t="str">
        <f>""</f>
        <v/>
      </c>
      <c r="F1669" t="str">
        <f>""</f>
        <v/>
      </c>
      <c r="H1669" t="str">
        <f t="shared" si="24"/>
        <v>GUARDIAN</v>
      </c>
    </row>
    <row r="1670" spans="5:8" x14ac:dyDescent="0.25">
      <c r="E1670" t="str">
        <f>""</f>
        <v/>
      </c>
      <c r="F1670" t="str">
        <f>""</f>
        <v/>
      </c>
      <c r="H1670" t="str">
        <f t="shared" si="24"/>
        <v>GUARDIAN</v>
      </c>
    </row>
    <row r="1671" spans="5:8" x14ac:dyDescent="0.25">
      <c r="E1671" t="str">
        <f>""</f>
        <v/>
      </c>
      <c r="F1671" t="str">
        <f>""</f>
        <v/>
      </c>
      <c r="H1671" t="str">
        <f t="shared" si="24"/>
        <v>GUARDIAN</v>
      </c>
    </row>
    <row r="1672" spans="5:8" x14ac:dyDescent="0.25">
      <c r="E1672" t="str">
        <f>""</f>
        <v/>
      </c>
      <c r="F1672" t="str">
        <f>""</f>
        <v/>
      </c>
      <c r="H1672" t="str">
        <f t="shared" si="24"/>
        <v>GUARDIAN</v>
      </c>
    </row>
    <row r="1673" spans="5:8" x14ac:dyDescent="0.25">
      <c r="E1673" t="str">
        <f>""</f>
        <v/>
      </c>
      <c r="F1673" t="str">
        <f>""</f>
        <v/>
      </c>
      <c r="H1673" t="str">
        <f t="shared" si="24"/>
        <v>GUARDIAN</v>
      </c>
    </row>
    <row r="1674" spans="5:8" x14ac:dyDescent="0.25">
      <c r="E1674" t="str">
        <f>""</f>
        <v/>
      </c>
      <c r="F1674" t="str">
        <f>""</f>
        <v/>
      </c>
      <c r="H1674" t="str">
        <f t="shared" si="24"/>
        <v>GUARDIAN</v>
      </c>
    </row>
    <row r="1675" spans="5:8" x14ac:dyDescent="0.25">
      <c r="E1675" t="str">
        <f>"GDS201904168721"</f>
        <v>GDS201904168721</v>
      </c>
      <c r="F1675" t="str">
        <f>"GUARDIAN"</f>
        <v>GUARDIAN</v>
      </c>
      <c r="G1675" s="2">
        <v>1830.18</v>
      </c>
      <c r="H1675" t="str">
        <f t="shared" si="24"/>
        <v>GUARDIAN</v>
      </c>
    </row>
    <row r="1676" spans="5:8" x14ac:dyDescent="0.25">
      <c r="E1676" t="str">
        <f>""</f>
        <v/>
      </c>
      <c r="F1676" t="str">
        <f>""</f>
        <v/>
      </c>
      <c r="H1676" t="str">
        <f t="shared" si="24"/>
        <v>GUARDIAN</v>
      </c>
    </row>
    <row r="1677" spans="5:8" x14ac:dyDescent="0.25">
      <c r="E1677" t="str">
        <f>""</f>
        <v/>
      </c>
      <c r="F1677" t="str">
        <f>""</f>
        <v/>
      </c>
      <c r="H1677" t="str">
        <f t="shared" si="24"/>
        <v>GUARDIAN</v>
      </c>
    </row>
    <row r="1678" spans="5:8" x14ac:dyDescent="0.25">
      <c r="E1678" t="str">
        <f>""</f>
        <v/>
      </c>
      <c r="F1678" t="str">
        <f>""</f>
        <v/>
      </c>
      <c r="H1678" t="str">
        <f t="shared" si="24"/>
        <v>GUARDIAN</v>
      </c>
    </row>
    <row r="1679" spans="5:8" x14ac:dyDescent="0.25">
      <c r="E1679" t="str">
        <f>""</f>
        <v/>
      </c>
      <c r="F1679" t="str">
        <f>""</f>
        <v/>
      </c>
      <c r="H1679" t="str">
        <f t="shared" si="24"/>
        <v>GUARDIAN</v>
      </c>
    </row>
    <row r="1680" spans="5:8" x14ac:dyDescent="0.25">
      <c r="E1680" t="str">
        <f>""</f>
        <v/>
      </c>
      <c r="F1680" t="str">
        <f>""</f>
        <v/>
      </c>
      <c r="H1680" t="str">
        <f t="shared" si="24"/>
        <v>GUARDIAN</v>
      </c>
    </row>
    <row r="1681" spans="5:8" x14ac:dyDescent="0.25">
      <c r="E1681" t="str">
        <f>""</f>
        <v/>
      </c>
      <c r="F1681" t="str">
        <f>""</f>
        <v/>
      </c>
      <c r="H1681" t="str">
        <f t="shared" si="24"/>
        <v>GUARDIAN</v>
      </c>
    </row>
    <row r="1682" spans="5:8" x14ac:dyDescent="0.25">
      <c r="E1682" t="str">
        <f>""</f>
        <v/>
      </c>
      <c r="F1682" t="str">
        <f>""</f>
        <v/>
      </c>
      <c r="H1682" t="str">
        <f t="shared" si="24"/>
        <v>GUARDIAN</v>
      </c>
    </row>
    <row r="1683" spans="5:8" x14ac:dyDescent="0.25">
      <c r="E1683" t="str">
        <f>""</f>
        <v/>
      </c>
      <c r="F1683" t="str">
        <f>""</f>
        <v/>
      </c>
      <c r="H1683" t="str">
        <f t="shared" si="24"/>
        <v>GUARDIAN</v>
      </c>
    </row>
    <row r="1684" spans="5:8" x14ac:dyDescent="0.25">
      <c r="E1684" t="str">
        <f>""</f>
        <v/>
      </c>
      <c r="F1684" t="str">
        <f>""</f>
        <v/>
      </c>
      <c r="H1684" t="str">
        <f t="shared" si="24"/>
        <v>GUARDIAN</v>
      </c>
    </row>
    <row r="1685" spans="5:8" x14ac:dyDescent="0.25">
      <c r="E1685" t="str">
        <f>""</f>
        <v/>
      </c>
      <c r="F1685" t="str">
        <f>""</f>
        <v/>
      </c>
      <c r="H1685" t="str">
        <f t="shared" si="24"/>
        <v>GUARDIAN</v>
      </c>
    </row>
    <row r="1686" spans="5:8" x14ac:dyDescent="0.25">
      <c r="E1686" t="str">
        <f>""</f>
        <v/>
      </c>
      <c r="F1686" t="str">
        <f>""</f>
        <v/>
      </c>
      <c r="H1686" t="str">
        <f t="shared" si="24"/>
        <v>GUARDIAN</v>
      </c>
    </row>
    <row r="1687" spans="5:8" x14ac:dyDescent="0.25">
      <c r="E1687" t="str">
        <f>""</f>
        <v/>
      </c>
      <c r="F1687" t="str">
        <f>""</f>
        <v/>
      </c>
      <c r="H1687" t="str">
        <f t="shared" si="24"/>
        <v>GUARDIAN</v>
      </c>
    </row>
    <row r="1688" spans="5:8" x14ac:dyDescent="0.25">
      <c r="E1688" t="str">
        <f>""</f>
        <v/>
      </c>
      <c r="F1688" t="str">
        <f>""</f>
        <v/>
      </c>
      <c r="H1688" t="str">
        <f t="shared" si="24"/>
        <v>GUARDIAN</v>
      </c>
    </row>
    <row r="1689" spans="5:8" x14ac:dyDescent="0.25">
      <c r="E1689" t="str">
        <f>""</f>
        <v/>
      </c>
      <c r="F1689" t="str">
        <f>""</f>
        <v/>
      </c>
      <c r="H1689" t="str">
        <f t="shared" si="24"/>
        <v>GUARDIAN</v>
      </c>
    </row>
    <row r="1690" spans="5:8" x14ac:dyDescent="0.25">
      <c r="E1690" t="str">
        <f>""</f>
        <v/>
      </c>
      <c r="F1690" t="str">
        <f>""</f>
        <v/>
      </c>
      <c r="H1690" t="str">
        <f t="shared" si="24"/>
        <v>GUARDIAN</v>
      </c>
    </row>
    <row r="1691" spans="5:8" x14ac:dyDescent="0.25">
      <c r="E1691" t="str">
        <f>""</f>
        <v/>
      </c>
      <c r="F1691" t="str">
        <f>""</f>
        <v/>
      </c>
      <c r="H1691" t="str">
        <f t="shared" si="24"/>
        <v>GUARDIAN</v>
      </c>
    </row>
    <row r="1692" spans="5:8" x14ac:dyDescent="0.25">
      <c r="E1692" t="str">
        <f>""</f>
        <v/>
      </c>
      <c r="F1692" t="str">
        <f>""</f>
        <v/>
      </c>
      <c r="H1692" t="str">
        <f t="shared" si="24"/>
        <v>GUARDIAN</v>
      </c>
    </row>
    <row r="1693" spans="5:8" x14ac:dyDescent="0.25">
      <c r="E1693" t="str">
        <f>""</f>
        <v/>
      </c>
      <c r="F1693" t="str">
        <f>""</f>
        <v/>
      </c>
      <c r="H1693" t="str">
        <f t="shared" si="24"/>
        <v>GUARDIAN</v>
      </c>
    </row>
    <row r="1694" spans="5:8" x14ac:dyDescent="0.25">
      <c r="E1694" t="str">
        <f>""</f>
        <v/>
      </c>
      <c r="F1694" t="str">
        <f>""</f>
        <v/>
      </c>
      <c r="H1694" t="str">
        <f t="shared" si="24"/>
        <v>GUARDIAN</v>
      </c>
    </row>
    <row r="1695" spans="5:8" x14ac:dyDescent="0.25">
      <c r="E1695" t="str">
        <f>""</f>
        <v/>
      </c>
      <c r="F1695" t="str">
        <f>""</f>
        <v/>
      </c>
      <c r="H1695" t="str">
        <f t="shared" si="24"/>
        <v>GUARDIAN</v>
      </c>
    </row>
    <row r="1696" spans="5:8" x14ac:dyDescent="0.25">
      <c r="E1696" t="str">
        <f>""</f>
        <v/>
      </c>
      <c r="F1696" t="str">
        <f>""</f>
        <v/>
      </c>
      <c r="H1696" t="str">
        <f t="shared" si="24"/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 t="shared" si="24"/>
        <v>GUARDIAN</v>
      </c>
    </row>
    <row r="1698" spans="5:8" x14ac:dyDescent="0.25">
      <c r="E1698" t="str">
        <f>""</f>
        <v/>
      </c>
      <c r="F1698" t="str">
        <f>""</f>
        <v/>
      </c>
      <c r="H1698" t="str">
        <f t="shared" si="24"/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 t="shared" si="24"/>
        <v>GUARDIAN</v>
      </c>
    </row>
    <row r="1700" spans="5:8" x14ac:dyDescent="0.25">
      <c r="E1700" t="str">
        <f>"GV1201904038355"</f>
        <v>GV1201904038355</v>
      </c>
      <c r="F1700" t="str">
        <f>"GUARDIAN VISION"</f>
        <v>GUARDIAN VISION</v>
      </c>
      <c r="G1700" s="2">
        <v>386.4</v>
      </c>
      <c r="H1700" t="str">
        <f>"GUARDIAN VISION"</f>
        <v>GUARDIAN VISION</v>
      </c>
    </row>
    <row r="1701" spans="5:8" x14ac:dyDescent="0.25">
      <c r="E1701" t="str">
        <f>"GV1201904168721"</f>
        <v>GV1201904168721</v>
      </c>
      <c r="F1701" t="str">
        <f>"GUARDIAN VISION"</f>
        <v>GUARDIAN VISION</v>
      </c>
      <c r="G1701" s="2">
        <v>375.2</v>
      </c>
      <c r="H1701" t="str">
        <f>"GUARDIAN VISION"</f>
        <v>GUARDIAN VISION</v>
      </c>
    </row>
    <row r="1702" spans="5:8" x14ac:dyDescent="0.25">
      <c r="E1702" t="str">
        <f>"GVE201904038355"</f>
        <v>GVE201904038355</v>
      </c>
      <c r="F1702" t="str">
        <f>"GUARDIAN VISION VENDOR"</f>
        <v>GUARDIAN VISION VENDOR</v>
      </c>
      <c r="G1702" s="2">
        <v>590.4</v>
      </c>
      <c r="H1702" t="str">
        <f>"GUARDIAN VISION VENDOR"</f>
        <v>GUARDIAN VISION VENDOR</v>
      </c>
    </row>
    <row r="1703" spans="5:8" x14ac:dyDescent="0.25">
      <c r="E1703" t="str">
        <f>"GVE201904038356"</f>
        <v>GVE201904038356</v>
      </c>
      <c r="F1703" t="str">
        <f>"GUARDIAN VISION VENDOR"</f>
        <v>GUARDIAN VISION VENDOR</v>
      </c>
      <c r="G1703" s="2">
        <v>25.83</v>
      </c>
      <c r="H1703" t="str">
        <f>"GUARDIAN VISION VENDOR"</f>
        <v>GUARDIAN VISION VENDOR</v>
      </c>
    </row>
    <row r="1704" spans="5:8" x14ac:dyDescent="0.25">
      <c r="E1704" t="str">
        <f>"GVE201904168721"</f>
        <v>GVE201904168721</v>
      </c>
      <c r="F1704" t="str">
        <f>"GUARDIAN VISION VENDOR"</f>
        <v>GUARDIAN VISION VENDOR</v>
      </c>
      <c r="G1704" s="2">
        <v>612.54</v>
      </c>
      <c r="H1704" t="str">
        <f>"GUARDIAN VISION VENDOR"</f>
        <v>GUARDIAN VISION VENDOR</v>
      </c>
    </row>
    <row r="1705" spans="5:8" x14ac:dyDescent="0.25">
      <c r="E1705" t="str">
        <f>"GVE201904168722"</f>
        <v>GVE201904168722</v>
      </c>
      <c r="F1705" t="str">
        <f>"GUARDIAN VISION VENDOR"</f>
        <v>GUARDIAN VISION VENDOR</v>
      </c>
      <c r="G1705" s="2">
        <v>25.83</v>
      </c>
      <c r="H1705" t="str">
        <f>"GUARDIAN VISION VENDOR"</f>
        <v>GUARDIAN VISION VENDOR</v>
      </c>
    </row>
    <row r="1706" spans="5:8" x14ac:dyDescent="0.25">
      <c r="E1706" t="str">
        <f>"GVF201904038355"</f>
        <v>GVF201904038355</v>
      </c>
      <c r="F1706" t="str">
        <f>"GUARDIAN VISION"</f>
        <v>GUARDIAN VISION</v>
      </c>
      <c r="G1706" s="2">
        <v>551.6</v>
      </c>
      <c r="H1706" t="str">
        <f>"GUARDIAN VISION"</f>
        <v>GUARDIAN VISION</v>
      </c>
    </row>
    <row r="1707" spans="5:8" x14ac:dyDescent="0.25">
      <c r="E1707" t="str">
        <f>"GVF201904038356"</f>
        <v>GVF201904038356</v>
      </c>
      <c r="F1707" t="str">
        <f>"GUARDIAN VISION VENDOR"</f>
        <v>GUARDIAN VISION VENDOR</v>
      </c>
      <c r="G1707" s="2">
        <v>29.55</v>
      </c>
      <c r="H1707" t="str">
        <f>"GUARDIAN VISION VENDOR"</f>
        <v>GUARDIAN VISION VENDOR</v>
      </c>
    </row>
    <row r="1708" spans="5:8" x14ac:dyDescent="0.25">
      <c r="E1708" t="str">
        <f>"GVF201904168721"</f>
        <v>GVF201904168721</v>
      </c>
      <c r="F1708" t="str">
        <f>"GUARDIAN VISION"</f>
        <v>GUARDIAN VISION</v>
      </c>
      <c r="G1708" s="2">
        <v>551.6</v>
      </c>
      <c r="H1708" t="str">
        <f>"GUARDIAN VISION"</f>
        <v>GUARDIAN VISION</v>
      </c>
    </row>
    <row r="1709" spans="5:8" x14ac:dyDescent="0.25">
      <c r="E1709" t="str">
        <f>"GVF201904168722"</f>
        <v>GVF201904168722</v>
      </c>
      <c r="F1709" t="str">
        <f>"GUARDIAN VISION VENDOR"</f>
        <v>GUARDIAN VISION VENDOR</v>
      </c>
      <c r="G1709" s="2">
        <v>29.55</v>
      </c>
      <c r="H1709" t="str">
        <f>"GUARDIAN VISION VENDOR"</f>
        <v>GUARDIAN VISION VENDOR</v>
      </c>
    </row>
    <row r="1710" spans="5:8" x14ac:dyDescent="0.25">
      <c r="E1710" t="str">
        <f>"LIA201904038355"</f>
        <v>LIA201904038355</v>
      </c>
      <c r="F1710" t="str">
        <f>"GUARDIAN"</f>
        <v>GUARDIAN</v>
      </c>
      <c r="G1710" s="2">
        <v>235.54</v>
      </c>
      <c r="H1710" t="str">
        <f t="shared" ref="H1710:H1741" si="25">"GUARDIAN"</f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 t="shared" si="25"/>
        <v>GUARDIAN</v>
      </c>
    </row>
    <row r="1712" spans="5:8" x14ac:dyDescent="0.25">
      <c r="E1712" t="str">
        <f>""</f>
        <v/>
      </c>
      <c r="F1712" t="str">
        <f>""</f>
        <v/>
      </c>
      <c r="H1712" t="str">
        <f t="shared" si="25"/>
        <v>GUARDIAN</v>
      </c>
    </row>
    <row r="1713" spans="5:8" x14ac:dyDescent="0.25">
      <c r="E1713" t="str">
        <f>""</f>
        <v/>
      </c>
      <c r="F1713" t="str">
        <f>""</f>
        <v/>
      </c>
      <c r="H1713" t="str">
        <f t="shared" si="25"/>
        <v>GUARDIAN</v>
      </c>
    </row>
    <row r="1714" spans="5:8" x14ac:dyDescent="0.25">
      <c r="E1714" t="str">
        <f>""</f>
        <v/>
      </c>
      <c r="F1714" t="str">
        <f>""</f>
        <v/>
      </c>
      <c r="H1714" t="str">
        <f t="shared" si="25"/>
        <v>GUARDIAN</v>
      </c>
    </row>
    <row r="1715" spans="5:8" x14ac:dyDescent="0.25">
      <c r="E1715" t="str">
        <f>""</f>
        <v/>
      </c>
      <c r="F1715" t="str">
        <f>""</f>
        <v/>
      </c>
      <c r="H1715" t="str">
        <f t="shared" si="25"/>
        <v>GUARDIAN</v>
      </c>
    </row>
    <row r="1716" spans="5:8" x14ac:dyDescent="0.25">
      <c r="E1716" t="str">
        <f>""</f>
        <v/>
      </c>
      <c r="F1716" t="str">
        <f>""</f>
        <v/>
      </c>
      <c r="H1716" t="str">
        <f t="shared" si="25"/>
        <v>GUARDIAN</v>
      </c>
    </row>
    <row r="1717" spans="5:8" x14ac:dyDescent="0.25">
      <c r="E1717" t="str">
        <f>""</f>
        <v/>
      </c>
      <c r="F1717" t="str">
        <f>""</f>
        <v/>
      </c>
      <c r="H1717" t="str">
        <f t="shared" si="25"/>
        <v>GUARDIAN</v>
      </c>
    </row>
    <row r="1718" spans="5:8" x14ac:dyDescent="0.25">
      <c r="E1718" t="str">
        <f>""</f>
        <v/>
      </c>
      <c r="F1718" t="str">
        <f>""</f>
        <v/>
      </c>
      <c r="H1718" t="str">
        <f t="shared" si="25"/>
        <v>GUARDIAN</v>
      </c>
    </row>
    <row r="1719" spans="5:8" x14ac:dyDescent="0.25">
      <c r="E1719" t="str">
        <f>""</f>
        <v/>
      </c>
      <c r="F1719" t="str">
        <f>""</f>
        <v/>
      </c>
      <c r="H1719" t="str">
        <f t="shared" si="25"/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 t="shared" si="25"/>
        <v>GUARDIAN</v>
      </c>
    </row>
    <row r="1721" spans="5:8" x14ac:dyDescent="0.25">
      <c r="E1721" t="str">
        <f>""</f>
        <v/>
      </c>
      <c r="F1721" t="str">
        <f>""</f>
        <v/>
      </c>
      <c r="H1721" t="str">
        <f t="shared" si="25"/>
        <v>GUARDIAN</v>
      </c>
    </row>
    <row r="1722" spans="5:8" x14ac:dyDescent="0.25">
      <c r="E1722" t="str">
        <f>""</f>
        <v/>
      </c>
      <c r="F1722" t="str">
        <f>""</f>
        <v/>
      </c>
      <c r="H1722" t="str">
        <f t="shared" si="25"/>
        <v>GUARDIAN</v>
      </c>
    </row>
    <row r="1723" spans="5:8" x14ac:dyDescent="0.25">
      <c r="E1723" t="str">
        <f>""</f>
        <v/>
      </c>
      <c r="F1723" t="str">
        <f>""</f>
        <v/>
      </c>
      <c r="H1723" t="str">
        <f t="shared" si="25"/>
        <v>GUARDIAN</v>
      </c>
    </row>
    <row r="1724" spans="5:8" x14ac:dyDescent="0.25">
      <c r="E1724" t="str">
        <f>""</f>
        <v/>
      </c>
      <c r="F1724" t="str">
        <f>""</f>
        <v/>
      </c>
      <c r="H1724" t="str">
        <f t="shared" si="25"/>
        <v>GUARDIAN</v>
      </c>
    </row>
    <row r="1725" spans="5:8" x14ac:dyDescent="0.25">
      <c r="E1725" t="str">
        <f>""</f>
        <v/>
      </c>
      <c r="F1725" t="str">
        <f>""</f>
        <v/>
      </c>
      <c r="H1725" t="str">
        <f t="shared" si="25"/>
        <v>GUARDIAN</v>
      </c>
    </row>
    <row r="1726" spans="5:8" x14ac:dyDescent="0.25">
      <c r="E1726" t="str">
        <f>""</f>
        <v/>
      </c>
      <c r="F1726" t="str">
        <f>""</f>
        <v/>
      </c>
      <c r="H1726" t="str">
        <f t="shared" si="25"/>
        <v>GUARDIAN</v>
      </c>
    </row>
    <row r="1727" spans="5:8" x14ac:dyDescent="0.25">
      <c r="E1727" t="str">
        <f>""</f>
        <v/>
      </c>
      <c r="F1727" t="str">
        <f>""</f>
        <v/>
      </c>
      <c r="H1727" t="str">
        <f t="shared" si="25"/>
        <v>GUARDIAN</v>
      </c>
    </row>
    <row r="1728" spans="5:8" x14ac:dyDescent="0.25">
      <c r="E1728" t="str">
        <f>""</f>
        <v/>
      </c>
      <c r="F1728" t="str">
        <f>""</f>
        <v/>
      </c>
      <c r="H1728" t="str">
        <f t="shared" si="25"/>
        <v>GUARDIAN</v>
      </c>
    </row>
    <row r="1729" spans="5:8" x14ac:dyDescent="0.25">
      <c r="E1729" t="str">
        <f>""</f>
        <v/>
      </c>
      <c r="F1729" t="str">
        <f>""</f>
        <v/>
      </c>
      <c r="H1729" t="str">
        <f t="shared" si="25"/>
        <v>GUARDIAN</v>
      </c>
    </row>
    <row r="1730" spans="5:8" x14ac:dyDescent="0.25">
      <c r="E1730" t="str">
        <f>""</f>
        <v/>
      </c>
      <c r="F1730" t="str">
        <f>""</f>
        <v/>
      </c>
      <c r="H1730" t="str">
        <f t="shared" si="25"/>
        <v>GUARDIAN</v>
      </c>
    </row>
    <row r="1731" spans="5:8" x14ac:dyDescent="0.25">
      <c r="E1731" t="str">
        <f>""</f>
        <v/>
      </c>
      <c r="F1731" t="str">
        <f>""</f>
        <v/>
      </c>
      <c r="H1731" t="str">
        <f t="shared" si="25"/>
        <v>GUARDIAN</v>
      </c>
    </row>
    <row r="1732" spans="5:8" x14ac:dyDescent="0.25">
      <c r="E1732" t="str">
        <f>""</f>
        <v/>
      </c>
      <c r="F1732" t="str">
        <f>""</f>
        <v/>
      </c>
      <c r="H1732" t="str">
        <f t="shared" si="25"/>
        <v>GUARDIAN</v>
      </c>
    </row>
    <row r="1733" spans="5:8" x14ac:dyDescent="0.25">
      <c r="E1733" t="str">
        <f>"LIA201904038356"</f>
        <v>LIA201904038356</v>
      </c>
      <c r="F1733" t="str">
        <f>"GUARDIAN"</f>
        <v>GUARDIAN</v>
      </c>
      <c r="G1733" s="2">
        <v>40.799999999999997</v>
      </c>
      <c r="H1733" t="str">
        <f t="shared" si="25"/>
        <v>GUARDIAN</v>
      </c>
    </row>
    <row r="1734" spans="5:8" x14ac:dyDescent="0.25">
      <c r="E1734" t="str">
        <f>""</f>
        <v/>
      </c>
      <c r="F1734" t="str">
        <f>""</f>
        <v/>
      </c>
      <c r="H1734" t="str">
        <f t="shared" si="25"/>
        <v>GUARDIAN</v>
      </c>
    </row>
    <row r="1735" spans="5:8" x14ac:dyDescent="0.25">
      <c r="E1735" t="str">
        <f>"LIA201904168721"</f>
        <v>LIA201904168721</v>
      </c>
      <c r="F1735" t="str">
        <f>"GUARDIAN"</f>
        <v>GUARDIAN</v>
      </c>
      <c r="G1735" s="2">
        <v>213.48</v>
      </c>
      <c r="H1735" t="str">
        <f t="shared" si="25"/>
        <v>GUARDIAN</v>
      </c>
    </row>
    <row r="1736" spans="5:8" x14ac:dyDescent="0.25">
      <c r="E1736" t="str">
        <f>""</f>
        <v/>
      </c>
      <c r="F1736" t="str">
        <f>""</f>
        <v/>
      </c>
      <c r="H1736" t="str">
        <f t="shared" si="25"/>
        <v>GUARDIAN</v>
      </c>
    </row>
    <row r="1737" spans="5:8" x14ac:dyDescent="0.25">
      <c r="E1737" t="str">
        <f>""</f>
        <v/>
      </c>
      <c r="F1737" t="str">
        <f>""</f>
        <v/>
      </c>
      <c r="H1737" t="str">
        <f t="shared" si="25"/>
        <v>GUARDIAN</v>
      </c>
    </row>
    <row r="1738" spans="5:8" x14ac:dyDescent="0.25">
      <c r="E1738" t="str">
        <f>""</f>
        <v/>
      </c>
      <c r="F1738" t="str">
        <f>""</f>
        <v/>
      </c>
      <c r="H1738" t="str">
        <f t="shared" si="25"/>
        <v>GUARDIAN</v>
      </c>
    </row>
    <row r="1739" spans="5:8" x14ac:dyDescent="0.25">
      <c r="E1739" t="str">
        <f>""</f>
        <v/>
      </c>
      <c r="F1739" t="str">
        <f>""</f>
        <v/>
      </c>
      <c r="H1739" t="str">
        <f t="shared" si="25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25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si="25"/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ref="H1742:H1773" si="26">"GUARDIAN"</f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si="26"/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26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26"/>
        <v>GUARDIAN</v>
      </c>
    </row>
    <row r="1746" spans="5:8" x14ac:dyDescent="0.25">
      <c r="E1746" t="str">
        <f>""</f>
        <v/>
      </c>
      <c r="F1746" t="str">
        <f>""</f>
        <v/>
      </c>
      <c r="H1746" t="str">
        <f t="shared" si="26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26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26"/>
        <v>GUARDIAN</v>
      </c>
    </row>
    <row r="1749" spans="5:8" x14ac:dyDescent="0.25">
      <c r="E1749" t="str">
        <f>""</f>
        <v/>
      </c>
      <c r="F1749" t="str">
        <f>""</f>
        <v/>
      </c>
      <c r="H1749" t="str">
        <f t="shared" si="26"/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26"/>
        <v>GUARDIAN</v>
      </c>
    </row>
    <row r="1751" spans="5:8" x14ac:dyDescent="0.25">
      <c r="E1751" t="str">
        <f>""</f>
        <v/>
      </c>
      <c r="F1751" t="str">
        <f>""</f>
        <v/>
      </c>
      <c r="H1751" t="str">
        <f t="shared" si="26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26"/>
        <v>GUARDIAN</v>
      </c>
    </row>
    <row r="1753" spans="5:8" x14ac:dyDescent="0.25">
      <c r="E1753" t="str">
        <f>""</f>
        <v/>
      </c>
      <c r="F1753" t="str">
        <f>""</f>
        <v/>
      </c>
      <c r="H1753" t="str">
        <f t="shared" si="26"/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26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si="26"/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si="26"/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26"/>
        <v>GUARDIAN</v>
      </c>
    </row>
    <row r="1758" spans="5:8" x14ac:dyDescent="0.25">
      <c r="E1758" t="str">
        <f>"LIA201904168722"</f>
        <v>LIA201904168722</v>
      </c>
      <c r="F1758" t="str">
        <f>"GUARDIAN"</f>
        <v>GUARDIAN</v>
      </c>
      <c r="G1758" s="2">
        <v>40.799999999999997</v>
      </c>
      <c r="H1758" t="str">
        <f t="shared" si="26"/>
        <v>GUARDIAN</v>
      </c>
    </row>
    <row r="1759" spans="5:8" x14ac:dyDescent="0.25">
      <c r="E1759" t="str">
        <f>""</f>
        <v/>
      </c>
      <c r="F1759" t="str">
        <f>""</f>
        <v/>
      </c>
      <c r="H1759" t="str">
        <f t="shared" si="26"/>
        <v>GUARDIAN</v>
      </c>
    </row>
    <row r="1760" spans="5:8" x14ac:dyDescent="0.25">
      <c r="E1760" t="str">
        <f>"LIC201904038355"</f>
        <v>LIC201904038355</v>
      </c>
      <c r="F1760" t="str">
        <f>"GUARDIAN"</f>
        <v>GUARDIAN</v>
      </c>
      <c r="G1760" s="2">
        <v>31.38</v>
      </c>
      <c r="H1760" t="str">
        <f t="shared" si="26"/>
        <v>GUARDIAN</v>
      </c>
    </row>
    <row r="1761" spans="5:8" x14ac:dyDescent="0.25">
      <c r="E1761" t="str">
        <f>"LIC201904038356"</f>
        <v>LIC201904038356</v>
      </c>
      <c r="F1761" t="str">
        <f>"GUARDIAN"</f>
        <v>GUARDIAN</v>
      </c>
      <c r="G1761" s="2">
        <v>1.05</v>
      </c>
      <c r="H1761" t="str">
        <f t="shared" si="26"/>
        <v>GUARDIAN</v>
      </c>
    </row>
    <row r="1762" spans="5:8" x14ac:dyDescent="0.25">
      <c r="E1762" t="str">
        <f>"LIC201904168721"</f>
        <v>LIC201904168721</v>
      </c>
      <c r="F1762" t="str">
        <f>"GUARDIAN"</f>
        <v>GUARDIAN</v>
      </c>
      <c r="G1762" s="2">
        <v>30.96</v>
      </c>
      <c r="H1762" t="str">
        <f t="shared" si="26"/>
        <v>GUARDIAN</v>
      </c>
    </row>
    <row r="1763" spans="5:8" x14ac:dyDescent="0.25">
      <c r="E1763" t="str">
        <f>"LIC201904168722"</f>
        <v>LIC201904168722</v>
      </c>
      <c r="F1763" t="str">
        <f>"GUARDIAN"</f>
        <v>GUARDIAN</v>
      </c>
      <c r="G1763" s="2">
        <v>1.05</v>
      </c>
      <c r="H1763" t="str">
        <f t="shared" si="26"/>
        <v>GUARDIAN</v>
      </c>
    </row>
    <row r="1764" spans="5:8" x14ac:dyDescent="0.25">
      <c r="E1764" t="str">
        <f>"LIE201904038355"</f>
        <v>LIE201904038355</v>
      </c>
      <c r="F1764" t="str">
        <f>"GUARDIAN"</f>
        <v>GUARDIAN</v>
      </c>
      <c r="G1764" s="2">
        <v>3420.87</v>
      </c>
      <c r="H1764" t="str">
        <f t="shared" si="26"/>
        <v>GUARDIAN</v>
      </c>
    </row>
    <row r="1765" spans="5:8" x14ac:dyDescent="0.25">
      <c r="E1765" t="str">
        <f>""</f>
        <v/>
      </c>
      <c r="F1765" t="str">
        <f>""</f>
        <v/>
      </c>
      <c r="H1765" t="str">
        <f t="shared" si="26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26"/>
        <v>GUARDIAN</v>
      </c>
    </row>
    <row r="1767" spans="5:8" x14ac:dyDescent="0.25">
      <c r="E1767" t="str">
        <f>""</f>
        <v/>
      </c>
      <c r="F1767" t="str">
        <f>""</f>
        <v/>
      </c>
      <c r="H1767" t="str">
        <f t="shared" si="26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26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si="26"/>
        <v>GUARDIAN</v>
      </c>
    </row>
    <row r="1770" spans="5:8" x14ac:dyDescent="0.25">
      <c r="E1770" t="str">
        <f>""</f>
        <v/>
      </c>
      <c r="F1770" t="str">
        <f>""</f>
        <v/>
      </c>
      <c r="H1770" t="str">
        <f t="shared" si="26"/>
        <v>GUARDIAN</v>
      </c>
    </row>
    <row r="1771" spans="5:8" x14ac:dyDescent="0.25">
      <c r="E1771" t="str">
        <f>""</f>
        <v/>
      </c>
      <c r="F1771" t="str">
        <f>""</f>
        <v/>
      </c>
      <c r="H1771" t="str">
        <f t="shared" si="26"/>
        <v>GUARDIAN</v>
      </c>
    </row>
    <row r="1772" spans="5:8" x14ac:dyDescent="0.25">
      <c r="E1772" t="str">
        <f>""</f>
        <v/>
      </c>
      <c r="F1772" t="str">
        <f>""</f>
        <v/>
      </c>
      <c r="H1772" t="str">
        <f t="shared" si="26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si="26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ref="H1774:H1805" si="27">"GUARDIAN"</f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27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27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27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si="27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27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27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si="27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27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27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27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27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27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27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27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27"/>
        <v>GUARDIAN</v>
      </c>
    </row>
    <row r="1790" spans="5:8" x14ac:dyDescent="0.25">
      <c r="E1790" t="str">
        <f>""</f>
        <v/>
      </c>
      <c r="F1790" t="str">
        <f>""</f>
        <v/>
      </c>
      <c r="H1790" t="str">
        <f t="shared" si="27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si="27"/>
        <v>GUARDIAN</v>
      </c>
    </row>
    <row r="1792" spans="5:8" x14ac:dyDescent="0.25">
      <c r="E1792" t="str">
        <f>""</f>
        <v/>
      </c>
      <c r="F1792" t="str">
        <f>""</f>
        <v/>
      </c>
      <c r="H1792" t="str">
        <f t="shared" si="27"/>
        <v>GUARDIAN</v>
      </c>
    </row>
    <row r="1793" spans="5:8" x14ac:dyDescent="0.25">
      <c r="E1793" t="str">
        <f>""</f>
        <v/>
      </c>
      <c r="F1793" t="str">
        <f>""</f>
        <v/>
      </c>
      <c r="H1793" t="str">
        <f t="shared" si="27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27"/>
        <v>GUARDIAN</v>
      </c>
    </row>
    <row r="1795" spans="5:8" x14ac:dyDescent="0.25">
      <c r="E1795" t="str">
        <f>""</f>
        <v/>
      </c>
      <c r="F1795" t="str">
        <f>""</f>
        <v/>
      </c>
      <c r="H1795" t="str">
        <f t="shared" si="27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27"/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27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27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27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27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27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27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27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27"/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si="27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ref="H1806:H1837" si="28">"GUARDIAN"</f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si="28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28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28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28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28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28"/>
        <v>GUARDIAN</v>
      </c>
    </row>
    <row r="1813" spans="5:8" x14ac:dyDescent="0.25">
      <c r="E1813" t="str">
        <f>"LIE201904038356"</f>
        <v>LIE201904038356</v>
      </c>
      <c r="F1813" t="str">
        <f>"GUARDIAN"</f>
        <v>GUARDIAN</v>
      </c>
      <c r="G1813" s="2">
        <v>83.65</v>
      </c>
      <c r="H1813" t="str">
        <f t="shared" si="28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28"/>
        <v>GUARDIAN</v>
      </c>
    </row>
    <row r="1815" spans="5:8" x14ac:dyDescent="0.25">
      <c r="E1815" t="str">
        <f>"LIE201904168721"</f>
        <v>LIE201904168721</v>
      </c>
      <c r="F1815" t="str">
        <f>"GUARDIAN"</f>
        <v>GUARDIAN</v>
      </c>
      <c r="G1815" s="2">
        <v>3416.09</v>
      </c>
      <c r="H1815" t="str">
        <f t="shared" si="28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28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28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28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28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28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28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28"/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si="28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28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28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28"/>
        <v>GUARDIAN</v>
      </c>
    </row>
    <row r="1827" spans="5:8" x14ac:dyDescent="0.25">
      <c r="E1827" t="str">
        <f>""</f>
        <v/>
      </c>
      <c r="F1827" t="str">
        <f>""</f>
        <v/>
      </c>
      <c r="H1827" t="str">
        <f t="shared" si="28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28"/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28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28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28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28"/>
        <v>GUARDIAN</v>
      </c>
    </row>
    <row r="1833" spans="5:8" x14ac:dyDescent="0.25">
      <c r="E1833" t="str">
        <f>""</f>
        <v/>
      </c>
      <c r="F1833" t="str">
        <f>""</f>
        <v/>
      </c>
      <c r="H1833" t="str">
        <f t="shared" si="28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28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28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28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28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ref="H1838:H1869" si="29">"GUARDIAN"</f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29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29"/>
        <v>GUARDIAN</v>
      </c>
    </row>
    <row r="1841" spans="5:8" x14ac:dyDescent="0.25">
      <c r="E1841" t="str">
        <f>""</f>
        <v/>
      </c>
      <c r="F1841" t="str">
        <f>""</f>
        <v/>
      </c>
      <c r="H1841" t="str">
        <f t="shared" si="29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si="29"/>
        <v>GUARDIAN</v>
      </c>
    </row>
    <row r="1843" spans="5:8" x14ac:dyDescent="0.25">
      <c r="E1843" t="str">
        <f>""</f>
        <v/>
      </c>
      <c r="F1843" t="str">
        <f>""</f>
        <v/>
      </c>
      <c r="H1843" t="str">
        <f t="shared" si="29"/>
        <v>GUARDIAN</v>
      </c>
    </row>
    <row r="1844" spans="5:8" x14ac:dyDescent="0.25">
      <c r="E1844" t="str">
        <f>""</f>
        <v/>
      </c>
      <c r="F1844" t="str">
        <f>""</f>
        <v/>
      </c>
      <c r="H1844" t="str">
        <f t="shared" si="29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si="29"/>
        <v>GUARDIAN</v>
      </c>
    </row>
    <row r="1846" spans="5:8" x14ac:dyDescent="0.25">
      <c r="E1846" t="str">
        <f>""</f>
        <v/>
      </c>
      <c r="F1846" t="str">
        <f>""</f>
        <v/>
      </c>
      <c r="H1846" t="str">
        <f t="shared" si="29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29"/>
        <v>GUARDIAN</v>
      </c>
    </row>
    <row r="1848" spans="5:8" x14ac:dyDescent="0.25">
      <c r="E1848" t="str">
        <f>""</f>
        <v/>
      </c>
      <c r="F1848" t="str">
        <f>""</f>
        <v/>
      </c>
      <c r="H1848" t="str">
        <f t="shared" si="29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si="29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29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29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29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29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29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si="29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29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29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29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si="29"/>
        <v>GUARDIAN</v>
      </c>
    </row>
    <row r="1860" spans="5:8" x14ac:dyDescent="0.25">
      <c r="E1860" t="str">
        <f>""</f>
        <v/>
      </c>
      <c r="F1860" t="str">
        <f>""</f>
        <v/>
      </c>
      <c r="H1860" t="str">
        <f t="shared" si="29"/>
        <v>GUARDIAN</v>
      </c>
    </row>
    <row r="1861" spans="5:8" x14ac:dyDescent="0.25">
      <c r="E1861" t="str">
        <f>""</f>
        <v/>
      </c>
      <c r="F1861" t="str">
        <f>""</f>
        <v/>
      </c>
      <c r="H1861" t="str">
        <f t="shared" si="29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29"/>
        <v>GUARDIAN</v>
      </c>
    </row>
    <row r="1863" spans="5:8" x14ac:dyDescent="0.25">
      <c r="E1863" t="str">
        <f>""</f>
        <v/>
      </c>
      <c r="F1863" t="str">
        <f>""</f>
        <v/>
      </c>
      <c r="H1863" t="str">
        <f t="shared" si="29"/>
        <v>GUARDIAN</v>
      </c>
    </row>
    <row r="1864" spans="5:8" x14ac:dyDescent="0.25">
      <c r="E1864" t="str">
        <f>"LIE201904168722"</f>
        <v>LIE201904168722</v>
      </c>
      <c r="F1864" t="str">
        <f>"GUARDIAN"</f>
        <v>GUARDIAN</v>
      </c>
      <c r="G1864" s="2">
        <v>83.65</v>
      </c>
      <c r="H1864" t="str">
        <f t="shared" si="29"/>
        <v>GUARDIAN</v>
      </c>
    </row>
    <row r="1865" spans="5:8" x14ac:dyDescent="0.25">
      <c r="E1865" t="str">
        <f>""</f>
        <v/>
      </c>
      <c r="F1865" t="str">
        <f>""</f>
        <v/>
      </c>
      <c r="H1865" t="str">
        <f t="shared" si="29"/>
        <v>GUARDIAN</v>
      </c>
    </row>
    <row r="1866" spans="5:8" x14ac:dyDescent="0.25">
      <c r="E1866" t="str">
        <f>"LIS201904038355"</f>
        <v>LIS201904038355</v>
      </c>
      <c r="F1866" t="str">
        <f t="shared" ref="F1866:F1877" si="30">"GUARDIAN"</f>
        <v>GUARDIAN</v>
      </c>
      <c r="G1866" s="2">
        <v>463.68</v>
      </c>
      <c r="H1866" t="str">
        <f t="shared" si="29"/>
        <v>GUARDIAN</v>
      </c>
    </row>
    <row r="1867" spans="5:8" x14ac:dyDescent="0.25">
      <c r="E1867" t="str">
        <f>"LIS201904038356"</f>
        <v>LIS201904038356</v>
      </c>
      <c r="F1867" t="str">
        <f t="shared" si="30"/>
        <v>GUARDIAN</v>
      </c>
      <c r="G1867" s="2">
        <v>36.15</v>
      </c>
      <c r="H1867" t="str">
        <f t="shared" si="29"/>
        <v>GUARDIAN</v>
      </c>
    </row>
    <row r="1868" spans="5:8" x14ac:dyDescent="0.25">
      <c r="E1868" t="str">
        <f>"LIS201904168721"</f>
        <v>LIS201904168721</v>
      </c>
      <c r="F1868" t="str">
        <f t="shared" si="30"/>
        <v>GUARDIAN</v>
      </c>
      <c r="G1868" s="2">
        <v>463.73</v>
      </c>
      <c r="H1868" t="str">
        <f t="shared" si="29"/>
        <v>GUARDIAN</v>
      </c>
    </row>
    <row r="1869" spans="5:8" x14ac:dyDescent="0.25">
      <c r="E1869" t="str">
        <f>"LIS201904168722"</f>
        <v>LIS201904168722</v>
      </c>
      <c r="F1869" t="str">
        <f t="shared" si="30"/>
        <v>GUARDIAN</v>
      </c>
      <c r="G1869" s="2">
        <v>36.15</v>
      </c>
      <c r="H1869" t="str">
        <f t="shared" si="29"/>
        <v>GUARDIAN</v>
      </c>
    </row>
    <row r="1870" spans="5:8" x14ac:dyDescent="0.25">
      <c r="E1870" t="str">
        <f>"LTD201904038355"</f>
        <v>LTD201904038355</v>
      </c>
      <c r="F1870" t="str">
        <f t="shared" si="30"/>
        <v>GUARDIAN</v>
      </c>
      <c r="G1870" s="2">
        <v>895.62</v>
      </c>
      <c r="H1870" t="str">
        <f t="shared" ref="H1870:H1877" si="31">"GUARDIAN"</f>
        <v>GUARDIAN</v>
      </c>
    </row>
    <row r="1871" spans="5:8" x14ac:dyDescent="0.25">
      <c r="E1871" t="str">
        <f>"LTD201904038356"</f>
        <v>LTD201904038356</v>
      </c>
      <c r="F1871" t="str">
        <f t="shared" si="30"/>
        <v>GUARDIAN</v>
      </c>
      <c r="G1871" s="2">
        <v>6.11</v>
      </c>
      <c r="H1871" t="str">
        <f t="shared" si="31"/>
        <v>GUARDIAN</v>
      </c>
    </row>
    <row r="1872" spans="5:8" x14ac:dyDescent="0.25">
      <c r="E1872" t="str">
        <f>"LTD201904168721"</f>
        <v>LTD201904168721</v>
      </c>
      <c r="F1872" t="str">
        <f t="shared" si="30"/>
        <v>GUARDIAN</v>
      </c>
      <c r="G1872" s="2">
        <v>895.62</v>
      </c>
      <c r="H1872" t="str">
        <f t="shared" si="31"/>
        <v>GUARDIAN</v>
      </c>
    </row>
    <row r="1873" spans="1:8" x14ac:dyDescent="0.25">
      <c r="E1873" t="str">
        <f>"LTD201904168722"</f>
        <v>LTD201904168722</v>
      </c>
      <c r="F1873" t="str">
        <f t="shared" si="30"/>
        <v>GUARDIAN</v>
      </c>
      <c r="G1873" s="2">
        <v>6.11</v>
      </c>
      <c r="H1873" t="str">
        <f t="shared" si="31"/>
        <v>GUARDIAN</v>
      </c>
    </row>
    <row r="1874" spans="1:8" x14ac:dyDescent="0.25">
      <c r="A1874" t="s">
        <v>420</v>
      </c>
      <c r="B1874" s="3">
        <v>117</v>
      </c>
      <c r="C1874" s="2">
        <v>109.1</v>
      </c>
      <c r="D1874" s="1">
        <v>43580</v>
      </c>
      <c r="E1874" t="str">
        <f>"AEG201904038355"</f>
        <v>AEG201904038355</v>
      </c>
      <c r="F1874" t="str">
        <f t="shared" si="30"/>
        <v>GUARDIAN</v>
      </c>
      <c r="G1874" s="2">
        <v>6.66</v>
      </c>
      <c r="H1874" t="str">
        <f t="shared" si="31"/>
        <v>GUARDIAN</v>
      </c>
    </row>
    <row r="1875" spans="1:8" x14ac:dyDescent="0.25">
      <c r="E1875" t="str">
        <f>"AEG201904168721"</f>
        <v>AEG201904168721</v>
      </c>
      <c r="F1875" t="str">
        <f t="shared" si="30"/>
        <v>GUARDIAN</v>
      </c>
      <c r="G1875" s="2">
        <v>6.66</v>
      </c>
      <c r="H1875" t="str">
        <f t="shared" si="31"/>
        <v>GUARDIAN</v>
      </c>
    </row>
    <row r="1876" spans="1:8" x14ac:dyDescent="0.25">
      <c r="E1876" t="str">
        <f>"AFG201904038355"</f>
        <v>AFG201904038355</v>
      </c>
      <c r="F1876" t="str">
        <f t="shared" si="30"/>
        <v>GUARDIAN</v>
      </c>
      <c r="G1876" s="2">
        <v>47.89</v>
      </c>
      <c r="H1876" t="str">
        <f t="shared" si="31"/>
        <v>GUARDIAN</v>
      </c>
    </row>
    <row r="1877" spans="1:8" x14ac:dyDescent="0.25">
      <c r="E1877" t="str">
        <f>"AFG201904168721"</f>
        <v>AFG201904168721</v>
      </c>
      <c r="F1877" t="str">
        <f t="shared" si="30"/>
        <v>GUARDIAN</v>
      </c>
      <c r="G1877" s="2">
        <v>47.89</v>
      </c>
      <c r="H1877" t="str">
        <f t="shared" si="31"/>
        <v>GUARDIAN</v>
      </c>
    </row>
    <row r="1878" spans="1:8" x14ac:dyDescent="0.25">
      <c r="A1878" t="s">
        <v>421</v>
      </c>
      <c r="B1878" s="3">
        <v>100</v>
      </c>
      <c r="C1878" s="2">
        <v>222951.85</v>
      </c>
      <c r="D1878" s="1">
        <v>43560</v>
      </c>
      <c r="E1878" t="str">
        <f>"T1 201904038355"</f>
        <v>T1 201904038355</v>
      </c>
      <c r="F1878" t="str">
        <f>"FEDERAL WITHHOLDING"</f>
        <v>FEDERAL WITHHOLDING</v>
      </c>
      <c r="G1878" s="2">
        <v>73499.59</v>
      </c>
      <c r="H1878" t="str">
        <f>"FEDERAL WITHHOLDING"</f>
        <v>FEDERAL WITHHOLDING</v>
      </c>
    </row>
    <row r="1879" spans="1:8" x14ac:dyDescent="0.25">
      <c r="E1879" t="str">
        <f>"T1 201904038356"</f>
        <v>T1 201904038356</v>
      </c>
      <c r="F1879" t="str">
        <f>"FEDERAL WITHHOLDING"</f>
        <v>FEDERAL WITHHOLDING</v>
      </c>
      <c r="G1879" s="2">
        <v>2858.61</v>
      </c>
      <c r="H1879" t="str">
        <f>"FEDERAL WITHHOLDING"</f>
        <v>FEDERAL WITHHOLDING</v>
      </c>
    </row>
    <row r="1880" spans="1:8" x14ac:dyDescent="0.25">
      <c r="E1880" t="str">
        <f>"T1 201904038357"</f>
        <v>T1 201904038357</v>
      </c>
      <c r="F1880" t="str">
        <f>"FEDERAL WITHHOLDING"</f>
        <v>FEDERAL WITHHOLDING</v>
      </c>
      <c r="G1880" s="2">
        <v>3805.83</v>
      </c>
      <c r="H1880" t="str">
        <f>"FEDERAL WITHHOLDING"</f>
        <v>FEDERAL WITHHOLDING</v>
      </c>
    </row>
    <row r="1881" spans="1:8" x14ac:dyDescent="0.25">
      <c r="E1881" t="str">
        <f>"T3 201904038355"</f>
        <v>T3 201904038355</v>
      </c>
      <c r="F1881" t="str">
        <f>"SOCIAL SECURITY TAXES"</f>
        <v>SOCIAL SECURITY TAXES</v>
      </c>
      <c r="G1881" s="2">
        <v>106411</v>
      </c>
      <c r="H1881" t="str">
        <f t="shared" ref="H1881:H1912" si="32">"SOCIAL SECURITY TAXES"</f>
        <v>SOCIAL SECURITY TAXES</v>
      </c>
    </row>
    <row r="1882" spans="1:8" x14ac:dyDescent="0.25">
      <c r="E1882" t="str">
        <f>""</f>
        <v/>
      </c>
      <c r="F1882" t="str">
        <f>""</f>
        <v/>
      </c>
      <c r="H1882" t="str">
        <f t="shared" si="32"/>
        <v>SOCIAL SECURITY TAXES</v>
      </c>
    </row>
    <row r="1883" spans="1:8" x14ac:dyDescent="0.25">
      <c r="E1883" t="str">
        <f>""</f>
        <v/>
      </c>
      <c r="F1883" t="str">
        <f>""</f>
        <v/>
      </c>
      <c r="H1883" t="str">
        <f t="shared" si="32"/>
        <v>SOCIAL SECURITY TAXES</v>
      </c>
    </row>
    <row r="1884" spans="1:8" x14ac:dyDescent="0.25">
      <c r="E1884" t="str">
        <f>""</f>
        <v/>
      </c>
      <c r="F1884" t="str">
        <f>""</f>
        <v/>
      </c>
      <c r="H1884" t="str">
        <f t="shared" si="32"/>
        <v>SOCIAL SECURITY TAXES</v>
      </c>
    </row>
    <row r="1885" spans="1:8" x14ac:dyDescent="0.25">
      <c r="E1885" t="str">
        <f>""</f>
        <v/>
      </c>
      <c r="F1885" t="str">
        <f>""</f>
        <v/>
      </c>
      <c r="H1885" t="str">
        <f t="shared" si="32"/>
        <v>SOCIAL SECURITY TAXES</v>
      </c>
    </row>
    <row r="1886" spans="1:8" x14ac:dyDescent="0.25">
      <c r="E1886" t="str">
        <f>""</f>
        <v/>
      </c>
      <c r="F1886" t="str">
        <f>""</f>
        <v/>
      </c>
      <c r="H1886" t="str">
        <f t="shared" si="32"/>
        <v>SOCIAL SECURITY TAXES</v>
      </c>
    </row>
    <row r="1887" spans="1:8" x14ac:dyDescent="0.25">
      <c r="E1887" t="str">
        <f>""</f>
        <v/>
      </c>
      <c r="F1887" t="str">
        <f>""</f>
        <v/>
      </c>
      <c r="H1887" t="str">
        <f t="shared" si="32"/>
        <v>SOCIAL SECURITY TAXES</v>
      </c>
    </row>
    <row r="1888" spans="1:8" x14ac:dyDescent="0.25">
      <c r="E1888" t="str">
        <f>""</f>
        <v/>
      </c>
      <c r="F1888" t="str">
        <f>""</f>
        <v/>
      </c>
      <c r="H1888" t="str">
        <f t="shared" si="32"/>
        <v>SOCIAL SECURITY TAXES</v>
      </c>
    </row>
    <row r="1889" spans="5:8" x14ac:dyDescent="0.25">
      <c r="E1889" t="str">
        <f>""</f>
        <v/>
      </c>
      <c r="F1889" t="str">
        <f>""</f>
        <v/>
      </c>
      <c r="H1889" t="str">
        <f t="shared" si="32"/>
        <v>SOCIAL SECURITY TAXES</v>
      </c>
    </row>
    <row r="1890" spans="5:8" x14ac:dyDescent="0.25">
      <c r="E1890" t="str">
        <f>""</f>
        <v/>
      </c>
      <c r="F1890" t="str">
        <f>""</f>
        <v/>
      </c>
      <c r="H1890" t="str">
        <f t="shared" si="32"/>
        <v>SOCIAL SECURITY TAXES</v>
      </c>
    </row>
    <row r="1891" spans="5:8" x14ac:dyDescent="0.25">
      <c r="E1891" t="str">
        <f>""</f>
        <v/>
      </c>
      <c r="F1891" t="str">
        <f>""</f>
        <v/>
      </c>
      <c r="H1891" t="str">
        <f t="shared" si="32"/>
        <v>SOCIAL SECURITY TAXES</v>
      </c>
    </row>
    <row r="1892" spans="5:8" x14ac:dyDescent="0.25">
      <c r="E1892" t="str">
        <f>""</f>
        <v/>
      </c>
      <c r="F1892" t="str">
        <f>""</f>
        <v/>
      </c>
      <c r="H1892" t="str">
        <f t="shared" si="32"/>
        <v>SOCIAL SECURITY TAXES</v>
      </c>
    </row>
    <row r="1893" spans="5:8" x14ac:dyDescent="0.25">
      <c r="E1893" t="str">
        <f>""</f>
        <v/>
      </c>
      <c r="F1893" t="str">
        <f>""</f>
        <v/>
      </c>
      <c r="H1893" t="str">
        <f t="shared" si="32"/>
        <v>SOCIAL SECURITY TAXES</v>
      </c>
    </row>
    <row r="1894" spans="5:8" x14ac:dyDescent="0.25">
      <c r="E1894" t="str">
        <f>""</f>
        <v/>
      </c>
      <c r="F1894" t="str">
        <f>""</f>
        <v/>
      </c>
      <c r="H1894" t="str">
        <f t="shared" si="32"/>
        <v>SOCIAL SECURITY TAXES</v>
      </c>
    </row>
    <row r="1895" spans="5:8" x14ac:dyDescent="0.25">
      <c r="E1895" t="str">
        <f>""</f>
        <v/>
      </c>
      <c r="F1895" t="str">
        <f>""</f>
        <v/>
      </c>
      <c r="H1895" t="str">
        <f t="shared" si="32"/>
        <v>SOCIAL SECURITY TAXES</v>
      </c>
    </row>
    <row r="1896" spans="5:8" x14ac:dyDescent="0.25">
      <c r="E1896" t="str">
        <f>""</f>
        <v/>
      </c>
      <c r="F1896" t="str">
        <f>""</f>
        <v/>
      </c>
      <c r="H1896" t="str">
        <f t="shared" si="32"/>
        <v>SOCIAL SECURITY TAXES</v>
      </c>
    </row>
    <row r="1897" spans="5:8" x14ac:dyDescent="0.25">
      <c r="E1897" t="str">
        <f>""</f>
        <v/>
      </c>
      <c r="F1897" t="str">
        <f>""</f>
        <v/>
      </c>
      <c r="H1897" t="str">
        <f t="shared" si="32"/>
        <v>SOCIAL SECURITY TAXES</v>
      </c>
    </row>
    <row r="1898" spans="5:8" x14ac:dyDescent="0.25">
      <c r="E1898" t="str">
        <f>""</f>
        <v/>
      </c>
      <c r="F1898" t="str">
        <f>""</f>
        <v/>
      </c>
      <c r="H1898" t="str">
        <f t="shared" si="32"/>
        <v>SOCIAL SECURITY TAXES</v>
      </c>
    </row>
    <row r="1899" spans="5:8" x14ac:dyDescent="0.25">
      <c r="E1899" t="str">
        <f>""</f>
        <v/>
      </c>
      <c r="F1899" t="str">
        <f>""</f>
        <v/>
      </c>
      <c r="H1899" t="str">
        <f t="shared" si="32"/>
        <v>SOCIAL SECURITY TAXES</v>
      </c>
    </row>
    <row r="1900" spans="5:8" x14ac:dyDescent="0.25">
      <c r="E1900" t="str">
        <f>""</f>
        <v/>
      </c>
      <c r="F1900" t="str">
        <f>""</f>
        <v/>
      </c>
      <c r="H1900" t="str">
        <f t="shared" si="32"/>
        <v>SOCIAL SECURITY TAXES</v>
      </c>
    </row>
    <row r="1901" spans="5:8" x14ac:dyDescent="0.25">
      <c r="E1901" t="str">
        <f>""</f>
        <v/>
      </c>
      <c r="F1901" t="str">
        <f>""</f>
        <v/>
      </c>
      <c r="H1901" t="str">
        <f t="shared" si="32"/>
        <v>SOCIAL SECURITY TAXES</v>
      </c>
    </row>
    <row r="1902" spans="5:8" x14ac:dyDescent="0.25">
      <c r="E1902" t="str">
        <f>""</f>
        <v/>
      </c>
      <c r="F1902" t="str">
        <f>""</f>
        <v/>
      </c>
      <c r="H1902" t="str">
        <f t="shared" si="32"/>
        <v>SOCIAL SECURITY TAXES</v>
      </c>
    </row>
    <row r="1903" spans="5:8" x14ac:dyDescent="0.25">
      <c r="E1903" t="str">
        <f>""</f>
        <v/>
      </c>
      <c r="F1903" t="str">
        <f>""</f>
        <v/>
      </c>
      <c r="H1903" t="str">
        <f t="shared" si="32"/>
        <v>SOCIAL SECURITY TAXES</v>
      </c>
    </row>
    <row r="1904" spans="5:8" x14ac:dyDescent="0.25">
      <c r="E1904" t="str">
        <f>""</f>
        <v/>
      </c>
      <c r="F1904" t="str">
        <f>""</f>
        <v/>
      </c>
      <c r="H1904" t="str">
        <f t="shared" si="32"/>
        <v>SOCIAL SECURITY TAXES</v>
      </c>
    </row>
    <row r="1905" spans="5:8" x14ac:dyDescent="0.25">
      <c r="E1905" t="str">
        <f>""</f>
        <v/>
      </c>
      <c r="F1905" t="str">
        <f>""</f>
        <v/>
      </c>
      <c r="H1905" t="str">
        <f t="shared" si="32"/>
        <v>SOCIAL SECURITY TAXES</v>
      </c>
    </row>
    <row r="1906" spans="5:8" x14ac:dyDescent="0.25">
      <c r="E1906" t="str">
        <f>""</f>
        <v/>
      </c>
      <c r="F1906" t="str">
        <f>""</f>
        <v/>
      </c>
      <c r="H1906" t="str">
        <f t="shared" si="32"/>
        <v>SOCIAL SECURITY TAXES</v>
      </c>
    </row>
    <row r="1907" spans="5:8" x14ac:dyDescent="0.25">
      <c r="E1907" t="str">
        <f>""</f>
        <v/>
      </c>
      <c r="F1907" t="str">
        <f>""</f>
        <v/>
      </c>
      <c r="H1907" t="str">
        <f t="shared" si="32"/>
        <v>SOCIAL SECURITY TAXES</v>
      </c>
    </row>
    <row r="1908" spans="5:8" x14ac:dyDescent="0.25">
      <c r="E1908" t="str">
        <f>""</f>
        <v/>
      </c>
      <c r="F1908" t="str">
        <f>""</f>
        <v/>
      </c>
      <c r="H1908" t="str">
        <f t="shared" si="32"/>
        <v>SOCIAL SECURITY TAXES</v>
      </c>
    </row>
    <row r="1909" spans="5:8" x14ac:dyDescent="0.25">
      <c r="E1909" t="str">
        <f>""</f>
        <v/>
      </c>
      <c r="F1909" t="str">
        <f>""</f>
        <v/>
      </c>
      <c r="H1909" t="str">
        <f t="shared" si="32"/>
        <v>SOCIAL SECURITY TAXES</v>
      </c>
    </row>
    <row r="1910" spans="5:8" x14ac:dyDescent="0.25">
      <c r="E1910" t="str">
        <f>""</f>
        <v/>
      </c>
      <c r="F1910" t="str">
        <f>""</f>
        <v/>
      </c>
      <c r="H1910" t="str">
        <f t="shared" si="32"/>
        <v>SOCIAL SECURITY TAXES</v>
      </c>
    </row>
    <row r="1911" spans="5:8" x14ac:dyDescent="0.25">
      <c r="E1911" t="str">
        <f>""</f>
        <v/>
      </c>
      <c r="F1911" t="str">
        <f>""</f>
        <v/>
      </c>
      <c r="H1911" t="str">
        <f t="shared" si="32"/>
        <v>SOCIAL SECURITY TAXES</v>
      </c>
    </row>
    <row r="1912" spans="5:8" x14ac:dyDescent="0.25">
      <c r="E1912" t="str">
        <f>""</f>
        <v/>
      </c>
      <c r="F1912" t="str">
        <f>""</f>
        <v/>
      </c>
      <c r="H1912" t="str">
        <f t="shared" si="32"/>
        <v>SOCIAL SECURITY TAXES</v>
      </c>
    </row>
    <row r="1913" spans="5:8" x14ac:dyDescent="0.25">
      <c r="E1913" t="str">
        <f>""</f>
        <v/>
      </c>
      <c r="F1913" t="str">
        <f>""</f>
        <v/>
      </c>
      <c r="H1913" t="str">
        <f t="shared" ref="H1913:H1936" si="33">"SOCIAL SECURITY TAXES"</f>
        <v>SOCIAL SECURITY TAXES</v>
      </c>
    </row>
    <row r="1914" spans="5:8" x14ac:dyDescent="0.25">
      <c r="E1914" t="str">
        <f>""</f>
        <v/>
      </c>
      <c r="F1914" t="str">
        <f>""</f>
        <v/>
      </c>
      <c r="H1914" t="str">
        <f t="shared" si="33"/>
        <v>SOCIAL SECURITY TAXES</v>
      </c>
    </row>
    <row r="1915" spans="5:8" x14ac:dyDescent="0.25">
      <c r="E1915" t="str">
        <f>""</f>
        <v/>
      </c>
      <c r="F1915" t="str">
        <f>""</f>
        <v/>
      </c>
      <c r="H1915" t="str">
        <f t="shared" si="33"/>
        <v>SOCIAL SECURITY TAXES</v>
      </c>
    </row>
    <row r="1916" spans="5:8" x14ac:dyDescent="0.25">
      <c r="E1916" t="str">
        <f>""</f>
        <v/>
      </c>
      <c r="F1916" t="str">
        <f>""</f>
        <v/>
      </c>
      <c r="H1916" t="str">
        <f t="shared" si="33"/>
        <v>SOCIAL SECURITY TAXES</v>
      </c>
    </row>
    <row r="1917" spans="5:8" x14ac:dyDescent="0.25">
      <c r="E1917" t="str">
        <f>""</f>
        <v/>
      </c>
      <c r="F1917" t="str">
        <f>""</f>
        <v/>
      </c>
      <c r="H1917" t="str">
        <f t="shared" si="33"/>
        <v>SOCIAL SECURITY TAXES</v>
      </c>
    </row>
    <row r="1918" spans="5:8" x14ac:dyDescent="0.25">
      <c r="E1918" t="str">
        <f>""</f>
        <v/>
      </c>
      <c r="F1918" t="str">
        <f>""</f>
        <v/>
      </c>
      <c r="H1918" t="str">
        <f t="shared" si="33"/>
        <v>SOCIAL SECURITY TAXES</v>
      </c>
    </row>
    <row r="1919" spans="5:8" x14ac:dyDescent="0.25">
      <c r="E1919" t="str">
        <f>""</f>
        <v/>
      </c>
      <c r="F1919" t="str">
        <f>""</f>
        <v/>
      </c>
      <c r="H1919" t="str">
        <f t="shared" si="33"/>
        <v>SOCIAL SECURITY TAXES</v>
      </c>
    </row>
    <row r="1920" spans="5:8" x14ac:dyDescent="0.25">
      <c r="E1920" t="str">
        <f>""</f>
        <v/>
      </c>
      <c r="F1920" t="str">
        <f>""</f>
        <v/>
      </c>
      <c r="H1920" t="str">
        <f t="shared" si="33"/>
        <v>SOCIAL SECURITY TAXES</v>
      </c>
    </row>
    <row r="1921" spans="5:8" x14ac:dyDescent="0.25">
      <c r="E1921" t="str">
        <f>""</f>
        <v/>
      </c>
      <c r="F1921" t="str">
        <f>""</f>
        <v/>
      </c>
      <c r="H1921" t="str">
        <f t="shared" si="33"/>
        <v>SOCIAL SECURITY TAXES</v>
      </c>
    </row>
    <row r="1922" spans="5:8" x14ac:dyDescent="0.25">
      <c r="E1922" t="str">
        <f>""</f>
        <v/>
      </c>
      <c r="F1922" t="str">
        <f>""</f>
        <v/>
      </c>
      <c r="H1922" t="str">
        <f t="shared" si="33"/>
        <v>SOCIAL SECURITY TAXES</v>
      </c>
    </row>
    <row r="1923" spans="5:8" x14ac:dyDescent="0.25">
      <c r="E1923" t="str">
        <f>""</f>
        <v/>
      </c>
      <c r="F1923" t="str">
        <f>""</f>
        <v/>
      </c>
      <c r="H1923" t="str">
        <f t="shared" si="33"/>
        <v>SOCIAL SECURITY TAXES</v>
      </c>
    </row>
    <row r="1924" spans="5:8" x14ac:dyDescent="0.25">
      <c r="E1924" t="str">
        <f>""</f>
        <v/>
      </c>
      <c r="F1924" t="str">
        <f>""</f>
        <v/>
      </c>
      <c r="H1924" t="str">
        <f t="shared" si="33"/>
        <v>SOCIAL SECURITY TAXES</v>
      </c>
    </row>
    <row r="1925" spans="5:8" x14ac:dyDescent="0.25">
      <c r="E1925" t="str">
        <f>""</f>
        <v/>
      </c>
      <c r="F1925" t="str">
        <f>""</f>
        <v/>
      </c>
      <c r="H1925" t="str">
        <f t="shared" si="33"/>
        <v>SOCIAL SECURITY TAXES</v>
      </c>
    </row>
    <row r="1926" spans="5:8" x14ac:dyDescent="0.25">
      <c r="E1926" t="str">
        <f>""</f>
        <v/>
      </c>
      <c r="F1926" t="str">
        <f>""</f>
        <v/>
      </c>
      <c r="H1926" t="str">
        <f t="shared" si="33"/>
        <v>SOCIAL SECURITY TAXES</v>
      </c>
    </row>
    <row r="1927" spans="5:8" x14ac:dyDescent="0.25">
      <c r="E1927" t="str">
        <f>""</f>
        <v/>
      </c>
      <c r="F1927" t="str">
        <f>""</f>
        <v/>
      </c>
      <c r="H1927" t="str">
        <f t="shared" si="33"/>
        <v>SOCIAL SECURITY TAXES</v>
      </c>
    </row>
    <row r="1928" spans="5:8" x14ac:dyDescent="0.25">
      <c r="E1928" t="str">
        <f>""</f>
        <v/>
      </c>
      <c r="F1928" t="str">
        <f>""</f>
        <v/>
      </c>
      <c r="H1928" t="str">
        <f t="shared" si="33"/>
        <v>SOCIAL SECURITY TAXES</v>
      </c>
    </row>
    <row r="1929" spans="5:8" x14ac:dyDescent="0.25">
      <c r="E1929" t="str">
        <f>""</f>
        <v/>
      </c>
      <c r="F1929" t="str">
        <f>""</f>
        <v/>
      </c>
      <c r="H1929" t="str">
        <f t="shared" si="33"/>
        <v>SOCIAL SECURITY TAXES</v>
      </c>
    </row>
    <row r="1930" spans="5:8" x14ac:dyDescent="0.25">
      <c r="E1930" t="str">
        <f>""</f>
        <v/>
      </c>
      <c r="F1930" t="str">
        <f>""</f>
        <v/>
      </c>
      <c r="H1930" t="str">
        <f t="shared" si="33"/>
        <v>SOCIAL SECURITY TAXES</v>
      </c>
    </row>
    <row r="1931" spans="5:8" x14ac:dyDescent="0.25">
      <c r="E1931" t="str">
        <f>""</f>
        <v/>
      </c>
      <c r="F1931" t="str">
        <f>""</f>
        <v/>
      </c>
      <c r="H1931" t="str">
        <f t="shared" si="33"/>
        <v>SOCIAL SECURITY TAXES</v>
      </c>
    </row>
    <row r="1932" spans="5:8" x14ac:dyDescent="0.25">
      <c r="E1932" t="str">
        <f>""</f>
        <v/>
      </c>
      <c r="F1932" t="str">
        <f>""</f>
        <v/>
      </c>
      <c r="H1932" t="str">
        <f t="shared" si="33"/>
        <v>SOCIAL SECURITY TAXES</v>
      </c>
    </row>
    <row r="1933" spans="5:8" x14ac:dyDescent="0.25">
      <c r="E1933" t="str">
        <f>"T3 201904038356"</f>
        <v>T3 201904038356</v>
      </c>
      <c r="F1933" t="str">
        <f>"SOCIAL SECURITY TAXES"</f>
        <v>SOCIAL SECURITY TAXES</v>
      </c>
      <c r="G1933" s="2">
        <v>3969.52</v>
      </c>
      <c r="H1933" t="str">
        <f t="shared" si="33"/>
        <v>SOCIAL SECURITY TAXES</v>
      </c>
    </row>
    <row r="1934" spans="5:8" x14ac:dyDescent="0.25">
      <c r="E1934" t="str">
        <f>""</f>
        <v/>
      </c>
      <c r="F1934" t="str">
        <f>""</f>
        <v/>
      </c>
      <c r="H1934" t="str">
        <f t="shared" si="33"/>
        <v>SOCIAL SECURITY TAXES</v>
      </c>
    </row>
    <row r="1935" spans="5:8" x14ac:dyDescent="0.25">
      <c r="E1935" t="str">
        <f>"T3 201904038357"</f>
        <v>T3 201904038357</v>
      </c>
      <c r="F1935" t="str">
        <f>"SOCIAL SECURITY TAXES"</f>
        <v>SOCIAL SECURITY TAXES</v>
      </c>
      <c r="G1935" s="2">
        <v>5342.96</v>
      </c>
      <c r="H1935" t="str">
        <f t="shared" si="33"/>
        <v>SOCIAL SECURITY TAXES</v>
      </c>
    </row>
    <row r="1936" spans="5:8" x14ac:dyDescent="0.25">
      <c r="E1936" t="str">
        <f>""</f>
        <v/>
      </c>
      <c r="F1936" t="str">
        <f>""</f>
        <v/>
      </c>
      <c r="H1936" t="str">
        <f t="shared" si="33"/>
        <v>SOCIAL SECURITY TAXES</v>
      </c>
    </row>
    <row r="1937" spans="5:8" x14ac:dyDescent="0.25">
      <c r="E1937" t="str">
        <f>"T4 201904038355"</f>
        <v>T4 201904038355</v>
      </c>
      <c r="F1937" t="str">
        <f>"MEDICARE TAXES"</f>
        <v>MEDICARE TAXES</v>
      </c>
      <c r="G1937" s="2">
        <v>24886.38</v>
      </c>
      <c r="H1937" t="str">
        <f t="shared" ref="H1937:H1968" si="34">"MEDICARE TAXES"</f>
        <v>MEDICARE TAXES</v>
      </c>
    </row>
    <row r="1938" spans="5:8" x14ac:dyDescent="0.25">
      <c r="E1938" t="str">
        <f>""</f>
        <v/>
      </c>
      <c r="F1938" t="str">
        <f>""</f>
        <v/>
      </c>
      <c r="H1938" t="str">
        <f t="shared" si="34"/>
        <v>MEDICARE TAXES</v>
      </c>
    </row>
    <row r="1939" spans="5:8" x14ac:dyDescent="0.25">
      <c r="E1939" t="str">
        <f>""</f>
        <v/>
      </c>
      <c r="F1939" t="str">
        <f>""</f>
        <v/>
      </c>
      <c r="H1939" t="str">
        <f t="shared" si="34"/>
        <v>MEDICARE TAXES</v>
      </c>
    </row>
    <row r="1940" spans="5:8" x14ac:dyDescent="0.25">
      <c r="E1940" t="str">
        <f>""</f>
        <v/>
      </c>
      <c r="F1940" t="str">
        <f>""</f>
        <v/>
      </c>
      <c r="H1940" t="str">
        <f t="shared" si="34"/>
        <v>MEDICARE TAXES</v>
      </c>
    </row>
    <row r="1941" spans="5:8" x14ac:dyDescent="0.25">
      <c r="E1941" t="str">
        <f>""</f>
        <v/>
      </c>
      <c r="F1941" t="str">
        <f>""</f>
        <v/>
      </c>
      <c r="H1941" t="str">
        <f t="shared" si="34"/>
        <v>MEDICARE TAXES</v>
      </c>
    </row>
    <row r="1942" spans="5:8" x14ac:dyDescent="0.25">
      <c r="E1942" t="str">
        <f>""</f>
        <v/>
      </c>
      <c r="F1942" t="str">
        <f>""</f>
        <v/>
      </c>
      <c r="H1942" t="str">
        <f t="shared" si="34"/>
        <v>MEDICARE TAXES</v>
      </c>
    </row>
    <row r="1943" spans="5:8" x14ac:dyDescent="0.25">
      <c r="E1943" t="str">
        <f>""</f>
        <v/>
      </c>
      <c r="F1943" t="str">
        <f>""</f>
        <v/>
      </c>
      <c r="H1943" t="str">
        <f t="shared" si="34"/>
        <v>MEDICARE TAXES</v>
      </c>
    </row>
    <row r="1944" spans="5:8" x14ac:dyDescent="0.25">
      <c r="E1944" t="str">
        <f>""</f>
        <v/>
      </c>
      <c r="F1944" t="str">
        <f>""</f>
        <v/>
      </c>
      <c r="H1944" t="str">
        <f t="shared" si="34"/>
        <v>MEDICARE TAXES</v>
      </c>
    </row>
    <row r="1945" spans="5:8" x14ac:dyDescent="0.25">
      <c r="E1945" t="str">
        <f>""</f>
        <v/>
      </c>
      <c r="F1945" t="str">
        <f>""</f>
        <v/>
      </c>
      <c r="H1945" t="str">
        <f t="shared" si="34"/>
        <v>MEDICARE TAXES</v>
      </c>
    </row>
    <row r="1946" spans="5:8" x14ac:dyDescent="0.25">
      <c r="E1946" t="str">
        <f>""</f>
        <v/>
      </c>
      <c r="F1946" t="str">
        <f>""</f>
        <v/>
      </c>
      <c r="H1946" t="str">
        <f t="shared" si="34"/>
        <v>MEDICARE TAXES</v>
      </c>
    </row>
    <row r="1947" spans="5:8" x14ac:dyDescent="0.25">
      <c r="E1947" t="str">
        <f>""</f>
        <v/>
      </c>
      <c r="F1947" t="str">
        <f>""</f>
        <v/>
      </c>
      <c r="H1947" t="str">
        <f t="shared" si="34"/>
        <v>MEDICARE TAXES</v>
      </c>
    </row>
    <row r="1948" spans="5:8" x14ac:dyDescent="0.25">
      <c r="E1948" t="str">
        <f>""</f>
        <v/>
      </c>
      <c r="F1948" t="str">
        <f>""</f>
        <v/>
      </c>
      <c r="H1948" t="str">
        <f t="shared" si="34"/>
        <v>MEDICARE TAXES</v>
      </c>
    </row>
    <row r="1949" spans="5:8" x14ac:dyDescent="0.25">
      <c r="E1949" t="str">
        <f>""</f>
        <v/>
      </c>
      <c r="F1949" t="str">
        <f>""</f>
        <v/>
      </c>
      <c r="H1949" t="str">
        <f t="shared" si="34"/>
        <v>MEDICARE TAXES</v>
      </c>
    </row>
    <row r="1950" spans="5:8" x14ac:dyDescent="0.25">
      <c r="E1950" t="str">
        <f>""</f>
        <v/>
      </c>
      <c r="F1950" t="str">
        <f>""</f>
        <v/>
      </c>
      <c r="H1950" t="str">
        <f t="shared" si="34"/>
        <v>MEDICARE TAXES</v>
      </c>
    </row>
    <row r="1951" spans="5:8" x14ac:dyDescent="0.25">
      <c r="E1951" t="str">
        <f>""</f>
        <v/>
      </c>
      <c r="F1951" t="str">
        <f>""</f>
        <v/>
      </c>
      <c r="H1951" t="str">
        <f t="shared" si="34"/>
        <v>MEDICARE TAXES</v>
      </c>
    </row>
    <row r="1952" spans="5:8" x14ac:dyDescent="0.25">
      <c r="E1952" t="str">
        <f>""</f>
        <v/>
      </c>
      <c r="F1952" t="str">
        <f>""</f>
        <v/>
      </c>
      <c r="H1952" t="str">
        <f t="shared" si="34"/>
        <v>MEDICARE TAXES</v>
      </c>
    </row>
    <row r="1953" spans="5:8" x14ac:dyDescent="0.25">
      <c r="E1953" t="str">
        <f>""</f>
        <v/>
      </c>
      <c r="F1953" t="str">
        <f>""</f>
        <v/>
      </c>
      <c r="H1953" t="str">
        <f t="shared" si="34"/>
        <v>MEDICARE TAXES</v>
      </c>
    </row>
    <row r="1954" spans="5:8" x14ac:dyDescent="0.25">
      <c r="E1954" t="str">
        <f>""</f>
        <v/>
      </c>
      <c r="F1954" t="str">
        <f>""</f>
        <v/>
      </c>
      <c r="H1954" t="str">
        <f t="shared" si="34"/>
        <v>MEDICARE TAXES</v>
      </c>
    </row>
    <row r="1955" spans="5:8" x14ac:dyDescent="0.25">
      <c r="E1955" t="str">
        <f>""</f>
        <v/>
      </c>
      <c r="F1955" t="str">
        <f>""</f>
        <v/>
      </c>
      <c r="H1955" t="str">
        <f t="shared" si="34"/>
        <v>MEDICARE TAXES</v>
      </c>
    </row>
    <row r="1956" spans="5:8" x14ac:dyDescent="0.25">
      <c r="E1956" t="str">
        <f>""</f>
        <v/>
      </c>
      <c r="F1956" t="str">
        <f>""</f>
        <v/>
      </c>
      <c r="H1956" t="str">
        <f t="shared" si="34"/>
        <v>MEDICARE TAXES</v>
      </c>
    </row>
    <row r="1957" spans="5:8" x14ac:dyDescent="0.25">
      <c r="E1957" t="str">
        <f>""</f>
        <v/>
      </c>
      <c r="F1957" t="str">
        <f>""</f>
        <v/>
      </c>
      <c r="H1957" t="str">
        <f t="shared" si="34"/>
        <v>MEDICARE TAXES</v>
      </c>
    </row>
    <row r="1958" spans="5:8" x14ac:dyDescent="0.25">
      <c r="E1958" t="str">
        <f>""</f>
        <v/>
      </c>
      <c r="F1958" t="str">
        <f>""</f>
        <v/>
      </c>
      <c r="H1958" t="str">
        <f t="shared" si="34"/>
        <v>MEDICARE TAXES</v>
      </c>
    </row>
    <row r="1959" spans="5:8" x14ac:dyDescent="0.25">
      <c r="E1959" t="str">
        <f>""</f>
        <v/>
      </c>
      <c r="F1959" t="str">
        <f>""</f>
        <v/>
      </c>
      <c r="H1959" t="str">
        <f t="shared" si="34"/>
        <v>MEDICARE TAXES</v>
      </c>
    </row>
    <row r="1960" spans="5:8" x14ac:dyDescent="0.25">
      <c r="E1960" t="str">
        <f>""</f>
        <v/>
      </c>
      <c r="F1960" t="str">
        <f>""</f>
        <v/>
      </c>
      <c r="H1960" t="str">
        <f t="shared" si="34"/>
        <v>MEDICARE TAXES</v>
      </c>
    </row>
    <row r="1961" spans="5:8" x14ac:dyDescent="0.25">
      <c r="E1961" t="str">
        <f>""</f>
        <v/>
      </c>
      <c r="F1961" t="str">
        <f>""</f>
        <v/>
      </c>
      <c r="H1961" t="str">
        <f t="shared" si="34"/>
        <v>MEDICARE TAXES</v>
      </c>
    </row>
    <row r="1962" spans="5:8" x14ac:dyDescent="0.25">
      <c r="E1962" t="str">
        <f>""</f>
        <v/>
      </c>
      <c r="F1962" t="str">
        <f>""</f>
        <v/>
      </c>
      <c r="H1962" t="str">
        <f t="shared" si="34"/>
        <v>MEDICARE TAXES</v>
      </c>
    </row>
    <row r="1963" spans="5:8" x14ac:dyDescent="0.25">
      <c r="E1963" t="str">
        <f>""</f>
        <v/>
      </c>
      <c r="F1963" t="str">
        <f>""</f>
        <v/>
      </c>
      <c r="H1963" t="str">
        <f t="shared" si="34"/>
        <v>MEDICARE TAXES</v>
      </c>
    </row>
    <row r="1964" spans="5:8" x14ac:dyDescent="0.25">
      <c r="E1964" t="str">
        <f>""</f>
        <v/>
      </c>
      <c r="F1964" t="str">
        <f>""</f>
        <v/>
      </c>
      <c r="H1964" t="str">
        <f t="shared" si="34"/>
        <v>MEDICARE TAXES</v>
      </c>
    </row>
    <row r="1965" spans="5:8" x14ac:dyDescent="0.25">
      <c r="E1965" t="str">
        <f>""</f>
        <v/>
      </c>
      <c r="F1965" t="str">
        <f>""</f>
        <v/>
      </c>
      <c r="H1965" t="str">
        <f t="shared" si="34"/>
        <v>MEDICARE TAXES</v>
      </c>
    </row>
    <row r="1966" spans="5:8" x14ac:dyDescent="0.25">
      <c r="E1966" t="str">
        <f>""</f>
        <v/>
      </c>
      <c r="F1966" t="str">
        <f>""</f>
        <v/>
      </c>
      <c r="H1966" t="str">
        <f t="shared" si="34"/>
        <v>MEDICARE TAXES</v>
      </c>
    </row>
    <row r="1967" spans="5:8" x14ac:dyDescent="0.25">
      <c r="E1967" t="str">
        <f>""</f>
        <v/>
      </c>
      <c r="F1967" t="str">
        <f>""</f>
        <v/>
      </c>
      <c r="H1967" t="str">
        <f t="shared" si="34"/>
        <v>MEDICARE TAXES</v>
      </c>
    </row>
    <row r="1968" spans="5:8" x14ac:dyDescent="0.25">
      <c r="E1968" t="str">
        <f>""</f>
        <v/>
      </c>
      <c r="F1968" t="str">
        <f>""</f>
        <v/>
      </c>
      <c r="H1968" t="str">
        <f t="shared" si="34"/>
        <v>MEDICARE TAXES</v>
      </c>
    </row>
    <row r="1969" spans="5:8" x14ac:dyDescent="0.25">
      <c r="E1969" t="str">
        <f>""</f>
        <v/>
      </c>
      <c r="F1969" t="str">
        <f>""</f>
        <v/>
      </c>
      <c r="H1969" t="str">
        <f t="shared" ref="H1969:H1992" si="35">"MEDICARE TAXES"</f>
        <v>MEDICARE TAXES</v>
      </c>
    </row>
    <row r="1970" spans="5:8" x14ac:dyDescent="0.25">
      <c r="E1970" t="str">
        <f>""</f>
        <v/>
      </c>
      <c r="F1970" t="str">
        <f>""</f>
        <v/>
      </c>
      <c r="H1970" t="str">
        <f t="shared" si="35"/>
        <v>MEDICARE TAXES</v>
      </c>
    </row>
    <row r="1971" spans="5:8" x14ac:dyDescent="0.25">
      <c r="E1971" t="str">
        <f>""</f>
        <v/>
      </c>
      <c r="F1971" t="str">
        <f>""</f>
        <v/>
      </c>
      <c r="H1971" t="str">
        <f t="shared" si="35"/>
        <v>MEDICARE TAXES</v>
      </c>
    </row>
    <row r="1972" spans="5:8" x14ac:dyDescent="0.25">
      <c r="E1972" t="str">
        <f>""</f>
        <v/>
      </c>
      <c r="F1972" t="str">
        <f>""</f>
        <v/>
      </c>
      <c r="H1972" t="str">
        <f t="shared" si="35"/>
        <v>MEDICARE TAXES</v>
      </c>
    </row>
    <row r="1973" spans="5:8" x14ac:dyDescent="0.25">
      <c r="E1973" t="str">
        <f>""</f>
        <v/>
      </c>
      <c r="F1973" t="str">
        <f>""</f>
        <v/>
      </c>
      <c r="H1973" t="str">
        <f t="shared" si="35"/>
        <v>MEDICARE TAXES</v>
      </c>
    </row>
    <row r="1974" spans="5:8" x14ac:dyDescent="0.25">
      <c r="E1974" t="str">
        <f>""</f>
        <v/>
      </c>
      <c r="F1974" t="str">
        <f>""</f>
        <v/>
      </c>
      <c r="H1974" t="str">
        <f t="shared" si="35"/>
        <v>MEDICARE TAXES</v>
      </c>
    </row>
    <row r="1975" spans="5:8" x14ac:dyDescent="0.25">
      <c r="E1975" t="str">
        <f>""</f>
        <v/>
      </c>
      <c r="F1975" t="str">
        <f>""</f>
        <v/>
      </c>
      <c r="H1975" t="str">
        <f t="shared" si="35"/>
        <v>MEDICARE TAXES</v>
      </c>
    </row>
    <row r="1976" spans="5:8" x14ac:dyDescent="0.25">
      <c r="E1976" t="str">
        <f>""</f>
        <v/>
      </c>
      <c r="F1976" t="str">
        <f>""</f>
        <v/>
      </c>
      <c r="H1976" t="str">
        <f t="shared" si="35"/>
        <v>MEDICARE TAXES</v>
      </c>
    </row>
    <row r="1977" spans="5:8" x14ac:dyDescent="0.25">
      <c r="E1977" t="str">
        <f>""</f>
        <v/>
      </c>
      <c r="F1977" t="str">
        <f>""</f>
        <v/>
      </c>
      <c r="H1977" t="str">
        <f t="shared" si="35"/>
        <v>MEDICARE TAXES</v>
      </c>
    </row>
    <row r="1978" spans="5:8" x14ac:dyDescent="0.25">
      <c r="E1978" t="str">
        <f>""</f>
        <v/>
      </c>
      <c r="F1978" t="str">
        <f>""</f>
        <v/>
      </c>
      <c r="H1978" t="str">
        <f t="shared" si="35"/>
        <v>MEDICARE TAXES</v>
      </c>
    </row>
    <row r="1979" spans="5:8" x14ac:dyDescent="0.25">
      <c r="E1979" t="str">
        <f>""</f>
        <v/>
      </c>
      <c r="F1979" t="str">
        <f>""</f>
        <v/>
      </c>
      <c r="H1979" t="str">
        <f t="shared" si="35"/>
        <v>MEDICARE TAXES</v>
      </c>
    </row>
    <row r="1980" spans="5:8" x14ac:dyDescent="0.25">
      <c r="E1980" t="str">
        <f>""</f>
        <v/>
      </c>
      <c r="F1980" t="str">
        <f>""</f>
        <v/>
      </c>
      <c r="H1980" t="str">
        <f t="shared" si="35"/>
        <v>MEDICARE TAXES</v>
      </c>
    </row>
    <row r="1981" spans="5:8" x14ac:dyDescent="0.25">
      <c r="E1981" t="str">
        <f>""</f>
        <v/>
      </c>
      <c r="F1981" t="str">
        <f>""</f>
        <v/>
      </c>
      <c r="H1981" t="str">
        <f t="shared" si="35"/>
        <v>MEDICARE TAXES</v>
      </c>
    </row>
    <row r="1982" spans="5:8" x14ac:dyDescent="0.25">
      <c r="E1982" t="str">
        <f>""</f>
        <v/>
      </c>
      <c r="F1982" t="str">
        <f>""</f>
        <v/>
      </c>
      <c r="H1982" t="str">
        <f t="shared" si="35"/>
        <v>MEDICARE TAXES</v>
      </c>
    </row>
    <row r="1983" spans="5:8" x14ac:dyDescent="0.25">
      <c r="E1983" t="str">
        <f>""</f>
        <v/>
      </c>
      <c r="F1983" t="str">
        <f>""</f>
        <v/>
      </c>
      <c r="H1983" t="str">
        <f t="shared" si="35"/>
        <v>MEDICARE TAXES</v>
      </c>
    </row>
    <row r="1984" spans="5:8" x14ac:dyDescent="0.25">
      <c r="E1984" t="str">
        <f>""</f>
        <v/>
      </c>
      <c r="F1984" t="str">
        <f>""</f>
        <v/>
      </c>
      <c r="H1984" t="str">
        <f t="shared" si="35"/>
        <v>MEDICARE TAXES</v>
      </c>
    </row>
    <row r="1985" spans="1:8" x14ac:dyDescent="0.25">
      <c r="E1985" t="str">
        <f>""</f>
        <v/>
      </c>
      <c r="F1985" t="str">
        <f>""</f>
        <v/>
      </c>
      <c r="H1985" t="str">
        <f t="shared" si="35"/>
        <v>MEDICARE TAXES</v>
      </c>
    </row>
    <row r="1986" spans="1:8" x14ac:dyDescent="0.25">
      <c r="E1986" t="str">
        <f>""</f>
        <v/>
      </c>
      <c r="F1986" t="str">
        <f>""</f>
        <v/>
      </c>
      <c r="H1986" t="str">
        <f t="shared" si="35"/>
        <v>MEDICARE TAXES</v>
      </c>
    </row>
    <row r="1987" spans="1:8" x14ac:dyDescent="0.25">
      <c r="E1987" t="str">
        <f>""</f>
        <v/>
      </c>
      <c r="F1987" t="str">
        <f>""</f>
        <v/>
      </c>
      <c r="H1987" t="str">
        <f t="shared" si="35"/>
        <v>MEDICARE TAXES</v>
      </c>
    </row>
    <row r="1988" spans="1:8" x14ac:dyDescent="0.25">
      <c r="E1988" t="str">
        <f>""</f>
        <v/>
      </c>
      <c r="F1988" t="str">
        <f>""</f>
        <v/>
      </c>
      <c r="H1988" t="str">
        <f t="shared" si="35"/>
        <v>MEDICARE TAXES</v>
      </c>
    </row>
    <row r="1989" spans="1:8" x14ac:dyDescent="0.25">
      <c r="E1989" t="str">
        <f>"T4 201904038356"</f>
        <v>T4 201904038356</v>
      </c>
      <c r="F1989" t="str">
        <f>"MEDICARE TAXES"</f>
        <v>MEDICARE TAXES</v>
      </c>
      <c r="G1989" s="2">
        <v>928.4</v>
      </c>
      <c r="H1989" t="str">
        <f t="shared" si="35"/>
        <v>MEDICARE TAXES</v>
      </c>
    </row>
    <row r="1990" spans="1:8" x14ac:dyDescent="0.25">
      <c r="E1990" t="str">
        <f>""</f>
        <v/>
      </c>
      <c r="F1990" t="str">
        <f>""</f>
        <v/>
      </c>
      <c r="H1990" t="str">
        <f t="shared" si="35"/>
        <v>MEDICARE TAXES</v>
      </c>
    </row>
    <row r="1991" spans="1:8" x14ac:dyDescent="0.25">
      <c r="E1991" t="str">
        <f>"T4 201904038357"</f>
        <v>T4 201904038357</v>
      </c>
      <c r="F1991" t="str">
        <f>"MEDICARE TAXES"</f>
        <v>MEDICARE TAXES</v>
      </c>
      <c r="G1991" s="2">
        <v>1249.56</v>
      </c>
      <c r="H1991" t="str">
        <f t="shared" si="35"/>
        <v>MEDICARE TAXES</v>
      </c>
    </row>
    <row r="1992" spans="1:8" x14ac:dyDescent="0.25">
      <c r="E1992" t="str">
        <f>""</f>
        <v/>
      </c>
      <c r="F1992" t="str">
        <f>""</f>
        <v/>
      </c>
      <c r="H1992" t="str">
        <f t="shared" si="35"/>
        <v>MEDICARE TAXES</v>
      </c>
    </row>
    <row r="1993" spans="1:8" x14ac:dyDescent="0.25">
      <c r="A1993" t="s">
        <v>421</v>
      </c>
      <c r="B1993" s="3">
        <v>108</v>
      </c>
      <c r="C1993" s="2">
        <v>223675.86</v>
      </c>
      <c r="D1993" s="1">
        <v>43573</v>
      </c>
      <c r="E1993" t="str">
        <f>"T1 201904168721"</f>
        <v>T1 201904168721</v>
      </c>
      <c r="F1993" t="str">
        <f>"FEDERAL WITHHOLDING"</f>
        <v>FEDERAL WITHHOLDING</v>
      </c>
      <c r="G1993" s="2">
        <v>74162.23</v>
      </c>
      <c r="H1993" t="str">
        <f>"FEDERAL WITHHOLDING"</f>
        <v>FEDERAL WITHHOLDING</v>
      </c>
    </row>
    <row r="1994" spans="1:8" x14ac:dyDescent="0.25">
      <c r="E1994" t="str">
        <f>"T1 201904168722"</f>
        <v>T1 201904168722</v>
      </c>
      <c r="F1994" t="str">
        <f>"FEDERAL WITHHOLDING"</f>
        <v>FEDERAL WITHHOLDING</v>
      </c>
      <c r="G1994" s="2">
        <v>2868.76</v>
      </c>
      <c r="H1994" t="str">
        <f>"FEDERAL WITHHOLDING"</f>
        <v>FEDERAL WITHHOLDING</v>
      </c>
    </row>
    <row r="1995" spans="1:8" x14ac:dyDescent="0.25">
      <c r="E1995" t="str">
        <f>"T1 201904168723"</f>
        <v>T1 201904168723</v>
      </c>
      <c r="F1995" t="str">
        <f>"FEDERAL WITHHOLDING"</f>
        <v>FEDERAL WITHHOLDING</v>
      </c>
      <c r="G1995" s="2">
        <v>3591.97</v>
      </c>
      <c r="H1995" t="str">
        <f>"FEDERAL WITHHOLDING"</f>
        <v>FEDERAL WITHHOLDING</v>
      </c>
    </row>
    <row r="1996" spans="1:8" x14ac:dyDescent="0.25">
      <c r="E1996" t="str">
        <f>"T3 201904168721"</f>
        <v>T3 201904168721</v>
      </c>
      <c r="F1996" t="str">
        <f>"SOCIAL SECURITY TAXES"</f>
        <v>SOCIAL SECURITY TAXES</v>
      </c>
      <c r="G1996" s="2">
        <v>106907.46</v>
      </c>
      <c r="H1996" t="str">
        <f t="shared" ref="H1996:H2027" si="36">"SOCIAL SECURITY TAXES"</f>
        <v>SOCIAL SECURITY TAXES</v>
      </c>
    </row>
    <row r="1997" spans="1:8" x14ac:dyDescent="0.25">
      <c r="E1997" t="str">
        <f>""</f>
        <v/>
      </c>
      <c r="F1997" t="str">
        <f>""</f>
        <v/>
      </c>
      <c r="H1997" t="str">
        <f t="shared" si="36"/>
        <v>SOCIAL SECURITY TAXES</v>
      </c>
    </row>
    <row r="1998" spans="1:8" x14ac:dyDescent="0.25">
      <c r="E1998" t="str">
        <f>""</f>
        <v/>
      </c>
      <c r="F1998" t="str">
        <f>""</f>
        <v/>
      </c>
      <c r="H1998" t="str">
        <f t="shared" si="36"/>
        <v>SOCIAL SECURITY TAXES</v>
      </c>
    </row>
    <row r="1999" spans="1:8" x14ac:dyDescent="0.25">
      <c r="E1999" t="str">
        <f>""</f>
        <v/>
      </c>
      <c r="F1999" t="str">
        <f>""</f>
        <v/>
      </c>
      <c r="H1999" t="str">
        <f t="shared" si="36"/>
        <v>SOCIAL SECURITY TAXES</v>
      </c>
    </row>
    <row r="2000" spans="1:8" x14ac:dyDescent="0.25">
      <c r="E2000" t="str">
        <f>""</f>
        <v/>
      </c>
      <c r="F2000" t="str">
        <f>""</f>
        <v/>
      </c>
      <c r="H2000" t="str">
        <f t="shared" si="36"/>
        <v>SOCIAL SECURITY TAXES</v>
      </c>
    </row>
    <row r="2001" spans="5:8" x14ac:dyDescent="0.25">
      <c r="E2001" t="str">
        <f>""</f>
        <v/>
      </c>
      <c r="F2001" t="str">
        <f>""</f>
        <v/>
      </c>
      <c r="H2001" t="str">
        <f t="shared" si="36"/>
        <v>SOCIAL SECURITY TAXES</v>
      </c>
    </row>
    <row r="2002" spans="5:8" x14ac:dyDescent="0.25">
      <c r="E2002" t="str">
        <f>""</f>
        <v/>
      </c>
      <c r="F2002" t="str">
        <f>""</f>
        <v/>
      </c>
      <c r="H2002" t="str">
        <f t="shared" si="36"/>
        <v>SOCIAL SECURITY TAXES</v>
      </c>
    </row>
    <row r="2003" spans="5:8" x14ac:dyDescent="0.25">
      <c r="E2003" t="str">
        <f>""</f>
        <v/>
      </c>
      <c r="F2003" t="str">
        <f>""</f>
        <v/>
      </c>
      <c r="H2003" t="str">
        <f t="shared" si="36"/>
        <v>SOCIAL SECURITY TAXES</v>
      </c>
    </row>
    <row r="2004" spans="5:8" x14ac:dyDescent="0.25">
      <c r="E2004" t="str">
        <f>""</f>
        <v/>
      </c>
      <c r="F2004" t="str">
        <f>""</f>
        <v/>
      </c>
      <c r="H2004" t="str">
        <f t="shared" si="36"/>
        <v>SOCIAL SECURITY TAXES</v>
      </c>
    </row>
    <row r="2005" spans="5:8" x14ac:dyDescent="0.25">
      <c r="E2005" t="str">
        <f>""</f>
        <v/>
      </c>
      <c r="F2005" t="str">
        <f>""</f>
        <v/>
      </c>
      <c r="H2005" t="str">
        <f t="shared" si="36"/>
        <v>SOCIAL SECURITY TAXES</v>
      </c>
    </row>
    <row r="2006" spans="5:8" x14ac:dyDescent="0.25">
      <c r="E2006" t="str">
        <f>""</f>
        <v/>
      </c>
      <c r="F2006" t="str">
        <f>""</f>
        <v/>
      </c>
      <c r="H2006" t="str">
        <f t="shared" si="36"/>
        <v>SOCIAL SECURITY TAXES</v>
      </c>
    </row>
    <row r="2007" spans="5:8" x14ac:dyDescent="0.25">
      <c r="E2007" t="str">
        <f>""</f>
        <v/>
      </c>
      <c r="F2007" t="str">
        <f>""</f>
        <v/>
      </c>
      <c r="H2007" t="str">
        <f t="shared" si="36"/>
        <v>SOCIAL SECURITY TAXES</v>
      </c>
    </row>
    <row r="2008" spans="5:8" x14ac:dyDescent="0.25">
      <c r="E2008" t="str">
        <f>""</f>
        <v/>
      </c>
      <c r="F2008" t="str">
        <f>""</f>
        <v/>
      </c>
      <c r="H2008" t="str">
        <f t="shared" si="36"/>
        <v>SOCIAL SECURITY TAXES</v>
      </c>
    </row>
    <row r="2009" spans="5:8" x14ac:dyDescent="0.25">
      <c r="E2009" t="str">
        <f>""</f>
        <v/>
      </c>
      <c r="F2009" t="str">
        <f>""</f>
        <v/>
      </c>
      <c r="H2009" t="str">
        <f t="shared" si="36"/>
        <v>SOCIAL SECURITY TAXES</v>
      </c>
    </row>
    <row r="2010" spans="5:8" x14ac:dyDescent="0.25">
      <c r="E2010" t="str">
        <f>""</f>
        <v/>
      </c>
      <c r="F2010" t="str">
        <f>""</f>
        <v/>
      </c>
      <c r="H2010" t="str">
        <f t="shared" si="36"/>
        <v>SOCIAL SECURITY TAXES</v>
      </c>
    </row>
    <row r="2011" spans="5:8" x14ac:dyDescent="0.25">
      <c r="E2011" t="str">
        <f>""</f>
        <v/>
      </c>
      <c r="F2011" t="str">
        <f>""</f>
        <v/>
      </c>
      <c r="H2011" t="str">
        <f t="shared" si="36"/>
        <v>SOCIAL SECURITY TAXES</v>
      </c>
    </row>
    <row r="2012" spans="5:8" x14ac:dyDescent="0.25">
      <c r="E2012" t="str">
        <f>""</f>
        <v/>
      </c>
      <c r="F2012" t="str">
        <f>""</f>
        <v/>
      </c>
      <c r="H2012" t="str">
        <f t="shared" si="36"/>
        <v>SOCIAL SECURITY TAXES</v>
      </c>
    </row>
    <row r="2013" spans="5:8" x14ac:dyDescent="0.25">
      <c r="E2013" t="str">
        <f>""</f>
        <v/>
      </c>
      <c r="F2013" t="str">
        <f>""</f>
        <v/>
      </c>
      <c r="H2013" t="str">
        <f t="shared" si="36"/>
        <v>SOCIAL SECURITY TAXES</v>
      </c>
    </row>
    <row r="2014" spans="5:8" x14ac:dyDescent="0.25">
      <c r="E2014" t="str">
        <f>""</f>
        <v/>
      </c>
      <c r="F2014" t="str">
        <f>""</f>
        <v/>
      </c>
      <c r="H2014" t="str">
        <f t="shared" si="36"/>
        <v>SOCIAL SECURITY TAXES</v>
      </c>
    </row>
    <row r="2015" spans="5:8" x14ac:dyDescent="0.25">
      <c r="E2015" t="str">
        <f>""</f>
        <v/>
      </c>
      <c r="F2015" t="str">
        <f>""</f>
        <v/>
      </c>
      <c r="H2015" t="str">
        <f t="shared" si="36"/>
        <v>SOCIAL SECURITY TAXES</v>
      </c>
    </row>
    <row r="2016" spans="5:8" x14ac:dyDescent="0.25">
      <c r="E2016" t="str">
        <f>""</f>
        <v/>
      </c>
      <c r="F2016" t="str">
        <f>""</f>
        <v/>
      </c>
      <c r="H2016" t="str">
        <f t="shared" si="36"/>
        <v>SOCIAL SECURITY TAXES</v>
      </c>
    </row>
    <row r="2017" spans="5:8" x14ac:dyDescent="0.25">
      <c r="E2017" t="str">
        <f>""</f>
        <v/>
      </c>
      <c r="F2017" t="str">
        <f>""</f>
        <v/>
      </c>
      <c r="H2017" t="str">
        <f t="shared" si="36"/>
        <v>SOCIAL SECURITY TAXES</v>
      </c>
    </row>
    <row r="2018" spans="5:8" x14ac:dyDescent="0.25">
      <c r="E2018" t="str">
        <f>""</f>
        <v/>
      </c>
      <c r="F2018" t="str">
        <f>""</f>
        <v/>
      </c>
      <c r="H2018" t="str">
        <f t="shared" si="36"/>
        <v>SOCIAL SECURITY TAXES</v>
      </c>
    </row>
    <row r="2019" spans="5:8" x14ac:dyDescent="0.25">
      <c r="E2019" t="str">
        <f>""</f>
        <v/>
      </c>
      <c r="F2019" t="str">
        <f>""</f>
        <v/>
      </c>
      <c r="H2019" t="str">
        <f t="shared" si="36"/>
        <v>SOCIAL SECURITY TAXES</v>
      </c>
    </row>
    <row r="2020" spans="5:8" x14ac:dyDescent="0.25">
      <c r="E2020" t="str">
        <f>""</f>
        <v/>
      </c>
      <c r="F2020" t="str">
        <f>""</f>
        <v/>
      </c>
      <c r="H2020" t="str">
        <f t="shared" si="36"/>
        <v>SOCIAL SECURITY TAXES</v>
      </c>
    </row>
    <row r="2021" spans="5:8" x14ac:dyDescent="0.25">
      <c r="E2021" t="str">
        <f>""</f>
        <v/>
      </c>
      <c r="F2021" t="str">
        <f>""</f>
        <v/>
      </c>
      <c r="H2021" t="str">
        <f t="shared" si="36"/>
        <v>SOCIAL SECURITY TAXES</v>
      </c>
    </row>
    <row r="2022" spans="5:8" x14ac:dyDescent="0.25">
      <c r="E2022" t="str">
        <f>""</f>
        <v/>
      </c>
      <c r="F2022" t="str">
        <f>""</f>
        <v/>
      </c>
      <c r="H2022" t="str">
        <f t="shared" si="36"/>
        <v>SOCIAL SECURITY TAXES</v>
      </c>
    </row>
    <row r="2023" spans="5:8" x14ac:dyDescent="0.25">
      <c r="E2023" t="str">
        <f>""</f>
        <v/>
      </c>
      <c r="F2023" t="str">
        <f>""</f>
        <v/>
      </c>
      <c r="H2023" t="str">
        <f t="shared" si="36"/>
        <v>SOCIAL SECURITY TAXES</v>
      </c>
    </row>
    <row r="2024" spans="5:8" x14ac:dyDescent="0.25">
      <c r="E2024" t="str">
        <f>""</f>
        <v/>
      </c>
      <c r="F2024" t="str">
        <f>""</f>
        <v/>
      </c>
      <c r="H2024" t="str">
        <f t="shared" si="36"/>
        <v>SOCIAL SECURITY TAXES</v>
      </c>
    </row>
    <row r="2025" spans="5:8" x14ac:dyDescent="0.25">
      <c r="E2025" t="str">
        <f>""</f>
        <v/>
      </c>
      <c r="F2025" t="str">
        <f>""</f>
        <v/>
      </c>
      <c r="H2025" t="str">
        <f t="shared" si="36"/>
        <v>SOCIAL SECURITY TAXES</v>
      </c>
    </row>
    <row r="2026" spans="5:8" x14ac:dyDescent="0.25">
      <c r="E2026" t="str">
        <f>""</f>
        <v/>
      </c>
      <c r="F2026" t="str">
        <f>""</f>
        <v/>
      </c>
      <c r="H2026" t="str">
        <f t="shared" si="36"/>
        <v>SOCIAL SECURITY TAXES</v>
      </c>
    </row>
    <row r="2027" spans="5:8" x14ac:dyDescent="0.25">
      <c r="E2027" t="str">
        <f>""</f>
        <v/>
      </c>
      <c r="F2027" t="str">
        <f>""</f>
        <v/>
      </c>
      <c r="H2027" t="str">
        <f t="shared" si="36"/>
        <v>SOCIAL SECURITY TAXES</v>
      </c>
    </row>
    <row r="2028" spans="5:8" x14ac:dyDescent="0.25">
      <c r="E2028" t="str">
        <f>""</f>
        <v/>
      </c>
      <c r="F2028" t="str">
        <f>""</f>
        <v/>
      </c>
      <c r="H2028" t="str">
        <f t="shared" ref="H2028:H2050" si="37">"SOCIAL SECURITY TAXES"</f>
        <v>SOCIAL SECURITY TAXES</v>
      </c>
    </row>
    <row r="2029" spans="5:8" x14ac:dyDescent="0.25">
      <c r="E2029" t="str">
        <f>""</f>
        <v/>
      </c>
      <c r="F2029" t="str">
        <f>""</f>
        <v/>
      </c>
      <c r="H2029" t="str">
        <f t="shared" si="37"/>
        <v>SOCIAL SECURITY TAXES</v>
      </c>
    </row>
    <row r="2030" spans="5:8" x14ac:dyDescent="0.25">
      <c r="E2030" t="str">
        <f>""</f>
        <v/>
      </c>
      <c r="F2030" t="str">
        <f>""</f>
        <v/>
      </c>
      <c r="H2030" t="str">
        <f t="shared" si="37"/>
        <v>SOCIAL SECURITY TAXES</v>
      </c>
    </row>
    <row r="2031" spans="5:8" x14ac:dyDescent="0.25">
      <c r="E2031" t="str">
        <f>""</f>
        <v/>
      </c>
      <c r="F2031" t="str">
        <f>""</f>
        <v/>
      </c>
      <c r="H2031" t="str">
        <f t="shared" si="37"/>
        <v>SOCIAL SECURITY TAXES</v>
      </c>
    </row>
    <row r="2032" spans="5:8" x14ac:dyDescent="0.25">
      <c r="E2032" t="str">
        <f>""</f>
        <v/>
      </c>
      <c r="F2032" t="str">
        <f>""</f>
        <v/>
      </c>
      <c r="H2032" t="str">
        <f t="shared" si="37"/>
        <v>SOCIAL SECURITY TAXES</v>
      </c>
    </row>
    <row r="2033" spans="5:8" x14ac:dyDescent="0.25">
      <c r="E2033" t="str">
        <f>""</f>
        <v/>
      </c>
      <c r="F2033" t="str">
        <f>""</f>
        <v/>
      </c>
      <c r="H2033" t="str">
        <f t="shared" si="37"/>
        <v>SOCIAL SECURITY TAXES</v>
      </c>
    </row>
    <row r="2034" spans="5:8" x14ac:dyDescent="0.25">
      <c r="E2034" t="str">
        <f>""</f>
        <v/>
      </c>
      <c r="F2034" t="str">
        <f>""</f>
        <v/>
      </c>
      <c r="H2034" t="str">
        <f t="shared" si="37"/>
        <v>SOCIAL SECURITY TAXES</v>
      </c>
    </row>
    <row r="2035" spans="5:8" x14ac:dyDescent="0.25">
      <c r="E2035" t="str">
        <f>""</f>
        <v/>
      </c>
      <c r="F2035" t="str">
        <f>""</f>
        <v/>
      </c>
      <c r="H2035" t="str">
        <f t="shared" si="37"/>
        <v>SOCIAL SECURITY TAXES</v>
      </c>
    </row>
    <row r="2036" spans="5:8" x14ac:dyDescent="0.25">
      <c r="E2036" t="str">
        <f>""</f>
        <v/>
      </c>
      <c r="F2036" t="str">
        <f>""</f>
        <v/>
      </c>
      <c r="H2036" t="str">
        <f t="shared" si="37"/>
        <v>SOCIAL SECURITY TAXES</v>
      </c>
    </row>
    <row r="2037" spans="5:8" x14ac:dyDescent="0.25">
      <c r="E2037" t="str">
        <f>""</f>
        <v/>
      </c>
      <c r="F2037" t="str">
        <f>""</f>
        <v/>
      </c>
      <c r="H2037" t="str">
        <f t="shared" si="37"/>
        <v>SOCIAL SECURITY TAXES</v>
      </c>
    </row>
    <row r="2038" spans="5:8" x14ac:dyDescent="0.25">
      <c r="E2038" t="str">
        <f>""</f>
        <v/>
      </c>
      <c r="F2038" t="str">
        <f>""</f>
        <v/>
      </c>
      <c r="H2038" t="str">
        <f t="shared" si="37"/>
        <v>SOCIAL SECURITY TAXES</v>
      </c>
    </row>
    <row r="2039" spans="5:8" x14ac:dyDescent="0.25">
      <c r="E2039" t="str">
        <f>""</f>
        <v/>
      </c>
      <c r="F2039" t="str">
        <f>""</f>
        <v/>
      </c>
      <c r="H2039" t="str">
        <f t="shared" si="37"/>
        <v>SOCIAL SECURITY TAXES</v>
      </c>
    </row>
    <row r="2040" spans="5:8" x14ac:dyDescent="0.25">
      <c r="E2040" t="str">
        <f>""</f>
        <v/>
      </c>
      <c r="F2040" t="str">
        <f>""</f>
        <v/>
      </c>
      <c r="H2040" t="str">
        <f t="shared" si="37"/>
        <v>SOCIAL SECURITY TAXES</v>
      </c>
    </row>
    <row r="2041" spans="5:8" x14ac:dyDescent="0.25">
      <c r="E2041" t="str">
        <f>""</f>
        <v/>
      </c>
      <c r="F2041" t="str">
        <f>""</f>
        <v/>
      </c>
      <c r="H2041" t="str">
        <f t="shared" si="37"/>
        <v>SOCIAL SECURITY TAXES</v>
      </c>
    </row>
    <row r="2042" spans="5:8" x14ac:dyDescent="0.25">
      <c r="E2042" t="str">
        <f>""</f>
        <v/>
      </c>
      <c r="F2042" t="str">
        <f>""</f>
        <v/>
      </c>
      <c r="H2042" t="str">
        <f t="shared" si="37"/>
        <v>SOCIAL SECURITY TAXES</v>
      </c>
    </row>
    <row r="2043" spans="5:8" x14ac:dyDescent="0.25">
      <c r="E2043" t="str">
        <f>""</f>
        <v/>
      </c>
      <c r="F2043" t="str">
        <f>""</f>
        <v/>
      </c>
      <c r="H2043" t="str">
        <f t="shared" si="37"/>
        <v>SOCIAL SECURITY TAXES</v>
      </c>
    </row>
    <row r="2044" spans="5:8" x14ac:dyDescent="0.25">
      <c r="E2044" t="str">
        <f>""</f>
        <v/>
      </c>
      <c r="F2044" t="str">
        <f>""</f>
        <v/>
      </c>
      <c r="H2044" t="str">
        <f t="shared" si="37"/>
        <v>SOCIAL SECURITY TAXES</v>
      </c>
    </row>
    <row r="2045" spans="5:8" x14ac:dyDescent="0.25">
      <c r="E2045" t="str">
        <f>""</f>
        <v/>
      </c>
      <c r="F2045" t="str">
        <f>""</f>
        <v/>
      </c>
      <c r="H2045" t="str">
        <f t="shared" si="37"/>
        <v>SOCIAL SECURITY TAXES</v>
      </c>
    </row>
    <row r="2046" spans="5:8" x14ac:dyDescent="0.25">
      <c r="E2046" t="str">
        <f>""</f>
        <v/>
      </c>
      <c r="F2046" t="str">
        <f>""</f>
        <v/>
      </c>
      <c r="H2046" t="str">
        <f t="shared" si="37"/>
        <v>SOCIAL SECURITY TAXES</v>
      </c>
    </row>
    <row r="2047" spans="5:8" x14ac:dyDescent="0.25">
      <c r="E2047" t="str">
        <f>"T3 201904168722"</f>
        <v>T3 201904168722</v>
      </c>
      <c r="F2047" t="str">
        <f>"SOCIAL SECURITY TAXES"</f>
        <v>SOCIAL SECURITY TAXES</v>
      </c>
      <c r="G2047" s="2">
        <v>4013.3</v>
      </c>
      <c r="H2047" t="str">
        <f t="shared" si="37"/>
        <v>SOCIAL SECURITY TAXES</v>
      </c>
    </row>
    <row r="2048" spans="5:8" x14ac:dyDescent="0.25">
      <c r="E2048" t="str">
        <f>""</f>
        <v/>
      </c>
      <c r="F2048" t="str">
        <f>""</f>
        <v/>
      </c>
      <c r="H2048" t="str">
        <f t="shared" si="37"/>
        <v>SOCIAL SECURITY TAXES</v>
      </c>
    </row>
    <row r="2049" spans="5:8" x14ac:dyDescent="0.25">
      <c r="E2049" t="str">
        <f>"T3 201904168723"</f>
        <v>T3 201904168723</v>
      </c>
      <c r="F2049" t="str">
        <f>"SOCIAL SECURITY TAXES"</f>
        <v>SOCIAL SECURITY TAXES</v>
      </c>
      <c r="G2049" s="2">
        <v>5017.5600000000004</v>
      </c>
      <c r="H2049" t="str">
        <f t="shared" si="37"/>
        <v>SOCIAL SECURITY TAXES</v>
      </c>
    </row>
    <row r="2050" spans="5:8" x14ac:dyDescent="0.25">
      <c r="E2050" t="str">
        <f>""</f>
        <v/>
      </c>
      <c r="F2050" t="str">
        <f>""</f>
        <v/>
      </c>
      <c r="H2050" t="str">
        <f t="shared" si="37"/>
        <v>SOCIAL SECURITY TAXES</v>
      </c>
    </row>
    <row r="2051" spans="5:8" x14ac:dyDescent="0.25">
      <c r="E2051" t="str">
        <f>"T4 201904168721"</f>
        <v>T4 201904168721</v>
      </c>
      <c r="F2051" t="str">
        <f>"MEDICARE TAXES"</f>
        <v>MEDICARE TAXES</v>
      </c>
      <c r="G2051" s="2">
        <v>25002.52</v>
      </c>
      <c r="H2051" t="str">
        <f t="shared" ref="H2051:H2082" si="38">"MEDICARE TAXES"</f>
        <v>MEDICARE TAXES</v>
      </c>
    </row>
    <row r="2052" spans="5:8" x14ac:dyDescent="0.25">
      <c r="E2052" t="str">
        <f>""</f>
        <v/>
      </c>
      <c r="F2052" t="str">
        <f>""</f>
        <v/>
      </c>
      <c r="H2052" t="str">
        <f t="shared" si="38"/>
        <v>MEDICARE TAXES</v>
      </c>
    </row>
    <row r="2053" spans="5:8" x14ac:dyDescent="0.25">
      <c r="E2053" t="str">
        <f>""</f>
        <v/>
      </c>
      <c r="F2053" t="str">
        <f>""</f>
        <v/>
      </c>
      <c r="H2053" t="str">
        <f t="shared" si="38"/>
        <v>MEDICARE TAXES</v>
      </c>
    </row>
    <row r="2054" spans="5:8" x14ac:dyDescent="0.25">
      <c r="E2054" t="str">
        <f>""</f>
        <v/>
      </c>
      <c r="F2054" t="str">
        <f>""</f>
        <v/>
      </c>
      <c r="H2054" t="str">
        <f t="shared" si="38"/>
        <v>MEDICARE TAXES</v>
      </c>
    </row>
    <row r="2055" spans="5:8" x14ac:dyDescent="0.25">
      <c r="E2055" t="str">
        <f>""</f>
        <v/>
      </c>
      <c r="F2055" t="str">
        <f>""</f>
        <v/>
      </c>
      <c r="H2055" t="str">
        <f t="shared" si="38"/>
        <v>MEDICARE TAXES</v>
      </c>
    </row>
    <row r="2056" spans="5:8" x14ac:dyDescent="0.25">
      <c r="E2056" t="str">
        <f>""</f>
        <v/>
      </c>
      <c r="F2056" t="str">
        <f>""</f>
        <v/>
      </c>
      <c r="H2056" t="str">
        <f t="shared" si="38"/>
        <v>MEDICARE TAXES</v>
      </c>
    </row>
    <row r="2057" spans="5:8" x14ac:dyDescent="0.25">
      <c r="E2057" t="str">
        <f>""</f>
        <v/>
      </c>
      <c r="F2057" t="str">
        <f>""</f>
        <v/>
      </c>
      <c r="H2057" t="str">
        <f t="shared" si="38"/>
        <v>MEDICARE TAXES</v>
      </c>
    </row>
    <row r="2058" spans="5:8" x14ac:dyDescent="0.25">
      <c r="E2058" t="str">
        <f>""</f>
        <v/>
      </c>
      <c r="F2058" t="str">
        <f>""</f>
        <v/>
      </c>
      <c r="H2058" t="str">
        <f t="shared" si="38"/>
        <v>MEDICARE TAXES</v>
      </c>
    </row>
    <row r="2059" spans="5:8" x14ac:dyDescent="0.25">
      <c r="E2059" t="str">
        <f>""</f>
        <v/>
      </c>
      <c r="F2059" t="str">
        <f>""</f>
        <v/>
      </c>
      <c r="H2059" t="str">
        <f t="shared" si="38"/>
        <v>MEDICARE TAXES</v>
      </c>
    </row>
    <row r="2060" spans="5:8" x14ac:dyDescent="0.25">
      <c r="E2060" t="str">
        <f>""</f>
        <v/>
      </c>
      <c r="F2060" t="str">
        <f>""</f>
        <v/>
      </c>
      <c r="H2060" t="str">
        <f t="shared" si="38"/>
        <v>MEDICARE TAXES</v>
      </c>
    </row>
    <row r="2061" spans="5:8" x14ac:dyDescent="0.25">
      <c r="E2061" t="str">
        <f>""</f>
        <v/>
      </c>
      <c r="F2061" t="str">
        <f>""</f>
        <v/>
      </c>
      <c r="H2061" t="str">
        <f t="shared" si="38"/>
        <v>MEDICARE TAXES</v>
      </c>
    </row>
    <row r="2062" spans="5:8" x14ac:dyDescent="0.25">
      <c r="E2062" t="str">
        <f>""</f>
        <v/>
      </c>
      <c r="F2062" t="str">
        <f>""</f>
        <v/>
      </c>
      <c r="H2062" t="str">
        <f t="shared" si="38"/>
        <v>MEDICARE TAXES</v>
      </c>
    </row>
    <row r="2063" spans="5:8" x14ac:dyDescent="0.25">
      <c r="E2063" t="str">
        <f>""</f>
        <v/>
      </c>
      <c r="F2063" t="str">
        <f>""</f>
        <v/>
      </c>
      <c r="H2063" t="str">
        <f t="shared" si="38"/>
        <v>MEDICARE TAXES</v>
      </c>
    </row>
    <row r="2064" spans="5:8" x14ac:dyDescent="0.25">
      <c r="E2064" t="str">
        <f>""</f>
        <v/>
      </c>
      <c r="F2064" t="str">
        <f>""</f>
        <v/>
      </c>
      <c r="H2064" t="str">
        <f t="shared" si="38"/>
        <v>MEDICARE TAXES</v>
      </c>
    </row>
    <row r="2065" spans="5:8" x14ac:dyDescent="0.25">
      <c r="E2065" t="str">
        <f>""</f>
        <v/>
      </c>
      <c r="F2065" t="str">
        <f>""</f>
        <v/>
      </c>
      <c r="H2065" t="str">
        <f t="shared" si="38"/>
        <v>MEDICARE TAXES</v>
      </c>
    </row>
    <row r="2066" spans="5:8" x14ac:dyDescent="0.25">
      <c r="E2066" t="str">
        <f>""</f>
        <v/>
      </c>
      <c r="F2066" t="str">
        <f>""</f>
        <v/>
      </c>
      <c r="H2066" t="str">
        <f t="shared" si="38"/>
        <v>MEDICARE TAXES</v>
      </c>
    </row>
    <row r="2067" spans="5:8" x14ac:dyDescent="0.25">
      <c r="E2067" t="str">
        <f>""</f>
        <v/>
      </c>
      <c r="F2067" t="str">
        <f>""</f>
        <v/>
      </c>
      <c r="H2067" t="str">
        <f t="shared" si="38"/>
        <v>MEDICARE TAXES</v>
      </c>
    </row>
    <row r="2068" spans="5:8" x14ac:dyDescent="0.25">
      <c r="E2068" t="str">
        <f>""</f>
        <v/>
      </c>
      <c r="F2068" t="str">
        <f>""</f>
        <v/>
      </c>
      <c r="H2068" t="str">
        <f t="shared" si="38"/>
        <v>MEDICARE TAXES</v>
      </c>
    </row>
    <row r="2069" spans="5:8" x14ac:dyDescent="0.25">
      <c r="E2069" t="str">
        <f>""</f>
        <v/>
      </c>
      <c r="F2069" t="str">
        <f>""</f>
        <v/>
      </c>
      <c r="H2069" t="str">
        <f t="shared" si="38"/>
        <v>MEDICARE TAXES</v>
      </c>
    </row>
    <row r="2070" spans="5:8" x14ac:dyDescent="0.25">
      <c r="E2070" t="str">
        <f>""</f>
        <v/>
      </c>
      <c r="F2070" t="str">
        <f>""</f>
        <v/>
      </c>
      <c r="H2070" t="str">
        <f t="shared" si="38"/>
        <v>MEDICARE TAXES</v>
      </c>
    </row>
    <row r="2071" spans="5:8" x14ac:dyDescent="0.25">
      <c r="E2071" t="str">
        <f>""</f>
        <v/>
      </c>
      <c r="F2071" t="str">
        <f>""</f>
        <v/>
      </c>
      <c r="H2071" t="str">
        <f t="shared" si="38"/>
        <v>MEDICARE TAXES</v>
      </c>
    </row>
    <row r="2072" spans="5:8" x14ac:dyDescent="0.25">
      <c r="E2072" t="str">
        <f>""</f>
        <v/>
      </c>
      <c r="F2072" t="str">
        <f>""</f>
        <v/>
      </c>
      <c r="H2072" t="str">
        <f t="shared" si="38"/>
        <v>MEDICARE TAXES</v>
      </c>
    </row>
    <row r="2073" spans="5:8" x14ac:dyDescent="0.25">
      <c r="E2073" t="str">
        <f>""</f>
        <v/>
      </c>
      <c r="F2073" t="str">
        <f>""</f>
        <v/>
      </c>
      <c r="H2073" t="str">
        <f t="shared" si="38"/>
        <v>MEDICARE TAXES</v>
      </c>
    </row>
    <row r="2074" spans="5:8" x14ac:dyDescent="0.25">
      <c r="E2074" t="str">
        <f>""</f>
        <v/>
      </c>
      <c r="F2074" t="str">
        <f>""</f>
        <v/>
      </c>
      <c r="H2074" t="str">
        <f t="shared" si="38"/>
        <v>MEDICARE TAXES</v>
      </c>
    </row>
    <row r="2075" spans="5:8" x14ac:dyDescent="0.25">
      <c r="E2075" t="str">
        <f>""</f>
        <v/>
      </c>
      <c r="F2075" t="str">
        <f>""</f>
        <v/>
      </c>
      <c r="H2075" t="str">
        <f t="shared" si="38"/>
        <v>MEDICARE TAXES</v>
      </c>
    </row>
    <row r="2076" spans="5:8" x14ac:dyDescent="0.25">
      <c r="E2076" t="str">
        <f>""</f>
        <v/>
      </c>
      <c r="F2076" t="str">
        <f>""</f>
        <v/>
      </c>
      <c r="H2076" t="str">
        <f t="shared" si="38"/>
        <v>MEDICARE TAXES</v>
      </c>
    </row>
    <row r="2077" spans="5:8" x14ac:dyDescent="0.25">
      <c r="E2077" t="str">
        <f>""</f>
        <v/>
      </c>
      <c r="F2077" t="str">
        <f>""</f>
        <v/>
      </c>
      <c r="H2077" t="str">
        <f t="shared" si="38"/>
        <v>MEDICARE TAXES</v>
      </c>
    </row>
    <row r="2078" spans="5:8" x14ac:dyDescent="0.25">
      <c r="E2078" t="str">
        <f>""</f>
        <v/>
      </c>
      <c r="F2078" t="str">
        <f>""</f>
        <v/>
      </c>
      <c r="H2078" t="str">
        <f t="shared" si="38"/>
        <v>MEDICARE TAXES</v>
      </c>
    </row>
    <row r="2079" spans="5:8" x14ac:dyDescent="0.25">
      <c r="E2079" t="str">
        <f>""</f>
        <v/>
      </c>
      <c r="F2079" t="str">
        <f>""</f>
        <v/>
      </c>
      <c r="H2079" t="str">
        <f t="shared" si="38"/>
        <v>MEDICARE TAXES</v>
      </c>
    </row>
    <row r="2080" spans="5:8" x14ac:dyDescent="0.25">
      <c r="E2080" t="str">
        <f>""</f>
        <v/>
      </c>
      <c r="F2080" t="str">
        <f>""</f>
        <v/>
      </c>
      <c r="H2080" t="str">
        <f t="shared" si="38"/>
        <v>MEDICARE TAXES</v>
      </c>
    </row>
    <row r="2081" spans="5:8" x14ac:dyDescent="0.25">
      <c r="E2081" t="str">
        <f>""</f>
        <v/>
      </c>
      <c r="F2081" t="str">
        <f>""</f>
        <v/>
      </c>
      <c r="H2081" t="str">
        <f t="shared" si="38"/>
        <v>MEDICARE TAXES</v>
      </c>
    </row>
    <row r="2082" spans="5:8" x14ac:dyDescent="0.25">
      <c r="E2082" t="str">
        <f>""</f>
        <v/>
      </c>
      <c r="F2082" t="str">
        <f>""</f>
        <v/>
      </c>
      <c r="H2082" t="str">
        <f t="shared" si="38"/>
        <v>MEDICARE TAXES</v>
      </c>
    </row>
    <row r="2083" spans="5:8" x14ac:dyDescent="0.25">
      <c r="E2083" t="str">
        <f>""</f>
        <v/>
      </c>
      <c r="F2083" t="str">
        <f>""</f>
        <v/>
      </c>
      <c r="H2083" t="str">
        <f t="shared" ref="H2083:H2105" si="39">"MEDICARE TAXES"</f>
        <v>MEDICARE TAXES</v>
      </c>
    </row>
    <row r="2084" spans="5:8" x14ac:dyDescent="0.25">
      <c r="E2084" t="str">
        <f>""</f>
        <v/>
      </c>
      <c r="F2084" t="str">
        <f>""</f>
        <v/>
      </c>
      <c r="H2084" t="str">
        <f t="shared" si="39"/>
        <v>MEDICARE TAXES</v>
      </c>
    </row>
    <row r="2085" spans="5:8" x14ac:dyDescent="0.25">
      <c r="E2085" t="str">
        <f>""</f>
        <v/>
      </c>
      <c r="F2085" t="str">
        <f>""</f>
        <v/>
      </c>
      <c r="H2085" t="str">
        <f t="shared" si="39"/>
        <v>MEDICARE TAXES</v>
      </c>
    </row>
    <row r="2086" spans="5:8" x14ac:dyDescent="0.25">
      <c r="E2086" t="str">
        <f>""</f>
        <v/>
      </c>
      <c r="F2086" t="str">
        <f>""</f>
        <v/>
      </c>
      <c r="H2086" t="str">
        <f t="shared" si="39"/>
        <v>MEDICARE TAXES</v>
      </c>
    </row>
    <row r="2087" spans="5:8" x14ac:dyDescent="0.25">
      <c r="E2087" t="str">
        <f>""</f>
        <v/>
      </c>
      <c r="F2087" t="str">
        <f>""</f>
        <v/>
      </c>
      <c r="H2087" t="str">
        <f t="shared" si="39"/>
        <v>MEDICARE TAXES</v>
      </c>
    </row>
    <row r="2088" spans="5:8" x14ac:dyDescent="0.25">
      <c r="E2088" t="str">
        <f>""</f>
        <v/>
      </c>
      <c r="F2088" t="str">
        <f>""</f>
        <v/>
      </c>
      <c r="H2088" t="str">
        <f t="shared" si="39"/>
        <v>MEDICARE TAXES</v>
      </c>
    </row>
    <row r="2089" spans="5:8" x14ac:dyDescent="0.25">
      <c r="E2089" t="str">
        <f>""</f>
        <v/>
      </c>
      <c r="F2089" t="str">
        <f>""</f>
        <v/>
      </c>
      <c r="H2089" t="str">
        <f t="shared" si="39"/>
        <v>MEDICARE TAXES</v>
      </c>
    </row>
    <row r="2090" spans="5:8" x14ac:dyDescent="0.25">
      <c r="E2090" t="str">
        <f>""</f>
        <v/>
      </c>
      <c r="F2090" t="str">
        <f>""</f>
        <v/>
      </c>
      <c r="H2090" t="str">
        <f t="shared" si="39"/>
        <v>MEDICARE TAXES</v>
      </c>
    </row>
    <row r="2091" spans="5:8" x14ac:dyDescent="0.25">
      <c r="E2091" t="str">
        <f>""</f>
        <v/>
      </c>
      <c r="F2091" t="str">
        <f>""</f>
        <v/>
      </c>
      <c r="H2091" t="str">
        <f t="shared" si="39"/>
        <v>MEDICARE TAXES</v>
      </c>
    </row>
    <row r="2092" spans="5:8" x14ac:dyDescent="0.25">
      <c r="E2092" t="str">
        <f>""</f>
        <v/>
      </c>
      <c r="F2092" t="str">
        <f>""</f>
        <v/>
      </c>
      <c r="H2092" t="str">
        <f t="shared" si="39"/>
        <v>MEDICARE TAXES</v>
      </c>
    </row>
    <row r="2093" spans="5:8" x14ac:dyDescent="0.25">
      <c r="E2093" t="str">
        <f>""</f>
        <v/>
      </c>
      <c r="F2093" t="str">
        <f>""</f>
        <v/>
      </c>
      <c r="H2093" t="str">
        <f t="shared" si="39"/>
        <v>MEDICARE TAXES</v>
      </c>
    </row>
    <row r="2094" spans="5:8" x14ac:dyDescent="0.25">
      <c r="E2094" t="str">
        <f>""</f>
        <v/>
      </c>
      <c r="F2094" t="str">
        <f>""</f>
        <v/>
      </c>
      <c r="H2094" t="str">
        <f t="shared" si="39"/>
        <v>MEDICARE TAXES</v>
      </c>
    </row>
    <row r="2095" spans="5:8" x14ac:dyDescent="0.25">
      <c r="E2095" t="str">
        <f>""</f>
        <v/>
      </c>
      <c r="F2095" t="str">
        <f>""</f>
        <v/>
      </c>
      <c r="H2095" t="str">
        <f t="shared" si="39"/>
        <v>MEDICARE TAXES</v>
      </c>
    </row>
    <row r="2096" spans="5:8" x14ac:dyDescent="0.25">
      <c r="E2096" t="str">
        <f>""</f>
        <v/>
      </c>
      <c r="F2096" t="str">
        <f>""</f>
        <v/>
      </c>
      <c r="H2096" t="str">
        <f t="shared" si="39"/>
        <v>MEDICARE TAXES</v>
      </c>
    </row>
    <row r="2097" spans="1:8" x14ac:dyDescent="0.25">
      <c r="E2097" t="str">
        <f>""</f>
        <v/>
      </c>
      <c r="F2097" t="str">
        <f>""</f>
        <v/>
      </c>
      <c r="H2097" t="str">
        <f t="shared" si="39"/>
        <v>MEDICARE TAXES</v>
      </c>
    </row>
    <row r="2098" spans="1:8" x14ac:dyDescent="0.25">
      <c r="E2098" t="str">
        <f>""</f>
        <v/>
      </c>
      <c r="F2098" t="str">
        <f>""</f>
        <v/>
      </c>
      <c r="H2098" t="str">
        <f t="shared" si="39"/>
        <v>MEDICARE TAXES</v>
      </c>
    </row>
    <row r="2099" spans="1:8" x14ac:dyDescent="0.25">
      <c r="E2099" t="str">
        <f>""</f>
        <v/>
      </c>
      <c r="F2099" t="str">
        <f>""</f>
        <v/>
      </c>
      <c r="H2099" t="str">
        <f t="shared" si="39"/>
        <v>MEDICARE TAXES</v>
      </c>
    </row>
    <row r="2100" spans="1:8" x14ac:dyDescent="0.25">
      <c r="E2100" t="str">
        <f>""</f>
        <v/>
      </c>
      <c r="F2100" t="str">
        <f>""</f>
        <v/>
      </c>
      <c r="H2100" t="str">
        <f t="shared" si="39"/>
        <v>MEDICARE TAXES</v>
      </c>
    </row>
    <row r="2101" spans="1:8" x14ac:dyDescent="0.25">
      <c r="E2101" t="str">
        <f>""</f>
        <v/>
      </c>
      <c r="F2101" t="str">
        <f>""</f>
        <v/>
      </c>
      <c r="H2101" t="str">
        <f t="shared" si="39"/>
        <v>MEDICARE TAXES</v>
      </c>
    </row>
    <row r="2102" spans="1:8" x14ac:dyDescent="0.25">
      <c r="E2102" t="str">
        <f>"T4 201904168722"</f>
        <v>T4 201904168722</v>
      </c>
      <c r="F2102" t="str">
        <f>"MEDICARE TAXES"</f>
        <v>MEDICARE TAXES</v>
      </c>
      <c r="G2102" s="2">
        <v>938.6</v>
      </c>
      <c r="H2102" t="str">
        <f t="shared" si="39"/>
        <v>MEDICARE TAXES</v>
      </c>
    </row>
    <row r="2103" spans="1:8" x14ac:dyDescent="0.25">
      <c r="E2103" t="str">
        <f>""</f>
        <v/>
      </c>
      <c r="F2103" t="str">
        <f>""</f>
        <v/>
      </c>
      <c r="H2103" t="str">
        <f t="shared" si="39"/>
        <v>MEDICARE TAXES</v>
      </c>
    </row>
    <row r="2104" spans="1:8" x14ac:dyDescent="0.25">
      <c r="E2104" t="str">
        <f>"T4 201904168723"</f>
        <v>T4 201904168723</v>
      </c>
      <c r="F2104" t="str">
        <f>"MEDICARE TAXES"</f>
        <v>MEDICARE TAXES</v>
      </c>
      <c r="G2104" s="2">
        <v>1173.46</v>
      </c>
      <c r="H2104" t="str">
        <f t="shared" si="39"/>
        <v>MEDICARE TAXES</v>
      </c>
    </row>
    <row r="2105" spans="1:8" x14ac:dyDescent="0.25">
      <c r="E2105" t="str">
        <f>""</f>
        <v/>
      </c>
      <c r="F2105" t="str">
        <f>""</f>
        <v/>
      </c>
      <c r="H2105" t="str">
        <f t="shared" si="39"/>
        <v>MEDICARE TAXES</v>
      </c>
    </row>
    <row r="2106" spans="1:8" x14ac:dyDescent="0.25">
      <c r="A2106" t="s">
        <v>422</v>
      </c>
      <c r="B2106" s="3">
        <v>47384</v>
      </c>
      <c r="C2106" s="2">
        <v>222.76</v>
      </c>
      <c r="D2106" s="1">
        <v>43560</v>
      </c>
      <c r="E2106" t="str">
        <f>"C64201904038355"</f>
        <v>C64201904038355</v>
      </c>
      <c r="F2106" t="str">
        <f>"CASE #912745322"</f>
        <v>CASE #912745322</v>
      </c>
      <c r="G2106" s="2">
        <v>222.76</v>
      </c>
      <c r="H2106" t="str">
        <f>"CASE #912745322"</f>
        <v>CASE #912745322</v>
      </c>
    </row>
    <row r="2107" spans="1:8" x14ac:dyDescent="0.25">
      <c r="A2107" t="s">
        <v>422</v>
      </c>
      <c r="B2107" s="3">
        <v>47407</v>
      </c>
      <c r="C2107" s="2">
        <v>222.76</v>
      </c>
      <c r="D2107" s="1">
        <v>43573</v>
      </c>
      <c r="E2107" t="str">
        <f>"C64201904168721"</f>
        <v>C64201904168721</v>
      </c>
      <c r="F2107" t="str">
        <f>"CASE #912745322"</f>
        <v>CASE #912745322</v>
      </c>
      <c r="G2107" s="2">
        <v>222.76</v>
      </c>
      <c r="H2107" t="str">
        <f>"CASE #912745322"</f>
        <v>CASE #912745322</v>
      </c>
    </row>
    <row r="2108" spans="1:8" x14ac:dyDescent="0.25">
      <c r="A2108" t="s">
        <v>423</v>
      </c>
      <c r="B2108" s="3">
        <v>118</v>
      </c>
      <c r="C2108" s="2">
        <v>674.82</v>
      </c>
      <c r="D2108" s="1">
        <v>43579</v>
      </c>
      <c r="E2108" t="str">
        <f>"LIX201904038355"</f>
        <v>LIX201904038355</v>
      </c>
      <c r="F2108" t="str">
        <f>"TEXAS LIFE/OLIVO GROUP"</f>
        <v>TEXAS LIFE/OLIVO GROUP</v>
      </c>
      <c r="G2108" s="2">
        <v>337.41</v>
      </c>
      <c r="H2108" t="str">
        <f>"TEXAS LIFE/OLIVO GROUP"</f>
        <v>TEXAS LIFE/OLIVO GROUP</v>
      </c>
    </row>
    <row r="2109" spans="1:8" x14ac:dyDescent="0.25">
      <c r="E2109" t="str">
        <f>"LIX201904168721"</f>
        <v>LIX201904168721</v>
      </c>
      <c r="F2109" t="str">
        <f>"TEXAS LIFE/OLIVO GROUP"</f>
        <v>TEXAS LIFE/OLIVO GROUP</v>
      </c>
      <c r="G2109" s="2">
        <v>337.41</v>
      </c>
      <c r="H2109" t="str">
        <f>"TEXAS LIFE/OLIVO GROUP"</f>
        <v>TEXAS LIFE/OLIVO GROUP</v>
      </c>
    </row>
    <row r="2110" spans="1:8" x14ac:dyDescent="0.25">
      <c r="A2110" t="s">
        <v>424</v>
      </c>
      <c r="B2110" s="3">
        <v>47412</v>
      </c>
      <c r="C2110" s="2">
        <v>334563.42</v>
      </c>
      <c r="D2110" s="1">
        <v>43580</v>
      </c>
      <c r="E2110" t="str">
        <f>"201904238736"</f>
        <v>201904238736</v>
      </c>
      <c r="F2110" t="str">
        <f>"RETIREE APRIL 2019"</f>
        <v>RETIREE APRIL 2019</v>
      </c>
      <c r="G2110" s="2">
        <v>16018.76</v>
      </c>
      <c r="H2110" t="str">
        <f>"RETIREE APRIL 2019"</f>
        <v>RETIREE APRIL 2019</v>
      </c>
    </row>
    <row r="2111" spans="1:8" x14ac:dyDescent="0.25">
      <c r="E2111" t="str">
        <f>"201904238737"</f>
        <v>201904238737</v>
      </c>
      <c r="F2111" t="str">
        <f>"TAC ADJUSTMENT"</f>
        <v>TAC ADJUSTMENT</v>
      </c>
      <c r="G2111" s="2">
        <v>197.71</v>
      </c>
      <c r="H2111" t="str">
        <f>"TAC ADJUSTMENT"</f>
        <v>TAC ADJUSTMENT</v>
      </c>
    </row>
    <row r="2112" spans="1:8" x14ac:dyDescent="0.25">
      <c r="E2112" t="str">
        <f>"2EC201904038355"</f>
        <v>2EC201904038355</v>
      </c>
      <c r="F2112" t="str">
        <f>"BCBS PAYABLE"</f>
        <v>BCBS PAYABLE</v>
      </c>
      <c r="G2112" s="2">
        <v>45419.54</v>
      </c>
      <c r="H2112" t="str">
        <f t="shared" ref="H2112:H2143" si="40">"BCBS PAYABLE"</f>
        <v>BCBS PAYABLE</v>
      </c>
    </row>
    <row r="2113" spans="5:8" x14ac:dyDescent="0.25">
      <c r="E2113" t="str">
        <f>""</f>
        <v/>
      </c>
      <c r="F2113" t="str">
        <f>""</f>
        <v/>
      </c>
      <c r="H2113" t="str">
        <f t="shared" si="40"/>
        <v>BCBS PAYABLE</v>
      </c>
    </row>
    <row r="2114" spans="5:8" x14ac:dyDescent="0.25">
      <c r="E2114" t="str">
        <f>""</f>
        <v/>
      </c>
      <c r="F2114" t="str">
        <f>""</f>
        <v/>
      </c>
      <c r="H2114" t="str">
        <f t="shared" si="40"/>
        <v>BCBS PAYABLE</v>
      </c>
    </row>
    <row r="2115" spans="5:8" x14ac:dyDescent="0.25">
      <c r="E2115" t="str">
        <f>""</f>
        <v/>
      </c>
      <c r="F2115" t="str">
        <f>""</f>
        <v/>
      </c>
      <c r="H2115" t="str">
        <f t="shared" si="40"/>
        <v>BCBS PAYABLE</v>
      </c>
    </row>
    <row r="2116" spans="5:8" x14ac:dyDescent="0.25">
      <c r="E2116" t="str">
        <f>""</f>
        <v/>
      </c>
      <c r="F2116" t="str">
        <f>""</f>
        <v/>
      </c>
      <c r="H2116" t="str">
        <f t="shared" si="40"/>
        <v>BCBS PAYABLE</v>
      </c>
    </row>
    <row r="2117" spans="5:8" x14ac:dyDescent="0.25">
      <c r="E2117" t="str">
        <f>""</f>
        <v/>
      </c>
      <c r="F2117" t="str">
        <f>""</f>
        <v/>
      </c>
      <c r="H2117" t="str">
        <f t="shared" si="40"/>
        <v>BCBS PAYABLE</v>
      </c>
    </row>
    <row r="2118" spans="5:8" x14ac:dyDescent="0.25">
      <c r="E2118" t="str">
        <f>""</f>
        <v/>
      </c>
      <c r="F2118" t="str">
        <f>""</f>
        <v/>
      </c>
      <c r="H2118" t="str">
        <f t="shared" si="40"/>
        <v>BCBS PAYABLE</v>
      </c>
    </row>
    <row r="2119" spans="5:8" x14ac:dyDescent="0.25">
      <c r="E2119" t="str">
        <f>""</f>
        <v/>
      </c>
      <c r="F2119" t="str">
        <f>""</f>
        <v/>
      </c>
      <c r="H2119" t="str">
        <f t="shared" si="40"/>
        <v>BCBS PAYABLE</v>
      </c>
    </row>
    <row r="2120" spans="5:8" x14ac:dyDescent="0.25">
      <c r="E2120" t="str">
        <f>""</f>
        <v/>
      </c>
      <c r="F2120" t="str">
        <f>""</f>
        <v/>
      </c>
      <c r="H2120" t="str">
        <f t="shared" si="40"/>
        <v>BCBS PAYABLE</v>
      </c>
    </row>
    <row r="2121" spans="5:8" x14ac:dyDescent="0.25">
      <c r="E2121" t="str">
        <f>""</f>
        <v/>
      </c>
      <c r="F2121" t="str">
        <f>""</f>
        <v/>
      </c>
      <c r="H2121" t="str">
        <f t="shared" si="40"/>
        <v>BCBS PAYABLE</v>
      </c>
    </row>
    <row r="2122" spans="5:8" x14ac:dyDescent="0.25">
      <c r="E2122" t="str">
        <f>""</f>
        <v/>
      </c>
      <c r="F2122" t="str">
        <f>""</f>
        <v/>
      </c>
      <c r="H2122" t="str">
        <f t="shared" si="40"/>
        <v>BCBS PAYABLE</v>
      </c>
    </row>
    <row r="2123" spans="5:8" x14ac:dyDescent="0.25">
      <c r="E2123" t="str">
        <f>""</f>
        <v/>
      </c>
      <c r="F2123" t="str">
        <f>""</f>
        <v/>
      </c>
      <c r="H2123" t="str">
        <f t="shared" si="40"/>
        <v>BCBS PAYABLE</v>
      </c>
    </row>
    <row r="2124" spans="5:8" x14ac:dyDescent="0.25">
      <c r="E2124" t="str">
        <f>""</f>
        <v/>
      </c>
      <c r="F2124" t="str">
        <f>""</f>
        <v/>
      </c>
      <c r="H2124" t="str">
        <f t="shared" si="40"/>
        <v>BCBS PAYABLE</v>
      </c>
    </row>
    <row r="2125" spans="5:8" x14ac:dyDescent="0.25">
      <c r="E2125" t="str">
        <f>""</f>
        <v/>
      </c>
      <c r="F2125" t="str">
        <f>""</f>
        <v/>
      </c>
      <c r="H2125" t="str">
        <f t="shared" si="40"/>
        <v>BCBS PAYABLE</v>
      </c>
    </row>
    <row r="2126" spans="5:8" x14ac:dyDescent="0.25">
      <c r="E2126" t="str">
        <f>""</f>
        <v/>
      </c>
      <c r="F2126" t="str">
        <f>""</f>
        <v/>
      </c>
      <c r="H2126" t="str">
        <f t="shared" si="40"/>
        <v>BCBS PAYABLE</v>
      </c>
    </row>
    <row r="2127" spans="5:8" x14ac:dyDescent="0.25">
      <c r="E2127" t="str">
        <f>""</f>
        <v/>
      </c>
      <c r="F2127" t="str">
        <f>""</f>
        <v/>
      </c>
      <c r="H2127" t="str">
        <f t="shared" si="40"/>
        <v>BCBS PAYABLE</v>
      </c>
    </row>
    <row r="2128" spans="5:8" x14ac:dyDescent="0.25">
      <c r="E2128" t="str">
        <f>""</f>
        <v/>
      </c>
      <c r="F2128" t="str">
        <f>""</f>
        <v/>
      </c>
      <c r="H2128" t="str">
        <f t="shared" si="40"/>
        <v>BCBS PAYABLE</v>
      </c>
    </row>
    <row r="2129" spans="5:8" x14ac:dyDescent="0.25">
      <c r="E2129" t="str">
        <f>""</f>
        <v/>
      </c>
      <c r="F2129" t="str">
        <f>""</f>
        <v/>
      </c>
      <c r="H2129" t="str">
        <f t="shared" si="40"/>
        <v>BCBS PAYABLE</v>
      </c>
    </row>
    <row r="2130" spans="5:8" x14ac:dyDescent="0.25">
      <c r="E2130" t="str">
        <f>""</f>
        <v/>
      </c>
      <c r="F2130" t="str">
        <f>""</f>
        <v/>
      </c>
      <c r="H2130" t="str">
        <f t="shared" si="40"/>
        <v>BCBS PAYABLE</v>
      </c>
    </row>
    <row r="2131" spans="5:8" x14ac:dyDescent="0.25">
      <c r="E2131" t="str">
        <f>""</f>
        <v/>
      </c>
      <c r="F2131" t="str">
        <f>""</f>
        <v/>
      </c>
      <c r="H2131" t="str">
        <f t="shared" si="40"/>
        <v>BCBS PAYABLE</v>
      </c>
    </row>
    <row r="2132" spans="5:8" x14ac:dyDescent="0.25">
      <c r="E2132" t="str">
        <f>""</f>
        <v/>
      </c>
      <c r="F2132" t="str">
        <f>""</f>
        <v/>
      </c>
      <c r="H2132" t="str">
        <f t="shared" si="40"/>
        <v>BCBS PAYABLE</v>
      </c>
    </row>
    <row r="2133" spans="5:8" x14ac:dyDescent="0.25">
      <c r="E2133" t="str">
        <f>""</f>
        <v/>
      </c>
      <c r="F2133" t="str">
        <f>""</f>
        <v/>
      </c>
      <c r="H2133" t="str">
        <f t="shared" si="40"/>
        <v>BCBS PAYABLE</v>
      </c>
    </row>
    <row r="2134" spans="5:8" x14ac:dyDescent="0.25">
      <c r="E2134" t="str">
        <f>""</f>
        <v/>
      </c>
      <c r="F2134" t="str">
        <f>""</f>
        <v/>
      </c>
      <c r="H2134" t="str">
        <f t="shared" si="40"/>
        <v>BCBS PAYABLE</v>
      </c>
    </row>
    <row r="2135" spans="5:8" x14ac:dyDescent="0.25">
      <c r="E2135" t="str">
        <f>""</f>
        <v/>
      </c>
      <c r="F2135" t="str">
        <f>""</f>
        <v/>
      </c>
      <c r="H2135" t="str">
        <f t="shared" si="40"/>
        <v>BCBS PAYABLE</v>
      </c>
    </row>
    <row r="2136" spans="5:8" x14ac:dyDescent="0.25">
      <c r="E2136" t="str">
        <f>""</f>
        <v/>
      </c>
      <c r="F2136" t="str">
        <f>""</f>
        <v/>
      </c>
      <c r="H2136" t="str">
        <f t="shared" si="40"/>
        <v>BCBS PAYABLE</v>
      </c>
    </row>
    <row r="2137" spans="5:8" x14ac:dyDescent="0.25">
      <c r="E2137" t="str">
        <f>""</f>
        <v/>
      </c>
      <c r="F2137" t="str">
        <f>""</f>
        <v/>
      </c>
      <c r="H2137" t="str">
        <f t="shared" si="40"/>
        <v>BCBS PAYABLE</v>
      </c>
    </row>
    <row r="2138" spans="5:8" x14ac:dyDescent="0.25">
      <c r="E2138" t="str">
        <f>""</f>
        <v/>
      </c>
      <c r="F2138" t="str">
        <f>""</f>
        <v/>
      </c>
      <c r="H2138" t="str">
        <f t="shared" si="40"/>
        <v>BCBS PAYABLE</v>
      </c>
    </row>
    <row r="2139" spans="5:8" x14ac:dyDescent="0.25">
      <c r="E2139" t="str">
        <f>""</f>
        <v/>
      </c>
      <c r="F2139" t="str">
        <f>""</f>
        <v/>
      </c>
      <c r="H2139" t="str">
        <f t="shared" si="40"/>
        <v>BCBS PAYABLE</v>
      </c>
    </row>
    <row r="2140" spans="5:8" x14ac:dyDescent="0.25">
      <c r="E2140" t="str">
        <f>""</f>
        <v/>
      </c>
      <c r="F2140" t="str">
        <f>""</f>
        <v/>
      </c>
      <c r="H2140" t="str">
        <f t="shared" si="40"/>
        <v>BCBS PAYABLE</v>
      </c>
    </row>
    <row r="2141" spans="5:8" x14ac:dyDescent="0.25">
      <c r="E2141" t="str">
        <f>""</f>
        <v/>
      </c>
      <c r="F2141" t="str">
        <f>""</f>
        <v/>
      </c>
      <c r="H2141" t="str">
        <f t="shared" si="40"/>
        <v>BCBS PAYABLE</v>
      </c>
    </row>
    <row r="2142" spans="5:8" x14ac:dyDescent="0.25">
      <c r="E2142" t="str">
        <f>"2EC201904038356"</f>
        <v>2EC201904038356</v>
      </c>
      <c r="F2142" t="str">
        <f>"BCBS PAYABLE"</f>
        <v>BCBS PAYABLE</v>
      </c>
      <c r="G2142" s="2">
        <v>1737.8</v>
      </c>
      <c r="H2142" t="str">
        <f t="shared" si="40"/>
        <v>BCBS PAYABLE</v>
      </c>
    </row>
    <row r="2143" spans="5:8" x14ac:dyDescent="0.25">
      <c r="E2143" t="str">
        <f>""</f>
        <v/>
      </c>
      <c r="F2143" t="str">
        <f>""</f>
        <v/>
      </c>
      <c r="H2143" t="str">
        <f t="shared" si="40"/>
        <v>BCBS PAYABLE</v>
      </c>
    </row>
    <row r="2144" spans="5:8" x14ac:dyDescent="0.25">
      <c r="E2144" t="str">
        <f>"2EC201904168721"</f>
        <v>2EC201904168721</v>
      </c>
      <c r="F2144" t="str">
        <f>"BCBS PAYABLE"</f>
        <v>BCBS PAYABLE</v>
      </c>
      <c r="G2144" s="2">
        <v>44748.35</v>
      </c>
      <c r="H2144" t="str">
        <f t="shared" ref="H2144:H2175" si="41">"BCBS PAYABLE"</f>
        <v>BCBS PAYABLE</v>
      </c>
    </row>
    <row r="2145" spans="5:8" x14ac:dyDescent="0.25">
      <c r="E2145" t="str">
        <f>""</f>
        <v/>
      </c>
      <c r="F2145" t="str">
        <f>""</f>
        <v/>
      </c>
      <c r="H2145" t="str">
        <f t="shared" si="41"/>
        <v>BCBS PAYABLE</v>
      </c>
    </row>
    <row r="2146" spans="5:8" x14ac:dyDescent="0.25">
      <c r="E2146" t="str">
        <f>""</f>
        <v/>
      </c>
      <c r="F2146" t="str">
        <f>""</f>
        <v/>
      </c>
      <c r="H2146" t="str">
        <f t="shared" si="41"/>
        <v>BCBS PAYABLE</v>
      </c>
    </row>
    <row r="2147" spans="5:8" x14ac:dyDescent="0.25">
      <c r="E2147" t="str">
        <f>""</f>
        <v/>
      </c>
      <c r="F2147" t="str">
        <f>""</f>
        <v/>
      </c>
      <c r="H2147" t="str">
        <f t="shared" si="41"/>
        <v>BCBS PAYABLE</v>
      </c>
    </row>
    <row r="2148" spans="5:8" x14ac:dyDescent="0.25">
      <c r="E2148" t="str">
        <f>""</f>
        <v/>
      </c>
      <c r="F2148" t="str">
        <f>""</f>
        <v/>
      </c>
      <c r="H2148" t="str">
        <f t="shared" si="41"/>
        <v>BCBS PAYABLE</v>
      </c>
    </row>
    <row r="2149" spans="5:8" x14ac:dyDescent="0.25">
      <c r="E2149" t="str">
        <f>""</f>
        <v/>
      </c>
      <c r="F2149" t="str">
        <f>""</f>
        <v/>
      </c>
      <c r="H2149" t="str">
        <f t="shared" si="41"/>
        <v>BCBS PAYABLE</v>
      </c>
    </row>
    <row r="2150" spans="5:8" x14ac:dyDescent="0.25">
      <c r="E2150" t="str">
        <f>""</f>
        <v/>
      </c>
      <c r="F2150" t="str">
        <f>""</f>
        <v/>
      </c>
      <c r="H2150" t="str">
        <f t="shared" si="41"/>
        <v>BCBS PAYABLE</v>
      </c>
    </row>
    <row r="2151" spans="5:8" x14ac:dyDescent="0.25">
      <c r="E2151" t="str">
        <f>""</f>
        <v/>
      </c>
      <c r="F2151" t="str">
        <f>""</f>
        <v/>
      </c>
      <c r="H2151" t="str">
        <f t="shared" si="41"/>
        <v>BCBS PAYABLE</v>
      </c>
    </row>
    <row r="2152" spans="5:8" x14ac:dyDescent="0.25">
      <c r="E2152" t="str">
        <f>""</f>
        <v/>
      </c>
      <c r="F2152" t="str">
        <f>""</f>
        <v/>
      </c>
      <c r="H2152" t="str">
        <f t="shared" si="41"/>
        <v>BCBS PAYABLE</v>
      </c>
    </row>
    <row r="2153" spans="5:8" x14ac:dyDescent="0.25">
      <c r="E2153" t="str">
        <f>""</f>
        <v/>
      </c>
      <c r="F2153" t="str">
        <f>""</f>
        <v/>
      </c>
      <c r="H2153" t="str">
        <f t="shared" si="41"/>
        <v>BCBS PAYABLE</v>
      </c>
    </row>
    <row r="2154" spans="5:8" x14ac:dyDescent="0.25">
      <c r="E2154" t="str">
        <f>""</f>
        <v/>
      </c>
      <c r="F2154" t="str">
        <f>""</f>
        <v/>
      </c>
      <c r="H2154" t="str">
        <f t="shared" si="41"/>
        <v>BCBS PAYABLE</v>
      </c>
    </row>
    <row r="2155" spans="5:8" x14ac:dyDescent="0.25">
      <c r="E2155" t="str">
        <f>""</f>
        <v/>
      </c>
      <c r="F2155" t="str">
        <f>""</f>
        <v/>
      </c>
      <c r="H2155" t="str">
        <f t="shared" si="41"/>
        <v>BCBS PAYABLE</v>
      </c>
    </row>
    <row r="2156" spans="5:8" x14ac:dyDescent="0.25">
      <c r="E2156" t="str">
        <f>""</f>
        <v/>
      </c>
      <c r="F2156" t="str">
        <f>""</f>
        <v/>
      </c>
      <c r="H2156" t="str">
        <f t="shared" si="41"/>
        <v>BCBS PAYABLE</v>
      </c>
    </row>
    <row r="2157" spans="5:8" x14ac:dyDescent="0.25">
      <c r="E2157" t="str">
        <f>""</f>
        <v/>
      </c>
      <c r="F2157" t="str">
        <f>""</f>
        <v/>
      </c>
      <c r="H2157" t="str">
        <f t="shared" si="41"/>
        <v>BCBS PAYABLE</v>
      </c>
    </row>
    <row r="2158" spans="5:8" x14ac:dyDescent="0.25">
      <c r="E2158" t="str">
        <f>""</f>
        <v/>
      </c>
      <c r="F2158" t="str">
        <f>""</f>
        <v/>
      </c>
      <c r="H2158" t="str">
        <f t="shared" si="41"/>
        <v>BCBS PAYABLE</v>
      </c>
    </row>
    <row r="2159" spans="5:8" x14ac:dyDescent="0.25">
      <c r="E2159" t="str">
        <f>""</f>
        <v/>
      </c>
      <c r="F2159" t="str">
        <f>""</f>
        <v/>
      </c>
      <c r="H2159" t="str">
        <f t="shared" si="41"/>
        <v>BCBS PAYABLE</v>
      </c>
    </row>
    <row r="2160" spans="5:8" x14ac:dyDescent="0.25">
      <c r="E2160" t="str">
        <f>""</f>
        <v/>
      </c>
      <c r="F2160" t="str">
        <f>""</f>
        <v/>
      </c>
      <c r="H2160" t="str">
        <f t="shared" si="41"/>
        <v>BCBS PAYABLE</v>
      </c>
    </row>
    <row r="2161" spans="5:8" x14ac:dyDescent="0.25">
      <c r="E2161" t="str">
        <f>""</f>
        <v/>
      </c>
      <c r="F2161" t="str">
        <f>""</f>
        <v/>
      </c>
      <c r="H2161" t="str">
        <f t="shared" si="41"/>
        <v>BCBS PAYABLE</v>
      </c>
    </row>
    <row r="2162" spans="5:8" x14ac:dyDescent="0.25">
      <c r="E2162" t="str">
        <f>""</f>
        <v/>
      </c>
      <c r="F2162" t="str">
        <f>""</f>
        <v/>
      </c>
      <c r="H2162" t="str">
        <f t="shared" si="41"/>
        <v>BCBS PAYABLE</v>
      </c>
    </row>
    <row r="2163" spans="5:8" x14ac:dyDescent="0.25">
      <c r="E2163" t="str">
        <f>""</f>
        <v/>
      </c>
      <c r="F2163" t="str">
        <f>""</f>
        <v/>
      </c>
      <c r="H2163" t="str">
        <f t="shared" si="41"/>
        <v>BCBS PAYABLE</v>
      </c>
    </row>
    <row r="2164" spans="5:8" x14ac:dyDescent="0.25">
      <c r="E2164" t="str">
        <f>""</f>
        <v/>
      </c>
      <c r="F2164" t="str">
        <f>""</f>
        <v/>
      </c>
      <c r="H2164" t="str">
        <f t="shared" si="41"/>
        <v>BCBS PAYABLE</v>
      </c>
    </row>
    <row r="2165" spans="5:8" x14ac:dyDescent="0.25">
      <c r="E2165" t="str">
        <f>""</f>
        <v/>
      </c>
      <c r="F2165" t="str">
        <f>""</f>
        <v/>
      </c>
      <c r="H2165" t="str">
        <f t="shared" si="41"/>
        <v>BCBS PAYABLE</v>
      </c>
    </row>
    <row r="2166" spans="5:8" x14ac:dyDescent="0.25">
      <c r="E2166" t="str">
        <f>""</f>
        <v/>
      </c>
      <c r="F2166" t="str">
        <f>""</f>
        <v/>
      </c>
      <c r="H2166" t="str">
        <f t="shared" si="41"/>
        <v>BCBS PAYABLE</v>
      </c>
    </row>
    <row r="2167" spans="5:8" x14ac:dyDescent="0.25">
      <c r="E2167" t="str">
        <f>""</f>
        <v/>
      </c>
      <c r="F2167" t="str">
        <f>""</f>
        <v/>
      </c>
      <c r="H2167" t="str">
        <f t="shared" si="41"/>
        <v>BCBS PAYABLE</v>
      </c>
    </row>
    <row r="2168" spans="5:8" x14ac:dyDescent="0.25">
      <c r="E2168" t="str">
        <f>""</f>
        <v/>
      </c>
      <c r="F2168" t="str">
        <f>""</f>
        <v/>
      </c>
      <c r="H2168" t="str">
        <f t="shared" si="41"/>
        <v>BCBS PAYABLE</v>
      </c>
    </row>
    <row r="2169" spans="5:8" x14ac:dyDescent="0.25">
      <c r="E2169" t="str">
        <f>""</f>
        <v/>
      </c>
      <c r="F2169" t="str">
        <f>""</f>
        <v/>
      </c>
      <c r="H2169" t="str">
        <f t="shared" si="41"/>
        <v>BCBS PAYABLE</v>
      </c>
    </row>
    <row r="2170" spans="5:8" x14ac:dyDescent="0.25">
      <c r="E2170" t="str">
        <f>""</f>
        <v/>
      </c>
      <c r="F2170" t="str">
        <f>""</f>
        <v/>
      </c>
      <c r="H2170" t="str">
        <f t="shared" si="41"/>
        <v>BCBS PAYABLE</v>
      </c>
    </row>
    <row r="2171" spans="5:8" x14ac:dyDescent="0.25">
      <c r="E2171" t="str">
        <f>""</f>
        <v/>
      </c>
      <c r="F2171" t="str">
        <f>""</f>
        <v/>
      </c>
      <c r="H2171" t="str">
        <f t="shared" si="41"/>
        <v>BCBS PAYABLE</v>
      </c>
    </row>
    <row r="2172" spans="5:8" x14ac:dyDescent="0.25">
      <c r="E2172" t="str">
        <f>""</f>
        <v/>
      </c>
      <c r="F2172" t="str">
        <f>""</f>
        <v/>
      </c>
      <c r="H2172" t="str">
        <f t="shared" si="41"/>
        <v>BCBS PAYABLE</v>
      </c>
    </row>
    <row r="2173" spans="5:8" x14ac:dyDescent="0.25">
      <c r="E2173" t="str">
        <f>""</f>
        <v/>
      </c>
      <c r="F2173" t="str">
        <f>""</f>
        <v/>
      </c>
      <c r="H2173" t="str">
        <f t="shared" si="41"/>
        <v>BCBS PAYABLE</v>
      </c>
    </row>
    <row r="2174" spans="5:8" x14ac:dyDescent="0.25">
      <c r="E2174" t="str">
        <f>"2EC201904168722"</f>
        <v>2EC201904168722</v>
      </c>
      <c r="F2174" t="str">
        <f>"BCBS PAYABLE"</f>
        <v>BCBS PAYABLE</v>
      </c>
      <c r="G2174" s="2">
        <v>1737.8</v>
      </c>
      <c r="H2174" t="str">
        <f t="shared" si="41"/>
        <v>BCBS PAYABLE</v>
      </c>
    </row>
    <row r="2175" spans="5:8" x14ac:dyDescent="0.25">
      <c r="E2175" t="str">
        <f>""</f>
        <v/>
      </c>
      <c r="F2175" t="str">
        <f>""</f>
        <v/>
      </c>
      <c r="H2175" t="str">
        <f t="shared" si="41"/>
        <v>BCBS PAYABLE</v>
      </c>
    </row>
    <row r="2176" spans="5:8" x14ac:dyDescent="0.25">
      <c r="E2176" t="str">
        <f>"2EF201904038355"</f>
        <v>2EF201904038355</v>
      </c>
      <c r="F2176" t="str">
        <f>"BCBS PAYABLE"</f>
        <v>BCBS PAYABLE</v>
      </c>
      <c r="G2176" s="2">
        <v>863.33</v>
      </c>
      <c r="H2176" t="str">
        <f t="shared" ref="H2176:H2207" si="42">"BCBS PAYABLE"</f>
        <v>BCBS PAYABLE</v>
      </c>
    </row>
    <row r="2177" spans="5:8" x14ac:dyDescent="0.25">
      <c r="E2177" t="str">
        <f>""</f>
        <v/>
      </c>
      <c r="F2177" t="str">
        <f>""</f>
        <v/>
      </c>
      <c r="H2177" t="str">
        <f t="shared" si="42"/>
        <v>BCBS PAYABLE</v>
      </c>
    </row>
    <row r="2178" spans="5:8" x14ac:dyDescent="0.25">
      <c r="E2178" t="str">
        <f>"2EF201904168721"</f>
        <v>2EF201904168721</v>
      </c>
      <c r="F2178" t="str">
        <f>"BCBS PAYABLE"</f>
        <v>BCBS PAYABLE</v>
      </c>
      <c r="G2178" s="2">
        <v>863.33</v>
      </c>
      <c r="H2178" t="str">
        <f t="shared" si="42"/>
        <v>BCBS PAYABLE</v>
      </c>
    </row>
    <row r="2179" spans="5:8" x14ac:dyDescent="0.25">
      <c r="E2179" t="str">
        <f>""</f>
        <v/>
      </c>
      <c r="F2179" t="str">
        <f>""</f>
        <v/>
      </c>
      <c r="H2179" t="str">
        <f t="shared" si="42"/>
        <v>BCBS PAYABLE</v>
      </c>
    </row>
    <row r="2180" spans="5:8" x14ac:dyDescent="0.25">
      <c r="E2180" t="str">
        <f>"2EO201904038355"</f>
        <v>2EO201904038355</v>
      </c>
      <c r="F2180" t="str">
        <f>"BCBS PAYABLE"</f>
        <v>BCBS PAYABLE</v>
      </c>
      <c r="G2180" s="2">
        <v>92927.52</v>
      </c>
      <c r="H2180" t="str">
        <f t="shared" si="42"/>
        <v>BCBS PAYABLE</v>
      </c>
    </row>
    <row r="2181" spans="5:8" x14ac:dyDescent="0.25">
      <c r="E2181" t="str">
        <f>""</f>
        <v/>
      </c>
      <c r="F2181" t="str">
        <f>""</f>
        <v/>
      </c>
      <c r="H2181" t="str">
        <f t="shared" si="42"/>
        <v>BCBS PAYABLE</v>
      </c>
    </row>
    <row r="2182" spans="5:8" x14ac:dyDescent="0.25">
      <c r="E2182" t="str">
        <f>""</f>
        <v/>
      </c>
      <c r="F2182" t="str">
        <f>""</f>
        <v/>
      </c>
      <c r="H2182" t="str">
        <f t="shared" si="42"/>
        <v>BCBS PAYABLE</v>
      </c>
    </row>
    <row r="2183" spans="5:8" x14ac:dyDescent="0.25">
      <c r="E2183" t="str">
        <f>""</f>
        <v/>
      </c>
      <c r="F2183" t="str">
        <f>""</f>
        <v/>
      </c>
      <c r="H2183" t="str">
        <f t="shared" si="42"/>
        <v>BCBS PAYABLE</v>
      </c>
    </row>
    <row r="2184" spans="5:8" x14ac:dyDescent="0.25">
      <c r="E2184" t="str">
        <f>""</f>
        <v/>
      </c>
      <c r="F2184" t="str">
        <f>""</f>
        <v/>
      </c>
      <c r="H2184" t="str">
        <f t="shared" si="42"/>
        <v>BCBS PAYABLE</v>
      </c>
    </row>
    <row r="2185" spans="5:8" x14ac:dyDescent="0.25">
      <c r="E2185" t="str">
        <f>""</f>
        <v/>
      </c>
      <c r="F2185" t="str">
        <f>""</f>
        <v/>
      </c>
      <c r="H2185" t="str">
        <f t="shared" si="42"/>
        <v>BCBS PAYABLE</v>
      </c>
    </row>
    <row r="2186" spans="5:8" x14ac:dyDescent="0.25">
      <c r="E2186" t="str">
        <f>""</f>
        <v/>
      </c>
      <c r="F2186" t="str">
        <f>""</f>
        <v/>
      </c>
      <c r="H2186" t="str">
        <f t="shared" si="42"/>
        <v>BCBS PAYABLE</v>
      </c>
    </row>
    <row r="2187" spans="5:8" x14ac:dyDescent="0.25">
      <c r="E2187" t="str">
        <f>""</f>
        <v/>
      </c>
      <c r="F2187" t="str">
        <f>""</f>
        <v/>
      </c>
      <c r="H2187" t="str">
        <f t="shared" si="42"/>
        <v>BCBS PAYABLE</v>
      </c>
    </row>
    <row r="2188" spans="5:8" x14ac:dyDescent="0.25">
      <c r="E2188" t="str">
        <f>""</f>
        <v/>
      </c>
      <c r="F2188" t="str">
        <f>""</f>
        <v/>
      </c>
      <c r="H2188" t="str">
        <f t="shared" si="42"/>
        <v>BCBS PAYABLE</v>
      </c>
    </row>
    <row r="2189" spans="5:8" x14ac:dyDescent="0.25">
      <c r="E2189" t="str">
        <f>""</f>
        <v/>
      </c>
      <c r="F2189" t="str">
        <f>""</f>
        <v/>
      </c>
      <c r="H2189" t="str">
        <f t="shared" si="42"/>
        <v>BCBS PAYABLE</v>
      </c>
    </row>
    <row r="2190" spans="5:8" x14ac:dyDescent="0.25">
      <c r="E2190" t="str">
        <f>""</f>
        <v/>
      </c>
      <c r="F2190" t="str">
        <f>""</f>
        <v/>
      </c>
      <c r="H2190" t="str">
        <f t="shared" si="42"/>
        <v>BCBS PAYABLE</v>
      </c>
    </row>
    <row r="2191" spans="5:8" x14ac:dyDescent="0.25">
      <c r="E2191" t="str">
        <f>""</f>
        <v/>
      </c>
      <c r="F2191" t="str">
        <f>""</f>
        <v/>
      </c>
      <c r="H2191" t="str">
        <f t="shared" si="42"/>
        <v>BCBS PAYABLE</v>
      </c>
    </row>
    <row r="2192" spans="5:8" x14ac:dyDescent="0.25">
      <c r="E2192" t="str">
        <f>""</f>
        <v/>
      </c>
      <c r="F2192" t="str">
        <f>""</f>
        <v/>
      </c>
      <c r="H2192" t="str">
        <f t="shared" si="42"/>
        <v>BCBS PAYABLE</v>
      </c>
    </row>
    <row r="2193" spans="5:8" x14ac:dyDescent="0.25">
      <c r="E2193" t="str">
        <f>""</f>
        <v/>
      </c>
      <c r="F2193" t="str">
        <f>""</f>
        <v/>
      </c>
      <c r="H2193" t="str">
        <f t="shared" si="42"/>
        <v>BCBS PAYABLE</v>
      </c>
    </row>
    <row r="2194" spans="5:8" x14ac:dyDescent="0.25">
      <c r="E2194" t="str">
        <f>""</f>
        <v/>
      </c>
      <c r="F2194" t="str">
        <f>""</f>
        <v/>
      </c>
      <c r="H2194" t="str">
        <f t="shared" si="42"/>
        <v>BCBS PAYABLE</v>
      </c>
    </row>
    <row r="2195" spans="5:8" x14ac:dyDescent="0.25">
      <c r="E2195" t="str">
        <f>""</f>
        <v/>
      </c>
      <c r="F2195" t="str">
        <f>""</f>
        <v/>
      </c>
      <c r="H2195" t="str">
        <f t="shared" si="42"/>
        <v>BCBS PAYABLE</v>
      </c>
    </row>
    <row r="2196" spans="5:8" x14ac:dyDescent="0.25">
      <c r="E2196" t="str">
        <f>""</f>
        <v/>
      </c>
      <c r="F2196" t="str">
        <f>""</f>
        <v/>
      </c>
      <c r="H2196" t="str">
        <f t="shared" si="42"/>
        <v>BCBS PAYABLE</v>
      </c>
    </row>
    <row r="2197" spans="5:8" x14ac:dyDescent="0.25">
      <c r="E2197" t="str">
        <f>""</f>
        <v/>
      </c>
      <c r="F2197" t="str">
        <f>""</f>
        <v/>
      </c>
      <c r="H2197" t="str">
        <f t="shared" si="42"/>
        <v>BCBS PAYABLE</v>
      </c>
    </row>
    <row r="2198" spans="5:8" x14ac:dyDescent="0.25">
      <c r="E2198" t="str">
        <f>""</f>
        <v/>
      </c>
      <c r="F2198" t="str">
        <f>""</f>
        <v/>
      </c>
      <c r="H2198" t="str">
        <f t="shared" si="42"/>
        <v>BCBS PAYABLE</v>
      </c>
    </row>
    <row r="2199" spans="5:8" x14ac:dyDescent="0.25">
      <c r="E2199" t="str">
        <f>""</f>
        <v/>
      </c>
      <c r="F2199" t="str">
        <f>""</f>
        <v/>
      </c>
      <c r="H2199" t="str">
        <f t="shared" si="42"/>
        <v>BCBS PAYABLE</v>
      </c>
    </row>
    <row r="2200" spans="5:8" x14ac:dyDescent="0.25">
      <c r="E2200" t="str">
        <f>""</f>
        <v/>
      </c>
      <c r="F2200" t="str">
        <f>""</f>
        <v/>
      </c>
      <c r="H2200" t="str">
        <f t="shared" si="42"/>
        <v>BCBS PAYABLE</v>
      </c>
    </row>
    <row r="2201" spans="5:8" x14ac:dyDescent="0.25">
      <c r="E2201" t="str">
        <f>""</f>
        <v/>
      </c>
      <c r="F2201" t="str">
        <f>""</f>
        <v/>
      </c>
      <c r="H2201" t="str">
        <f t="shared" si="42"/>
        <v>BCBS PAYABLE</v>
      </c>
    </row>
    <row r="2202" spans="5:8" x14ac:dyDescent="0.25">
      <c r="E2202" t="str">
        <f>""</f>
        <v/>
      </c>
      <c r="F2202" t="str">
        <f>""</f>
        <v/>
      </c>
      <c r="H2202" t="str">
        <f t="shared" si="42"/>
        <v>BCBS PAYABLE</v>
      </c>
    </row>
    <row r="2203" spans="5:8" x14ac:dyDescent="0.25">
      <c r="E2203" t="str">
        <f>""</f>
        <v/>
      </c>
      <c r="F2203" t="str">
        <f>""</f>
        <v/>
      </c>
      <c r="H2203" t="str">
        <f t="shared" si="42"/>
        <v>BCBS PAYABLE</v>
      </c>
    </row>
    <row r="2204" spans="5:8" x14ac:dyDescent="0.25">
      <c r="E2204" t="str">
        <f>""</f>
        <v/>
      </c>
      <c r="F2204" t="str">
        <f>""</f>
        <v/>
      </c>
      <c r="H2204" t="str">
        <f t="shared" si="42"/>
        <v>BCBS PAYABLE</v>
      </c>
    </row>
    <row r="2205" spans="5:8" x14ac:dyDescent="0.25">
      <c r="E2205" t="str">
        <f>""</f>
        <v/>
      </c>
      <c r="F2205" t="str">
        <f>""</f>
        <v/>
      </c>
      <c r="H2205" t="str">
        <f t="shared" si="42"/>
        <v>BCBS PAYABLE</v>
      </c>
    </row>
    <row r="2206" spans="5:8" x14ac:dyDescent="0.25">
      <c r="E2206" t="str">
        <f>""</f>
        <v/>
      </c>
      <c r="F2206" t="str">
        <f>""</f>
        <v/>
      </c>
      <c r="H2206" t="str">
        <f t="shared" si="42"/>
        <v>BCBS PAYABLE</v>
      </c>
    </row>
    <row r="2207" spans="5:8" x14ac:dyDescent="0.25">
      <c r="E2207" t="str">
        <f>""</f>
        <v/>
      </c>
      <c r="F2207" t="str">
        <f>""</f>
        <v/>
      </c>
      <c r="H2207" t="str">
        <f t="shared" si="42"/>
        <v>BCBS PAYABLE</v>
      </c>
    </row>
    <row r="2208" spans="5:8" x14ac:dyDescent="0.25">
      <c r="E2208" t="str">
        <f>""</f>
        <v/>
      </c>
      <c r="F2208" t="str">
        <f>""</f>
        <v/>
      </c>
      <c r="H2208" t="str">
        <f t="shared" ref="H2208:H2239" si="43">"BCBS PAYABLE"</f>
        <v>BCBS PAYABLE</v>
      </c>
    </row>
    <row r="2209" spans="5:8" x14ac:dyDescent="0.25">
      <c r="E2209" t="str">
        <f>""</f>
        <v/>
      </c>
      <c r="F2209" t="str">
        <f>""</f>
        <v/>
      </c>
      <c r="H2209" t="str">
        <f t="shared" si="43"/>
        <v>BCBS PAYABLE</v>
      </c>
    </row>
    <row r="2210" spans="5:8" x14ac:dyDescent="0.25">
      <c r="E2210" t="str">
        <f>""</f>
        <v/>
      </c>
      <c r="F2210" t="str">
        <f>""</f>
        <v/>
      </c>
      <c r="H2210" t="str">
        <f t="shared" si="43"/>
        <v>BCBS PAYABLE</v>
      </c>
    </row>
    <row r="2211" spans="5:8" x14ac:dyDescent="0.25">
      <c r="E2211" t="str">
        <f>""</f>
        <v/>
      </c>
      <c r="F2211" t="str">
        <f>""</f>
        <v/>
      </c>
      <c r="H2211" t="str">
        <f t="shared" si="43"/>
        <v>BCBS PAYABLE</v>
      </c>
    </row>
    <row r="2212" spans="5:8" x14ac:dyDescent="0.25">
      <c r="E2212" t="str">
        <f>""</f>
        <v/>
      </c>
      <c r="F2212" t="str">
        <f>""</f>
        <v/>
      </c>
      <c r="H2212" t="str">
        <f t="shared" si="43"/>
        <v>BCBS PAYABLE</v>
      </c>
    </row>
    <row r="2213" spans="5:8" x14ac:dyDescent="0.25">
      <c r="E2213" t="str">
        <f>""</f>
        <v/>
      </c>
      <c r="F2213" t="str">
        <f>""</f>
        <v/>
      </c>
      <c r="H2213" t="str">
        <f t="shared" si="43"/>
        <v>BCBS PAYABLE</v>
      </c>
    </row>
    <row r="2214" spans="5:8" x14ac:dyDescent="0.25">
      <c r="E2214" t="str">
        <f>""</f>
        <v/>
      </c>
      <c r="F2214" t="str">
        <f>""</f>
        <v/>
      </c>
      <c r="H2214" t="str">
        <f t="shared" si="43"/>
        <v>BCBS PAYABLE</v>
      </c>
    </row>
    <row r="2215" spans="5:8" x14ac:dyDescent="0.25">
      <c r="E2215" t="str">
        <f>""</f>
        <v/>
      </c>
      <c r="F2215" t="str">
        <f>""</f>
        <v/>
      </c>
      <c r="H2215" t="str">
        <f t="shared" si="43"/>
        <v>BCBS PAYABLE</v>
      </c>
    </row>
    <row r="2216" spans="5:8" x14ac:dyDescent="0.25">
      <c r="E2216" t="str">
        <f>""</f>
        <v/>
      </c>
      <c r="F2216" t="str">
        <f>""</f>
        <v/>
      </c>
      <c r="H2216" t="str">
        <f t="shared" si="43"/>
        <v>BCBS PAYABLE</v>
      </c>
    </row>
    <row r="2217" spans="5:8" x14ac:dyDescent="0.25">
      <c r="E2217" t="str">
        <f>""</f>
        <v/>
      </c>
      <c r="F2217" t="str">
        <f>""</f>
        <v/>
      </c>
      <c r="H2217" t="str">
        <f t="shared" si="43"/>
        <v>BCBS PAYABLE</v>
      </c>
    </row>
    <row r="2218" spans="5:8" x14ac:dyDescent="0.25">
      <c r="E2218" t="str">
        <f>""</f>
        <v/>
      </c>
      <c r="F2218" t="str">
        <f>""</f>
        <v/>
      </c>
      <c r="H2218" t="str">
        <f t="shared" si="43"/>
        <v>BCBS PAYABLE</v>
      </c>
    </row>
    <row r="2219" spans="5:8" x14ac:dyDescent="0.25">
      <c r="E2219" t="str">
        <f>""</f>
        <v/>
      </c>
      <c r="F2219" t="str">
        <f>""</f>
        <v/>
      </c>
      <c r="H2219" t="str">
        <f t="shared" si="43"/>
        <v>BCBS PAYABLE</v>
      </c>
    </row>
    <row r="2220" spans="5:8" x14ac:dyDescent="0.25">
      <c r="E2220" t="str">
        <f>""</f>
        <v/>
      </c>
      <c r="F2220" t="str">
        <f>""</f>
        <v/>
      </c>
      <c r="H2220" t="str">
        <f t="shared" si="43"/>
        <v>BCBS PAYABLE</v>
      </c>
    </row>
    <row r="2221" spans="5:8" x14ac:dyDescent="0.25">
      <c r="E2221" t="str">
        <f>""</f>
        <v/>
      </c>
      <c r="F2221" t="str">
        <f>""</f>
        <v/>
      </c>
      <c r="H2221" t="str">
        <f t="shared" si="43"/>
        <v>BCBS PAYABLE</v>
      </c>
    </row>
    <row r="2222" spans="5:8" x14ac:dyDescent="0.25">
      <c r="E2222" t="str">
        <f>""</f>
        <v/>
      </c>
      <c r="F2222" t="str">
        <f>""</f>
        <v/>
      </c>
      <c r="H2222" t="str">
        <f t="shared" si="43"/>
        <v>BCBS PAYABLE</v>
      </c>
    </row>
    <row r="2223" spans="5:8" x14ac:dyDescent="0.25">
      <c r="E2223" t="str">
        <f>""</f>
        <v/>
      </c>
      <c r="F2223" t="str">
        <f>""</f>
        <v/>
      </c>
      <c r="H2223" t="str">
        <f t="shared" si="43"/>
        <v>BCBS PAYABLE</v>
      </c>
    </row>
    <row r="2224" spans="5:8" x14ac:dyDescent="0.25">
      <c r="E2224" t="str">
        <f>""</f>
        <v/>
      </c>
      <c r="F2224" t="str">
        <f>""</f>
        <v/>
      </c>
      <c r="H2224" t="str">
        <f t="shared" si="43"/>
        <v>BCBS PAYABLE</v>
      </c>
    </row>
    <row r="2225" spans="5:8" x14ac:dyDescent="0.25">
      <c r="E2225" t="str">
        <f>"2EO201904038356"</f>
        <v>2EO201904038356</v>
      </c>
      <c r="F2225" t="str">
        <f>"BCBS PAYABLE"</f>
        <v>BCBS PAYABLE</v>
      </c>
      <c r="G2225" s="2">
        <v>3792.96</v>
      </c>
      <c r="H2225" t="str">
        <f t="shared" si="43"/>
        <v>BCBS PAYABLE</v>
      </c>
    </row>
    <row r="2226" spans="5:8" x14ac:dyDescent="0.25">
      <c r="E2226" t="str">
        <f>"2EO201904168721"</f>
        <v>2EO201904168721</v>
      </c>
      <c r="F2226" t="str">
        <f>"BCBS PAYABLE"</f>
        <v>BCBS PAYABLE</v>
      </c>
      <c r="G2226" s="2">
        <v>92295.360000000001</v>
      </c>
      <c r="H2226" t="str">
        <f t="shared" si="43"/>
        <v>BCBS PAYABLE</v>
      </c>
    </row>
    <row r="2227" spans="5:8" x14ac:dyDescent="0.25">
      <c r="E2227" t="str">
        <f>""</f>
        <v/>
      </c>
      <c r="F2227" t="str">
        <f>""</f>
        <v/>
      </c>
      <c r="H2227" t="str">
        <f t="shared" si="43"/>
        <v>BCBS PAYABLE</v>
      </c>
    </row>
    <row r="2228" spans="5:8" x14ac:dyDescent="0.25">
      <c r="E2228" t="str">
        <f>""</f>
        <v/>
      </c>
      <c r="F2228" t="str">
        <f>""</f>
        <v/>
      </c>
      <c r="H2228" t="str">
        <f t="shared" si="43"/>
        <v>BCBS PAYABLE</v>
      </c>
    </row>
    <row r="2229" spans="5:8" x14ac:dyDescent="0.25">
      <c r="E2229" t="str">
        <f>""</f>
        <v/>
      </c>
      <c r="F2229" t="str">
        <f>""</f>
        <v/>
      </c>
      <c r="H2229" t="str">
        <f t="shared" si="43"/>
        <v>BCBS PAYABLE</v>
      </c>
    </row>
    <row r="2230" spans="5:8" x14ac:dyDescent="0.25">
      <c r="E2230" t="str">
        <f>""</f>
        <v/>
      </c>
      <c r="F2230" t="str">
        <f>""</f>
        <v/>
      </c>
      <c r="H2230" t="str">
        <f t="shared" si="43"/>
        <v>BCBS PAYABLE</v>
      </c>
    </row>
    <row r="2231" spans="5:8" x14ac:dyDescent="0.25">
      <c r="E2231" t="str">
        <f>""</f>
        <v/>
      </c>
      <c r="F2231" t="str">
        <f>""</f>
        <v/>
      </c>
      <c r="H2231" t="str">
        <f t="shared" si="43"/>
        <v>BCBS PAYABLE</v>
      </c>
    </row>
    <row r="2232" spans="5:8" x14ac:dyDescent="0.25">
      <c r="E2232" t="str">
        <f>""</f>
        <v/>
      </c>
      <c r="F2232" t="str">
        <f>""</f>
        <v/>
      </c>
      <c r="H2232" t="str">
        <f t="shared" si="43"/>
        <v>BCBS PAYABLE</v>
      </c>
    </row>
    <row r="2233" spans="5:8" x14ac:dyDescent="0.25">
      <c r="E2233" t="str">
        <f>""</f>
        <v/>
      </c>
      <c r="F2233" t="str">
        <f>""</f>
        <v/>
      </c>
      <c r="H2233" t="str">
        <f t="shared" si="43"/>
        <v>BCBS PAYABLE</v>
      </c>
    </row>
    <row r="2234" spans="5:8" x14ac:dyDescent="0.25">
      <c r="E2234" t="str">
        <f>""</f>
        <v/>
      </c>
      <c r="F2234" t="str">
        <f>""</f>
        <v/>
      </c>
      <c r="H2234" t="str">
        <f t="shared" si="43"/>
        <v>BCBS PAYABLE</v>
      </c>
    </row>
    <row r="2235" spans="5:8" x14ac:dyDescent="0.25">
      <c r="E2235" t="str">
        <f>""</f>
        <v/>
      </c>
      <c r="F2235" t="str">
        <f>""</f>
        <v/>
      </c>
      <c r="H2235" t="str">
        <f t="shared" si="43"/>
        <v>BCBS PAYABLE</v>
      </c>
    </row>
    <row r="2236" spans="5:8" x14ac:dyDescent="0.25">
      <c r="E2236" t="str">
        <f>""</f>
        <v/>
      </c>
      <c r="F2236" t="str">
        <f>""</f>
        <v/>
      </c>
      <c r="H2236" t="str">
        <f t="shared" si="43"/>
        <v>BCBS PAYABLE</v>
      </c>
    </row>
    <row r="2237" spans="5:8" x14ac:dyDescent="0.25">
      <c r="E2237" t="str">
        <f>""</f>
        <v/>
      </c>
      <c r="F2237" t="str">
        <f>""</f>
        <v/>
      </c>
      <c r="H2237" t="str">
        <f t="shared" si="43"/>
        <v>BCBS PAYABLE</v>
      </c>
    </row>
    <row r="2238" spans="5:8" x14ac:dyDescent="0.25">
      <c r="E2238" t="str">
        <f>""</f>
        <v/>
      </c>
      <c r="F2238" t="str">
        <f>""</f>
        <v/>
      </c>
      <c r="H2238" t="str">
        <f t="shared" si="43"/>
        <v>BCBS PAYABLE</v>
      </c>
    </row>
    <row r="2239" spans="5:8" x14ac:dyDescent="0.25">
      <c r="E2239" t="str">
        <f>""</f>
        <v/>
      </c>
      <c r="F2239" t="str">
        <f>""</f>
        <v/>
      </c>
      <c r="H2239" t="str">
        <f t="shared" si="43"/>
        <v>BCBS PAYABLE</v>
      </c>
    </row>
    <row r="2240" spans="5:8" x14ac:dyDescent="0.25">
      <c r="E2240" t="str">
        <f>""</f>
        <v/>
      </c>
      <c r="F2240" t="str">
        <f>""</f>
        <v/>
      </c>
      <c r="H2240" t="str">
        <f t="shared" ref="H2240:H2271" si="44">"BCBS PAYABLE"</f>
        <v>BCBS PAYABLE</v>
      </c>
    </row>
    <row r="2241" spans="5:8" x14ac:dyDescent="0.25">
      <c r="E2241" t="str">
        <f>""</f>
        <v/>
      </c>
      <c r="F2241" t="str">
        <f>""</f>
        <v/>
      </c>
      <c r="H2241" t="str">
        <f t="shared" si="44"/>
        <v>BCBS PAYABLE</v>
      </c>
    </row>
    <row r="2242" spans="5:8" x14ac:dyDescent="0.25">
      <c r="E2242" t="str">
        <f>""</f>
        <v/>
      </c>
      <c r="F2242" t="str">
        <f>""</f>
        <v/>
      </c>
      <c r="H2242" t="str">
        <f t="shared" si="44"/>
        <v>BCBS PAYABLE</v>
      </c>
    </row>
    <row r="2243" spans="5:8" x14ac:dyDescent="0.25">
      <c r="E2243" t="str">
        <f>""</f>
        <v/>
      </c>
      <c r="F2243" t="str">
        <f>""</f>
        <v/>
      </c>
      <c r="H2243" t="str">
        <f t="shared" si="44"/>
        <v>BCBS PAYABLE</v>
      </c>
    </row>
    <row r="2244" spans="5:8" x14ac:dyDescent="0.25">
      <c r="E2244" t="str">
        <f>""</f>
        <v/>
      </c>
      <c r="F2244" t="str">
        <f>""</f>
        <v/>
      </c>
      <c r="H2244" t="str">
        <f t="shared" si="44"/>
        <v>BCBS PAYABLE</v>
      </c>
    </row>
    <row r="2245" spans="5:8" x14ac:dyDescent="0.25">
      <c r="E2245" t="str">
        <f>""</f>
        <v/>
      </c>
      <c r="F2245" t="str">
        <f>""</f>
        <v/>
      </c>
      <c r="H2245" t="str">
        <f t="shared" si="44"/>
        <v>BCBS PAYABLE</v>
      </c>
    </row>
    <row r="2246" spans="5:8" x14ac:dyDescent="0.25">
      <c r="E2246" t="str">
        <f>""</f>
        <v/>
      </c>
      <c r="F2246" t="str">
        <f>""</f>
        <v/>
      </c>
      <c r="H2246" t="str">
        <f t="shared" si="44"/>
        <v>BCBS PAYABLE</v>
      </c>
    </row>
    <row r="2247" spans="5:8" x14ac:dyDescent="0.25">
      <c r="E2247" t="str">
        <f>""</f>
        <v/>
      </c>
      <c r="F2247" t="str">
        <f>""</f>
        <v/>
      </c>
      <c r="H2247" t="str">
        <f t="shared" si="44"/>
        <v>BCBS PAYABLE</v>
      </c>
    </row>
    <row r="2248" spans="5:8" x14ac:dyDescent="0.25">
      <c r="E2248" t="str">
        <f>""</f>
        <v/>
      </c>
      <c r="F2248" t="str">
        <f>""</f>
        <v/>
      </c>
      <c r="H2248" t="str">
        <f t="shared" si="44"/>
        <v>BCBS PAYABLE</v>
      </c>
    </row>
    <row r="2249" spans="5:8" x14ac:dyDescent="0.25">
      <c r="E2249" t="str">
        <f>""</f>
        <v/>
      </c>
      <c r="F2249" t="str">
        <f>""</f>
        <v/>
      </c>
      <c r="H2249" t="str">
        <f t="shared" si="44"/>
        <v>BCBS PAYABLE</v>
      </c>
    </row>
    <row r="2250" spans="5:8" x14ac:dyDescent="0.25">
      <c r="E2250" t="str">
        <f>""</f>
        <v/>
      </c>
      <c r="F2250" t="str">
        <f>""</f>
        <v/>
      </c>
      <c r="H2250" t="str">
        <f t="shared" si="44"/>
        <v>BCBS PAYABLE</v>
      </c>
    </row>
    <row r="2251" spans="5:8" x14ac:dyDescent="0.25">
      <c r="E2251" t="str">
        <f>""</f>
        <v/>
      </c>
      <c r="F2251" t="str">
        <f>""</f>
        <v/>
      </c>
      <c r="H2251" t="str">
        <f t="shared" si="44"/>
        <v>BCBS PAYABLE</v>
      </c>
    </row>
    <row r="2252" spans="5:8" x14ac:dyDescent="0.25">
      <c r="E2252" t="str">
        <f>""</f>
        <v/>
      </c>
      <c r="F2252" t="str">
        <f>""</f>
        <v/>
      </c>
      <c r="H2252" t="str">
        <f t="shared" si="44"/>
        <v>BCBS PAYABLE</v>
      </c>
    </row>
    <row r="2253" spans="5:8" x14ac:dyDescent="0.25">
      <c r="E2253" t="str">
        <f>""</f>
        <v/>
      </c>
      <c r="F2253" t="str">
        <f>""</f>
        <v/>
      </c>
      <c r="H2253" t="str">
        <f t="shared" si="44"/>
        <v>BCBS PAYABLE</v>
      </c>
    </row>
    <row r="2254" spans="5:8" x14ac:dyDescent="0.25">
      <c r="E2254" t="str">
        <f>""</f>
        <v/>
      </c>
      <c r="F2254" t="str">
        <f>""</f>
        <v/>
      </c>
      <c r="H2254" t="str">
        <f t="shared" si="44"/>
        <v>BCBS PAYABLE</v>
      </c>
    </row>
    <row r="2255" spans="5:8" x14ac:dyDescent="0.25">
      <c r="E2255" t="str">
        <f>""</f>
        <v/>
      </c>
      <c r="F2255" t="str">
        <f>""</f>
        <v/>
      </c>
      <c r="H2255" t="str">
        <f t="shared" si="44"/>
        <v>BCBS PAYABLE</v>
      </c>
    </row>
    <row r="2256" spans="5:8" x14ac:dyDescent="0.25">
      <c r="E2256" t="str">
        <f>""</f>
        <v/>
      </c>
      <c r="F2256" t="str">
        <f>""</f>
        <v/>
      </c>
      <c r="H2256" t="str">
        <f t="shared" si="44"/>
        <v>BCBS PAYABLE</v>
      </c>
    </row>
    <row r="2257" spans="5:8" x14ac:dyDescent="0.25">
      <c r="E2257" t="str">
        <f>""</f>
        <v/>
      </c>
      <c r="F2257" t="str">
        <f>""</f>
        <v/>
      </c>
      <c r="H2257" t="str">
        <f t="shared" si="44"/>
        <v>BCBS PAYABLE</v>
      </c>
    </row>
    <row r="2258" spans="5:8" x14ac:dyDescent="0.25">
      <c r="E2258" t="str">
        <f>""</f>
        <v/>
      </c>
      <c r="F2258" t="str">
        <f>""</f>
        <v/>
      </c>
      <c r="H2258" t="str">
        <f t="shared" si="44"/>
        <v>BCBS PAYABLE</v>
      </c>
    </row>
    <row r="2259" spans="5:8" x14ac:dyDescent="0.25">
      <c r="E2259" t="str">
        <f>""</f>
        <v/>
      </c>
      <c r="F2259" t="str">
        <f>""</f>
        <v/>
      </c>
      <c r="H2259" t="str">
        <f t="shared" si="44"/>
        <v>BCBS PAYABLE</v>
      </c>
    </row>
    <row r="2260" spans="5:8" x14ac:dyDescent="0.25">
      <c r="E2260" t="str">
        <f>""</f>
        <v/>
      </c>
      <c r="F2260" t="str">
        <f>""</f>
        <v/>
      </c>
      <c r="H2260" t="str">
        <f t="shared" si="44"/>
        <v>BCBS PAYABLE</v>
      </c>
    </row>
    <row r="2261" spans="5:8" x14ac:dyDescent="0.25">
      <c r="E2261" t="str">
        <f>""</f>
        <v/>
      </c>
      <c r="F2261" t="str">
        <f>""</f>
        <v/>
      </c>
      <c r="H2261" t="str">
        <f t="shared" si="44"/>
        <v>BCBS PAYABLE</v>
      </c>
    </row>
    <row r="2262" spans="5:8" x14ac:dyDescent="0.25">
      <c r="E2262" t="str">
        <f>""</f>
        <v/>
      </c>
      <c r="F2262" t="str">
        <f>""</f>
        <v/>
      </c>
      <c r="H2262" t="str">
        <f t="shared" si="44"/>
        <v>BCBS PAYABLE</v>
      </c>
    </row>
    <row r="2263" spans="5:8" x14ac:dyDescent="0.25">
      <c r="E2263" t="str">
        <f>""</f>
        <v/>
      </c>
      <c r="F2263" t="str">
        <f>""</f>
        <v/>
      </c>
      <c r="H2263" t="str">
        <f t="shared" si="44"/>
        <v>BCBS PAYABLE</v>
      </c>
    </row>
    <row r="2264" spans="5:8" x14ac:dyDescent="0.25">
      <c r="E2264" t="str">
        <f>""</f>
        <v/>
      </c>
      <c r="F2264" t="str">
        <f>""</f>
        <v/>
      </c>
      <c r="H2264" t="str">
        <f t="shared" si="44"/>
        <v>BCBS PAYABLE</v>
      </c>
    </row>
    <row r="2265" spans="5:8" x14ac:dyDescent="0.25">
      <c r="E2265" t="str">
        <f>""</f>
        <v/>
      </c>
      <c r="F2265" t="str">
        <f>""</f>
        <v/>
      </c>
      <c r="H2265" t="str">
        <f t="shared" si="44"/>
        <v>BCBS PAYABLE</v>
      </c>
    </row>
    <row r="2266" spans="5:8" x14ac:dyDescent="0.25">
      <c r="E2266" t="str">
        <f>""</f>
        <v/>
      </c>
      <c r="F2266" t="str">
        <f>""</f>
        <v/>
      </c>
      <c r="H2266" t="str">
        <f t="shared" si="44"/>
        <v>BCBS PAYABLE</v>
      </c>
    </row>
    <row r="2267" spans="5:8" x14ac:dyDescent="0.25">
      <c r="E2267" t="str">
        <f>""</f>
        <v/>
      </c>
      <c r="F2267" t="str">
        <f>""</f>
        <v/>
      </c>
      <c r="H2267" t="str">
        <f t="shared" si="44"/>
        <v>BCBS PAYABLE</v>
      </c>
    </row>
    <row r="2268" spans="5:8" x14ac:dyDescent="0.25">
      <c r="E2268" t="str">
        <f>""</f>
        <v/>
      </c>
      <c r="F2268" t="str">
        <f>""</f>
        <v/>
      </c>
      <c r="H2268" t="str">
        <f t="shared" si="44"/>
        <v>BCBS PAYABLE</v>
      </c>
    </row>
    <row r="2269" spans="5:8" x14ac:dyDescent="0.25">
      <c r="E2269" t="str">
        <f>""</f>
        <v/>
      </c>
      <c r="F2269" t="str">
        <f>""</f>
        <v/>
      </c>
      <c r="H2269" t="str">
        <f t="shared" si="44"/>
        <v>BCBS PAYABLE</v>
      </c>
    </row>
    <row r="2270" spans="5:8" x14ac:dyDescent="0.25">
      <c r="E2270" t="str">
        <f>""</f>
        <v/>
      </c>
      <c r="F2270" t="str">
        <f>""</f>
        <v/>
      </c>
      <c r="H2270" t="str">
        <f t="shared" si="44"/>
        <v>BCBS PAYABLE</v>
      </c>
    </row>
    <row r="2271" spans="5:8" x14ac:dyDescent="0.25">
      <c r="E2271" t="str">
        <f>"2EO201904168722"</f>
        <v>2EO201904168722</v>
      </c>
      <c r="F2271" t="str">
        <f>"BCBS PAYABLE"</f>
        <v>BCBS PAYABLE</v>
      </c>
      <c r="G2271" s="2">
        <v>3792.96</v>
      </c>
      <c r="H2271" t="str">
        <f t="shared" si="44"/>
        <v>BCBS PAYABLE</v>
      </c>
    </row>
    <row r="2272" spans="5:8" x14ac:dyDescent="0.25">
      <c r="E2272" t="str">
        <f>"2ES201904038355"</f>
        <v>2ES201904038355</v>
      </c>
      <c r="F2272" t="str">
        <f>"BCBS PAYABLE"</f>
        <v>BCBS PAYABLE</v>
      </c>
      <c r="G2272" s="2">
        <v>15084</v>
      </c>
      <c r="H2272" t="str">
        <f t="shared" ref="H2272:H2303" si="45">"BCBS PAYABLE"</f>
        <v>BCBS PAYABLE</v>
      </c>
    </row>
    <row r="2273" spans="5:8" x14ac:dyDescent="0.25">
      <c r="E2273" t="str">
        <f>""</f>
        <v/>
      </c>
      <c r="F2273" t="str">
        <f>""</f>
        <v/>
      </c>
      <c r="H2273" t="str">
        <f t="shared" si="45"/>
        <v>BCBS PAYABLE</v>
      </c>
    </row>
    <row r="2274" spans="5:8" x14ac:dyDescent="0.25">
      <c r="E2274" t="str">
        <f>""</f>
        <v/>
      </c>
      <c r="F2274" t="str">
        <f>""</f>
        <v/>
      </c>
      <c r="H2274" t="str">
        <f t="shared" si="45"/>
        <v>BCBS PAYABLE</v>
      </c>
    </row>
    <row r="2275" spans="5:8" x14ac:dyDescent="0.25">
      <c r="E2275" t="str">
        <f>""</f>
        <v/>
      </c>
      <c r="F2275" t="str">
        <f>""</f>
        <v/>
      </c>
      <c r="H2275" t="str">
        <f t="shared" si="45"/>
        <v>BCBS PAYABLE</v>
      </c>
    </row>
    <row r="2276" spans="5:8" x14ac:dyDescent="0.25">
      <c r="E2276" t="str">
        <f>""</f>
        <v/>
      </c>
      <c r="F2276" t="str">
        <f>""</f>
        <v/>
      </c>
      <c r="H2276" t="str">
        <f t="shared" si="45"/>
        <v>BCBS PAYABLE</v>
      </c>
    </row>
    <row r="2277" spans="5:8" x14ac:dyDescent="0.25">
      <c r="E2277" t="str">
        <f>""</f>
        <v/>
      </c>
      <c r="F2277" t="str">
        <f>""</f>
        <v/>
      </c>
      <c r="H2277" t="str">
        <f t="shared" si="45"/>
        <v>BCBS PAYABLE</v>
      </c>
    </row>
    <row r="2278" spans="5:8" x14ac:dyDescent="0.25">
      <c r="E2278" t="str">
        <f>""</f>
        <v/>
      </c>
      <c r="F2278" t="str">
        <f>""</f>
        <v/>
      </c>
      <c r="H2278" t="str">
        <f t="shared" si="45"/>
        <v>BCBS PAYABLE</v>
      </c>
    </row>
    <row r="2279" spans="5:8" x14ac:dyDescent="0.25">
      <c r="E2279" t="str">
        <f>""</f>
        <v/>
      </c>
      <c r="F2279" t="str">
        <f>""</f>
        <v/>
      </c>
      <c r="H2279" t="str">
        <f t="shared" si="45"/>
        <v>BCBS PAYABLE</v>
      </c>
    </row>
    <row r="2280" spans="5:8" x14ac:dyDescent="0.25">
      <c r="E2280" t="str">
        <f>""</f>
        <v/>
      </c>
      <c r="F2280" t="str">
        <f>""</f>
        <v/>
      </c>
      <c r="H2280" t="str">
        <f t="shared" si="45"/>
        <v>BCBS PAYABLE</v>
      </c>
    </row>
    <row r="2281" spans="5:8" x14ac:dyDescent="0.25">
      <c r="E2281" t="str">
        <f>""</f>
        <v/>
      </c>
      <c r="F2281" t="str">
        <f>""</f>
        <v/>
      </c>
      <c r="H2281" t="str">
        <f t="shared" si="45"/>
        <v>BCBS PAYABLE</v>
      </c>
    </row>
    <row r="2282" spans="5:8" x14ac:dyDescent="0.25">
      <c r="E2282" t="str">
        <f>""</f>
        <v/>
      </c>
      <c r="F2282" t="str">
        <f>""</f>
        <v/>
      </c>
      <c r="H2282" t="str">
        <f t="shared" si="45"/>
        <v>BCBS PAYABLE</v>
      </c>
    </row>
    <row r="2283" spans="5:8" x14ac:dyDescent="0.25">
      <c r="E2283" t="str">
        <f>""</f>
        <v/>
      </c>
      <c r="F2283" t="str">
        <f>""</f>
        <v/>
      </c>
      <c r="H2283" t="str">
        <f t="shared" si="45"/>
        <v>BCBS PAYABLE</v>
      </c>
    </row>
    <row r="2284" spans="5:8" x14ac:dyDescent="0.25">
      <c r="E2284" t="str">
        <f>""</f>
        <v/>
      </c>
      <c r="F2284" t="str">
        <f>""</f>
        <v/>
      </c>
      <c r="H2284" t="str">
        <f t="shared" si="45"/>
        <v>BCBS PAYABLE</v>
      </c>
    </row>
    <row r="2285" spans="5:8" x14ac:dyDescent="0.25">
      <c r="E2285" t="str">
        <f>""</f>
        <v/>
      </c>
      <c r="F2285" t="str">
        <f>""</f>
        <v/>
      </c>
      <c r="H2285" t="str">
        <f t="shared" si="45"/>
        <v>BCBS PAYABLE</v>
      </c>
    </row>
    <row r="2286" spans="5:8" x14ac:dyDescent="0.25">
      <c r="E2286" t="str">
        <f>""</f>
        <v/>
      </c>
      <c r="F2286" t="str">
        <f>""</f>
        <v/>
      </c>
      <c r="H2286" t="str">
        <f t="shared" si="45"/>
        <v>BCBS PAYABLE</v>
      </c>
    </row>
    <row r="2287" spans="5:8" x14ac:dyDescent="0.25">
      <c r="E2287" t="str">
        <f>""</f>
        <v/>
      </c>
      <c r="F2287" t="str">
        <f>""</f>
        <v/>
      </c>
      <c r="H2287" t="str">
        <f t="shared" si="45"/>
        <v>BCBS PAYABLE</v>
      </c>
    </row>
    <row r="2288" spans="5:8" x14ac:dyDescent="0.25">
      <c r="E2288" t="str">
        <f>"2ES201904168721"</f>
        <v>2ES201904168721</v>
      </c>
      <c r="F2288" t="str">
        <f>"BCBS PAYABLE"</f>
        <v>BCBS PAYABLE</v>
      </c>
      <c r="G2288" s="2">
        <v>15084</v>
      </c>
      <c r="H2288" t="str">
        <f t="shared" si="45"/>
        <v>BCBS PAYABLE</v>
      </c>
    </row>
    <row r="2289" spans="1:8" x14ac:dyDescent="0.25">
      <c r="E2289" t="str">
        <f>""</f>
        <v/>
      </c>
      <c r="F2289" t="str">
        <f>""</f>
        <v/>
      </c>
      <c r="H2289" t="str">
        <f t="shared" si="45"/>
        <v>BCBS PAYABLE</v>
      </c>
    </row>
    <row r="2290" spans="1:8" x14ac:dyDescent="0.25">
      <c r="E2290" t="str">
        <f>""</f>
        <v/>
      </c>
      <c r="F2290" t="str">
        <f>""</f>
        <v/>
      </c>
      <c r="H2290" t="str">
        <f t="shared" si="45"/>
        <v>BCBS PAYABLE</v>
      </c>
    </row>
    <row r="2291" spans="1:8" x14ac:dyDescent="0.25">
      <c r="E2291" t="str">
        <f>""</f>
        <v/>
      </c>
      <c r="F2291" t="str">
        <f>""</f>
        <v/>
      </c>
      <c r="H2291" t="str">
        <f t="shared" si="45"/>
        <v>BCBS PAYABLE</v>
      </c>
    </row>
    <row r="2292" spans="1:8" x14ac:dyDescent="0.25">
      <c r="E2292" t="str">
        <f>""</f>
        <v/>
      </c>
      <c r="F2292" t="str">
        <f>""</f>
        <v/>
      </c>
      <c r="H2292" t="str">
        <f t="shared" si="45"/>
        <v>BCBS PAYABLE</v>
      </c>
    </row>
    <row r="2293" spans="1:8" x14ac:dyDescent="0.25">
      <c r="E2293" t="str">
        <f>""</f>
        <v/>
      </c>
      <c r="F2293" t="str">
        <f>""</f>
        <v/>
      </c>
      <c r="H2293" t="str">
        <f t="shared" si="45"/>
        <v>BCBS PAYABLE</v>
      </c>
    </row>
    <row r="2294" spans="1:8" x14ac:dyDescent="0.25">
      <c r="E2294" t="str">
        <f>""</f>
        <v/>
      </c>
      <c r="F2294" t="str">
        <f>""</f>
        <v/>
      </c>
      <c r="H2294" t="str">
        <f t="shared" si="45"/>
        <v>BCBS PAYABLE</v>
      </c>
    </row>
    <row r="2295" spans="1:8" x14ac:dyDescent="0.25">
      <c r="E2295" t="str">
        <f>""</f>
        <v/>
      </c>
      <c r="F2295" t="str">
        <f>""</f>
        <v/>
      </c>
      <c r="H2295" t="str">
        <f t="shared" si="45"/>
        <v>BCBS PAYABLE</v>
      </c>
    </row>
    <row r="2296" spans="1:8" x14ac:dyDescent="0.25">
      <c r="E2296" t="str">
        <f>""</f>
        <v/>
      </c>
      <c r="F2296" t="str">
        <f>""</f>
        <v/>
      </c>
      <c r="H2296" t="str">
        <f t="shared" si="45"/>
        <v>BCBS PAYABLE</v>
      </c>
    </row>
    <row r="2297" spans="1:8" x14ac:dyDescent="0.25">
      <c r="E2297" t="str">
        <f>""</f>
        <v/>
      </c>
      <c r="F2297" t="str">
        <f>""</f>
        <v/>
      </c>
      <c r="H2297" t="str">
        <f t="shared" si="45"/>
        <v>BCBS PAYABLE</v>
      </c>
    </row>
    <row r="2298" spans="1:8" x14ac:dyDescent="0.25">
      <c r="E2298" t="str">
        <f>""</f>
        <v/>
      </c>
      <c r="F2298" t="str">
        <f>""</f>
        <v/>
      </c>
      <c r="H2298" t="str">
        <f t="shared" si="45"/>
        <v>BCBS PAYABLE</v>
      </c>
    </row>
    <row r="2299" spans="1:8" x14ac:dyDescent="0.25">
      <c r="E2299" t="str">
        <f>""</f>
        <v/>
      </c>
      <c r="F2299" t="str">
        <f>""</f>
        <v/>
      </c>
      <c r="H2299" t="str">
        <f t="shared" si="45"/>
        <v>BCBS PAYABLE</v>
      </c>
    </row>
    <row r="2300" spans="1:8" x14ac:dyDescent="0.25">
      <c r="E2300" t="str">
        <f>""</f>
        <v/>
      </c>
      <c r="F2300" t="str">
        <f>""</f>
        <v/>
      </c>
      <c r="H2300" t="str">
        <f t="shared" si="45"/>
        <v>BCBS PAYABLE</v>
      </c>
    </row>
    <row r="2301" spans="1:8" x14ac:dyDescent="0.25">
      <c r="E2301" t="str">
        <f>""</f>
        <v/>
      </c>
      <c r="F2301" t="str">
        <f>""</f>
        <v/>
      </c>
      <c r="H2301" t="str">
        <f t="shared" si="45"/>
        <v>BCBS PAYABLE</v>
      </c>
    </row>
    <row r="2302" spans="1:8" x14ac:dyDescent="0.25">
      <c r="E2302" t="str">
        <f>""</f>
        <v/>
      </c>
      <c r="F2302" t="str">
        <f>""</f>
        <v/>
      </c>
      <c r="H2302" t="str">
        <f t="shared" si="45"/>
        <v>BCBS PAYABLE</v>
      </c>
    </row>
    <row r="2303" spans="1:8" x14ac:dyDescent="0.25">
      <c r="E2303" t="str">
        <f>""</f>
        <v/>
      </c>
      <c r="F2303" t="str">
        <f>""</f>
        <v/>
      </c>
      <c r="H2303" t="str">
        <f t="shared" si="45"/>
        <v>BCBS PAYABLE</v>
      </c>
    </row>
    <row r="2304" spans="1:8" x14ac:dyDescent="0.25">
      <c r="A2304" t="s">
        <v>425</v>
      </c>
      <c r="B2304" s="3">
        <v>104</v>
      </c>
      <c r="C2304" s="2">
        <v>11830.54</v>
      </c>
      <c r="D2304" s="1">
        <v>43560</v>
      </c>
      <c r="E2304" t="str">
        <f>"FSA201904038355"</f>
        <v>FSA201904038355</v>
      </c>
      <c r="F2304" t="str">
        <f>"TASC FSA"</f>
        <v>TASC FSA</v>
      </c>
      <c r="G2304" s="2">
        <v>7491.92</v>
      </c>
      <c r="H2304" t="str">
        <f>"TASC FSA"</f>
        <v>TASC FSA</v>
      </c>
    </row>
    <row r="2305" spans="5:8" x14ac:dyDescent="0.25">
      <c r="E2305" t="str">
        <f>"FSA201904038356"</f>
        <v>FSA201904038356</v>
      </c>
      <c r="F2305" t="str">
        <f>"TASC FSA"</f>
        <v>TASC FSA</v>
      </c>
      <c r="G2305" s="2">
        <v>550.05999999999995</v>
      </c>
      <c r="H2305" t="str">
        <f>"TASC FSA"</f>
        <v>TASC FSA</v>
      </c>
    </row>
    <row r="2306" spans="5:8" x14ac:dyDescent="0.25">
      <c r="E2306" t="str">
        <f>"FSC201904038355"</f>
        <v>FSC201904038355</v>
      </c>
      <c r="F2306" t="str">
        <f>"TASC DEPENDENT CARE"</f>
        <v>TASC DEPENDENT CARE</v>
      </c>
      <c r="G2306" s="2">
        <v>515.76</v>
      </c>
      <c r="H2306" t="str">
        <f>"TASC DEPENDENT CARE"</f>
        <v>TASC DEPENDENT CARE</v>
      </c>
    </row>
    <row r="2307" spans="5:8" x14ac:dyDescent="0.25">
      <c r="E2307" t="str">
        <f>""</f>
        <v/>
      </c>
      <c r="F2307" t="str">
        <f>""</f>
        <v/>
      </c>
      <c r="H2307" t="str">
        <f>"TASC DEPENDENT CARE"</f>
        <v>TASC DEPENDENT CARE</v>
      </c>
    </row>
    <row r="2308" spans="5:8" x14ac:dyDescent="0.25">
      <c r="E2308" t="str">
        <f>"FSF201904038355"</f>
        <v>FSF201904038355</v>
      </c>
      <c r="F2308" t="str">
        <f>"TASC - FSA  FEES"</f>
        <v>TASC - FSA  FEES</v>
      </c>
      <c r="G2308" s="2">
        <v>259.2</v>
      </c>
      <c r="H2308" t="str">
        <f t="shared" ref="H2308:H2345" si="46">"TASC - FSA  FEES"</f>
        <v>TASC - FSA  FEES</v>
      </c>
    </row>
    <row r="2309" spans="5:8" x14ac:dyDescent="0.25">
      <c r="E2309" t="str">
        <f>""</f>
        <v/>
      </c>
      <c r="F2309" t="str">
        <f>""</f>
        <v/>
      </c>
      <c r="H2309" t="str">
        <f t="shared" si="46"/>
        <v>TASC - FSA  FEES</v>
      </c>
    </row>
    <row r="2310" spans="5:8" x14ac:dyDescent="0.25">
      <c r="E2310" t="str">
        <f>""</f>
        <v/>
      </c>
      <c r="F2310" t="str">
        <f>""</f>
        <v/>
      </c>
      <c r="H2310" t="str">
        <f t="shared" si="46"/>
        <v>TASC - FSA  FEES</v>
      </c>
    </row>
    <row r="2311" spans="5:8" x14ac:dyDescent="0.25">
      <c r="E2311" t="str">
        <f>""</f>
        <v/>
      </c>
      <c r="F2311" t="str">
        <f>""</f>
        <v/>
      </c>
      <c r="H2311" t="str">
        <f t="shared" si="46"/>
        <v>TASC - FSA  FEES</v>
      </c>
    </row>
    <row r="2312" spans="5:8" x14ac:dyDescent="0.25">
      <c r="E2312" t="str">
        <f>""</f>
        <v/>
      </c>
      <c r="F2312" t="str">
        <f>""</f>
        <v/>
      </c>
      <c r="H2312" t="str">
        <f t="shared" si="46"/>
        <v>TASC - FSA  FEES</v>
      </c>
    </row>
    <row r="2313" spans="5:8" x14ac:dyDescent="0.25">
      <c r="E2313" t="str">
        <f>""</f>
        <v/>
      </c>
      <c r="F2313" t="str">
        <f>""</f>
        <v/>
      </c>
      <c r="H2313" t="str">
        <f t="shared" si="46"/>
        <v>TASC - FSA  FEES</v>
      </c>
    </row>
    <row r="2314" spans="5:8" x14ac:dyDescent="0.25">
      <c r="E2314" t="str">
        <f>""</f>
        <v/>
      </c>
      <c r="F2314" t="str">
        <f>""</f>
        <v/>
      </c>
      <c r="H2314" t="str">
        <f t="shared" si="46"/>
        <v>TASC - FSA  FEES</v>
      </c>
    </row>
    <row r="2315" spans="5:8" x14ac:dyDescent="0.25">
      <c r="E2315" t="str">
        <f>""</f>
        <v/>
      </c>
      <c r="F2315" t="str">
        <f>""</f>
        <v/>
      </c>
      <c r="H2315" t="str">
        <f t="shared" si="46"/>
        <v>TASC - FSA  FEES</v>
      </c>
    </row>
    <row r="2316" spans="5:8" x14ac:dyDescent="0.25">
      <c r="E2316" t="str">
        <f>""</f>
        <v/>
      </c>
      <c r="F2316" t="str">
        <f>""</f>
        <v/>
      </c>
      <c r="H2316" t="str">
        <f t="shared" si="46"/>
        <v>TASC - FSA  FEES</v>
      </c>
    </row>
    <row r="2317" spans="5:8" x14ac:dyDescent="0.25">
      <c r="E2317" t="str">
        <f>""</f>
        <v/>
      </c>
      <c r="F2317" t="str">
        <f>""</f>
        <v/>
      </c>
      <c r="H2317" t="str">
        <f t="shared" si="46"/>
        <v>TASC - FSA  FEES</v>
      </c>
    </row>
    <row r="2318" spans="5:8" x14ac:dyDescent="0.25">
      <c r="E2318" t="str">
        <f>""</f>
        <v/>
      </c>
      <c r="F2318" t="str">
        <f>""</f>
        <v/>
      </c>
      <c r="H2318" t="str">
        <f t="shared" si="46"/>
        <v>TASC - FSA  FEES</v>
      </c>
    </row>
    <row r="2319" spans="5:8" x14ac:dyDescent="0.25">
      <c r="E2319" t="str">
        <f>""</f>
        <v/>
      </c>
      <c r="F2319" t="str">
        <f>""</f>
        <v/>
      </c>
      <c r="H2319" t="str">
        <f t="shared" si="46"/>
        <v>TASC - FSA  FEES</v>
      </c>
    </row>
    <row r="2320" spans="5:8" x14ac:dyDescent="0.25">
      <c r="E2320" t="str">
        <f>""</f>
        <v/>
      </c>
      <c r="F2320" t="str">
        <f>""</f>
        <v/>
      </c>
      <c r="H2320" t="str">
        <f t="shared" si="46"/>
        <v>TASC - FSA  FEES</v>
      </c>
    </row>
    <row r="2321" spans="5:8" x14ac:dyDescent="0.25">
      <c r="E2321" t="str">
        <f>""</f>
        <v/>
      </c>
      <c r="F2321" t="str">
        <f>""</f>
        <v/>
      </c>
      <c r="H2321" t="str">
        <f t="shared" si="46"/>
        <v>TASC - FSA  FEES</v>
      </c>
    </row>
    <row r="2322" spans="5:8" x14ac:dyDescent="0.25">
      <c r="E2322" t="str">
        <f>""</f>
        <v/>
      </c>
      <c r="F2322" t="str">
        <f>""</f>
        <v/>
      </c>
      <c r="H2322" t="str">
        <f t="shared" si="46"/>
        <v>TASC - FSA  FEES</v>
      </c>
    </row>
    <row r="2323" spans="5:8" x14ac:dyDescent="0.25">
      <c r="E2323" t="str">
        <f>""</f>
        <v/>
      </c>
      <c r="F2323" t="str">
        <f>""</f>
        <v/>
      </c>
      <c r="H2323" t="str">
        <f t="shared" si="46"/>
        <v>TASC - FSA  FEES</v>
      </c>
    </row>
    <row r="2324" spans="5:8" x14ac:dyDescent="0.25">
      <c r="E2324" t="str">
        <f>""</f>
        <v/>
      </c>
      <c r="F2324" t="str">
        <f>""</f>
        <v/>
      </c>
      <c r="H2324" t="str">
        <f t="shared" si="46"/>
        <v>TASC - FSA  FEES</v>
      </c>
    </row>
    <row r="2325" spans="5:8" x14ac:dyDescent="0.25">
      <c r="E2325" t="str">
        <f>""</f>
        <v/>
      </c>
      <c r="F2325" t="str">
        <f>""</f>
        <v/>
      </c>
      <c r="H2325" t="str">
        <f t="shared" si="46"/>
        <v>TASC - FSA  FEES</v>
      </c>
    </row>
    <row r="2326" spans="5:8" x14ac:dyDescent="0.25">
      <c r="E2326" t="str">
        <f>""</f>
        <v/>
      </c>
      <c r="F2326" t="str">
        <f>""</f>
        <v/>
      </c>
      <c r="H2326" t="str">
        <f t="shared" si="46"/>
        <v>TASC - FSA  FEES</v>
      </c>
    </row>
    <row r="2327" spans="5:8" x14ac:dyDescent="0.25">
      <c r="E2327" t="str">
        <f>""</f>
        <v/>
      </c>
      <c r="F2327" t="str">
        <f>""</f>
        <v/>
      </c>
      <c r="H2327" t="str">
        <f t="shared" si="46"/>
        <v>TASC - FSA  FEES</v>
      </c>
    </row>
    <row r="2328" spans="5:8" x14ac:dyDescent="0.25">
      <c r="E2328" t="str">
        <f>""</f>
        <v/>
      </c>
      <c r="F2328" t="str">
        <f>""</f>
        <v/>
      </c>
      <c r="H2328" t="str">
        <f t="shared" si="46"/>
        <v>TASC - FSA  FEES</v>
      </c>
    </row>
    <row r="2329" spans="5:8" x14ac:dyDescent="0.25">
      <c r="E2329" t="str">
        <f>""</f>
        <v/>
      </c>
      <c r="F2329" t="str">
        <f>""</f>
        <v/>
      </c>
      <c r="H2329" t="str">
        <f t="shared" si="46"/>
        <v>TASC - FSA  FEES</v>
      </c>
    </row>
    <row r="2330" spans="5:8" x14ac:dyDescent="0.25">
      <c r="E2330" t="str">
        <f>""</f>
        <v/>
      </c>
      <c r="F2330" t="str">
        <f>""</f>
        <v/>
      </c>
      <c r="H2330" t="str">
        <f t="shared" si="46"/>
        <v>TASC - FSA  FEES</v>
      </c>
    </row>
    <row r="2331" spans="5:8" x14ac:dyDescent="0.25">
      <c r="E2331" t="str">
        <f>""</f>
        <v/>
      </c>
      <c r="F2331" t="str">
        <f>""</f>
        <v/>
      </c>
      <c r="H2331" t="str">
        <f t="shared" si="46"/>
        <v>TASC - FSA  FEES</v>
      </c>
    </row>
    <row r="2332" spans="5:8" x14ac:dyDescent="0.25">
      <c r="E2332" t="str">
        <f>""</f>
        <v/>
      </c>
      <c r="F2332" t="str">
        <f>""</f>
        <v/>
      </c>
      <c r="H2332" t="str">
        <f t="shared" si="46"/>
        <v>TASC - FSA  FEES</v>
      </c>
    </row>
    <row r="2333" spans="5:8" x14ac:dyDescent="0.25">
      <c r="E2333" t="str">
        <f>""</f>
        <v/>
      </c>
      <c r="F2333" t="str">
        <f>""</f>
        <v/>
      </c>
      <c r="H2333" t="str">
        <f t="shared" si="46"/>
        <v>TASC - FSA  FEES</v>
      </c>
    </row>
    <row r="2334" spans="5:8" x14ac:dyDescent="0.25">
      <c r="E2334" t="str">
        <f>""</f>
        <v/>
      </c>
      <c r="F2334" t="str">
        <f>""</f>
        <v/>
      </c>
      <c r="H2334" t="str">
        <f t="shared" si="46"/>
        <v>TASC - FSA  FEES</v>
      </c>
    </row>
    <row r="2335" spans="5:8" x14ac:dyDescent="0.25">
      <c r="E2335" t="str">
        <f>""</f>
        <v/>
      </c>
      <c r="F2335" t="str">
        <f>""</f>
        <v/>
      </c>
      <c r="H2335" t="str">
        <f t="shared" si="46"/>
        <v>TASC - FSA  FEES</v>
      </c>
    </row>
    <row r="2336" spans="5:8" x14ac:dyDescent="0.25">
      <c r="E2336" t="str">
        <f>""</f>
        <v/>
      </c>
      <c r="F2336" t="str">
        <f>""</f>
        <v/>
      </c>
      <c r="H2336" t="str">
        <f t="shared" si="46"/>
        <v>TASC - FSA  FEES</v>
      </c>
    </row>
    <row r="2337" spans="5:8" x14ac:dyDescent="0.25">
      <c r="E2337" t="str">
        <f>""</f>
        <v/>
      </c>
      <c r="F2337" t="str">
        <f>""</f>
        <v/>
      </c>
      <c r="H2337" t="str">
        <f t="shared" si="46"/>
        <v>TASC - FSA  FEES</v>
      </c>
    </row>
    <row r="2338" spans="5:8" x14ac:dyDescent="0.25">
      <c r="E2338" t="str">
        <f>""</f>
        <v/>
      </c>
      <c r="F2338" t="str">
        <f>""</f>
        <v/>
      </c>
      <c r="H2338" t="str">
        <f t="shared" si="46"/>
        <v>TASC - FSA  FEES</v>
      </c>
    </row>
    <row r="2339" spans="5:8" x14ac:dyDescent="0.25">
      <c r="E2339" t="str">
        <f>""</f>
        <v/>
      </c>
      <c r="F2339" t="str">
        <f>""</f>
        <v/>
      </c>
      <c r="H2339" t="str">
        <f t="shared" si="46"/>
        <v>TASC - FSA  FEES</v>
      </c>
    </row>
    <row r="2340" spans="5:8" x14ac:dyDescent="0.25">
      <c r="E2340" t="str">
        <f>""</f>
        <v/>
      </c>
      <c r="F2340" t="str">
        <f>""</f>
        <v/>
      </c>
      <c r="H2340" t="str">
        <f t="shared" si="46"/>
        <v>TASC - FSA  FEES</v>
      </c>
    </row>
    <row r="2341" spans="5:8" x14ac:dyDescent="0.25">
      <c r="E2341" t="str">
        <f>""</f>
        <v/>
      </c>
      <c r="F2341" t="str">
        <f>""</f>
        <v/>
      </c>
      <c r="H2341" t="str">
        <f t="shared" si="46"/>
        <v>TASC - FSA  FEES</v>
      </c>
    </row>
    <row r="2342" spans="5:8" x14ac:dyDescent="0.25">
      <c r="E2342" t="str">
        <f>""</f>
        <v/>
      </c>
      <c r="F2342" t="str">
        <f>""</f>
        <v/>
      </c>
      <c r="H2342" t="str">
        <f t="shared" si="46"/>
        <v>TASC - FSA  FEES</v>
      </c>
    </row>
    <row r="2343" spans="5:8" x14ac:dyDescent="0.25">
      <c r="E2343" t="str">
        <f>""</f>
        <v/>
      </c>
      <c r="F2343" t="str">
        <f>""</f>
        <v/>
      </c>
      <c r="H2343" t="str">
        <f t="shared" si="46"/>
        <v>TASC - FSA  FEES</v>
      </c>
    </row>
    <row r="2344" spans="5:8" x14ac:dyDescent="0.25">
      <c r="E2344" t="str">
        <f>""</f>
        <v/>
      </c>
      <c r="F2344" t="str">
        <f>""</f>
        <v/>
      </c>
      <c r="H2344" t="str">
        <f t="shared" si="46"/>
        <v>TASC - FSA  FEES</v>
      </c>
    </row>
    <row r="2345" spans="5:8" x14ac:dyDescent="0.25">
      <c r="E2345" t="str">
        <f>"FSF201904038356"</f>
        <v>FSF201904038356</v>
      </c>
      <c r="F2345" t="str">
        <f>"TASC - FSA  FEES"</f>
        <v>TASC - FSA  FEES</v>
      </c>
      <c r="G2345" s="2">
        <v>12.6</v>
      </c>
      <c r="H2345" t="str">
        <f t="shared" si="46"/>
        <v>TASC - FSA  FEES</v>
      </c>
    </row>
    <row r="2346" spans="5:8" x14ac:dyDescent="0.25">
      <c r="E2346" t="str">
        <f>"HRA201904038355"</f>
        <v>HRA201904038355</v>
      </c>
      <c r="F2346" t="str">
        <f>"TASC HRA"</f>
        <v>TASC HRA</v>
      </c>
      <c r="G2346" s="2">
        <v>2200</v>
      </c>
      <c r="H2346" t="str">
        <f t="shared" ref="H2346:H2355" si="47">"TASC HRA"</f>
        <v>TASC HRA</v>
      </c>
    </row>
    <row r="2347" spans="5:8" x14ac:dyDescent="0.25">
      <c r="E2347" t="str">
        <f>""</f>
        <v/>
      </c>
      <c r="F2347" t="str">
        <f>""</f>
        <v/>
      </c>
      <c r="H2347" t="str">
        <f t="shared" si="47"/>
        <v>TASC HRA</v>
      </c>
    </row>
    <row r="2348" spans="5:8" x14ac:dyDescent="0.25">
      <c r="E2348" t="str">
        <f>""</f>
        <v/>
      </c>
      <c r="F2348" t="str">
        <f>""</f>
        <v/>
      </c>
      <c r="H2348" t="str">
        <f t="shared" si="47"/>
        <v>TASC HRA</v>
      </c>
    </row>
    <row r="2349" spans="5:8" x14ac:dyDescent="0.25">
      <c r="E2349" t="str">
        <f>""</f>
        <v/>
      </c>
      <c r="F2349" t="str">
        <f>""</f>
        <v/>
      </c>
      <c r="H2349" t="str">
        <f t="shared" si="47"/>
        <v>TASC HRA</v>
      </c>
    </row>
    <row r="2350" spans="5:8" x14ac:dyDescent="0.25">
      <c r="E2350" t="str">
        <f>""</f>
        <v/>
      </c>
      <c r="F2350" t="str">
        <f>""</f>
        <v/>
      </c>
      <c r="H2350" t="str">
        <f t="shared" si="47"/>
        <v>TASC HRA</v>
      </c>
    </row>
    <row r="2351" spans="5:8" x14ac:dyDescent="0.25">
      <c r="E2351" t="str">
        <f>""</f>
        <v/>
      </c>
      <c r="F2351" t="str">
        <f>""</f>
        <v/>
      </c>
      <c r="H2351" t="str">
        <f t="shared" si="47"/>
        <v>TASC HRA</v>
      </c>
    </row>
    <row r="2352" spans="5:8" x14ac:dyDescent="0.25">
      <c r="E2352" t="str">
        <f>""</f>
        <v/>
      </c>
      <c r="F2352" t="str">
        <f>""</f>
        <v/>
      </c>
      <c r="H2352" t="str">
        <f t="shared" si="47"/>
        <v>TASC HRA</v>
      </c>
    </row>
    <row r="2353" spans="5:8" x14ac:dyDescent="0.25">
      <c r="E2353" t="str">
        <f>""</f>
        <v/>
      </c>
      <c r="F2353" t="str">
        <f>""</f>
        <v/>
      </c>
      <c r="H2353" t="str">
        <f t="shared" si="47"/>
        <v>TASC HRA</v>
      </c>
    </row>
    <row r="2354" spans="5:8" x14ac:dyDescent="0.25">
      <c r="E2354" t="str">
        <f>""</f>
        <v/>
      </c>
      <c r="F2354" t="str">
        <f>""</f>
        <v/>
      </c>
      <c r="H2354" t="str">
        <f t="shared" si="47"/>
        <v>TASC HRA</v>
      </c>
    </row>
    <row r="2355" spans="5:8" x14ac:dyDescent="0.25">
      <c r="E2355" t="str">
        <f>""</f>
        <v/>
      </c>
      <c r="F2355" t="str">
        <f>""</f>
        <v/>
      </c>
      <c r="H2355" t="str">
        <f t="shared" si="47"/>
        <v>TASC HRA</v>
      </c>
    </row>
    <row r="2356" spans="5:8" x14ac:dyDescent="0.25">
      <c r="E2356" t="str">
        <f>"HRF201904038355"</f>
        <v>HRF201904038355</v>
      </c>
      <c r="F2356" t="str">
        <f>"TASC - HRA FEES"</f>
        <v>TASC - HRA FEES</v>
      </c>
      <c r="G2356" s="2">
        <v>772.2</v>
      </c>
      <c r="H2356" t="str">
        <f t="shared" ref="H2356:H2387" si="48">"TASC - HRA FEES"</f>
        <v>TASC - HRA FEES</v>
      </c>
    </row>
    <row r="2357" spans="5:8" x14ac:dyDescent="0.25">
      <c r="E2357" t="str">
        <f>""</f>
        <v/>
      </c>
      <c r="F2357" t="str">
        <f>""</f>
        <v/>
      </c>
      <c r="H2357" t="str">
        <f t="shared" si="48"/>
        <v>TASC - HRA FEES</v>
      </c>
    </row>
    <row r="2358" spans="5:8" x14ac:dyDescent="0.25">
      <c r="E2358" t="str">
        <f>""</f>
        <v/>
      </c>
      <c r="F2358" t="str">
        <f>""</f>
        <v/>
      </c>
      <c r="H2358" t="str">
        <f t="shared" si="48"/>
        <v>TASC - HRA FEES</v>
      </c>
    </row>
    <row r="2359" spans="5:8" x14ac:dyDescent="0.25">
      <c r="E2359" t="str">
        <f>""</f>
        <v/>
      </c>
      <c r="F2359" t="str">
        <f>""</f>
        <v/>
      </c>
      <c r="H2359" t="str">
        <f t="shared" si="48"/>
        <v>TASC - HRA FEES</v>
      </c>
    </row>
    <row r="2360" spans="5:8" x14ac:dyDescent="0.25">
      <c r="E2360" t="str">
        <f>""</f>
        <v/>
      </c>
      <c r="F2360" t="str">
        <f>""</f>
        <v/>
      </c>
      <c r="H2360" t="str">
        <f t="shared" si="48"/>
        <v>TASC - HRA FEES</v>
      </c>
    </row>
    <row r="2361" spans="5:8" x14ac:dyDescent="0.25">
      <c r="E2361" t="str">
        <f>""</f>
        <v/>
      </c>
      <c r="F2361" t="str">
        <f>""</f>
        <v/>
      </c>
      <c r="H2361" t="str">
        <f t="shared" si="48"/>
        <v>TASC - HRA FEES</v>
      </c>
    </row>
    <row r="2362" spans="5:8" x14ac:dyDescent="0.25">
      <c r="E2362" t="str">
        <f>""</f>
        <v/>
      </c>
      <c r="F2362" t="str">
        <f>""</f>
        <v/>
      </c>
      <c r="H2362" t="str">
        <f t="shared" si="48"/>
        <v>TASC - HRA FEES</v>
      </c>
    </row>
    <row r="2363" spans="5:8" x14ac:dyDescent="0.25">
      <c r="E2363" t="str">
        <f>""</f>
        <v/>
      </c>
      <c r="F2363" t="str">
        <f>""</f>
        <v/>
      </c>
      <c r="H2363" t="str">
        <f t="shared" si="48"/>
        <v>TASC - HRA FEES</v>
      </c>
    </row>
    <row r="2364" spans="5:8" x14ac:dyDescent="0.25">
      <c r="E2364" t="str">
        <f>""</f>
        <v/>
      </c>
      <c r="F2364" t="str">
        <f>""</f>
        <v/>
      </c>
      <c r="H2364" t="str">
        <f t="shared" si="48"/>
        <v>TASC - HRA FEES</v>
      </c>
    </row>
    <row r="2365" spans="5:8" x14ac:dyDescent="0.25">
      <c r="E2365" t="str">
        <f>""</f>
        <v/>
      </c>
      <c r="F2365" t="str">
        <f>""</f>
        <v/>
      </c>
      <c r="H2365" t="str">
        <f t="shared" si="48"/>
        <v>TASC - HRA FEES</v>
      </c>
    </row>
    <row r="2366" spans="5:8" x14ac:dyDescent="0.25">
      <c r="E2366" t="str">
        <f>""</f>
        <v/>
      </c>
      <c r="F2366" t="str">
        <f>""</f>
        <v/>
      </c>
      <c r="H2366" t="str">
        <f t="shared" si="48"/>
        <v>TASC - HRA FEES</v>
      </c>
    </row>
    <row r="2367" spans="5:8" x14ac:dyDescent="0.25">
      <c r="E2367" t="str">
        <f>""</f>
        <v/>
      </c>
      <c r="F2367" t="str">
        <f>""</f>
        <v/>
      </c>
      <c r="H2367" t="str">
        <f t="shared" si="48"/>
        <v>TASC - HRA FEES</v>
      </c>
    </row>
    <row r="2368" spans="5:8" x14ac:dyDescent="0.25">
      <c r="E2368" t="str">
        <f>""</f>
        <v/>
      </c>
      <c r="F2368" t="str">
        <f>""</f>
        <v/>
      </c>
      <c r="H2368" t="str">
        <f t="shared" si="48"/>
        <v>TASC - HRA FEES</v>
      </c>
    </row>
    <row r="2369" spans="5:8" x14ac:dyDescent="0.25">
      <c r="E2369" t="str">
        <f>""</f>
        <v/>
      </c>
      <c r="F2369" t="str">
        <f>""</f>
        <v/>
      </c>
      <c r="H2369" t="str">
        <f t="shared" si="48"/>
        <v>TASC - HRA FEES</v>
      </c>
    </row>
    <row r="2370" spans="5:8" x14ac:dyDescent="0.25">
      <c r="E2370" t="str">
        <f>""</f>
        <v/>
      </c>
      <c r="F2370" t="str">
        <f>""</f>
        <v/>
      </c>
      <c r="H2370" t="str">
        <f t="shared" si="48"/>
        <v>TASC - HRA FEES</v>
      </c>
    </row>
    <row r="2371" spans="5:8" x14ac:dyDescent="0.25">
      <c r="E2371" t="str">
        <f>""</f>
        <v/>
      </c>
      <c r="F2371" t="str">
        <f>""</f>
        <v/>
      </c>
      <c r="H2371" t="str">
        <f t="shared" si="48"/>
        <v>TASC - HRA FEES</v>
      </c>
    </row>
    <row r="2372" spans="5:8" x14ac:dyDescent="0.25">
      <c r="E2372" t="str">
        <f>""</f>
        <v/>
      </c>
      <c r="F2372" t="str">
        <f>""</f>
        <v/>
      </c>
      <c r="H2372" t="str">
        <f t="shared" si="48"/>
        <v>TASC - HRA FEES</v>
      </c>
    </row>
    <row r="2373" spans="5:8" x14ac:dyDescent="0.25">
      <c r="E2373" t="str">
        <f>""</f>
        <v/>
      </c>
      <c r="F2373" t="str">
        <f>""</f>
        <v/>
      </c>
      <c r="H2373" t="str">
        <f t="shared" si="48"/>
        <v>TASC - HRA FEES</v>
      </c>
    </row>
    <row r="2374" spans="5:8" x14ac:dyDescent="0.25">
      <c r="E2374" t="str">
        <f>""</f>
        <v/>
      </c>
      <c r="F2374" t="str">
        <f>""</f>
        <v/>
      </c>
      <c r="H2374" t="str">
        <f t="shared" si="48"/>
        <v>TASC - HRA FEES</v>
      </c>
    </row>
    <row r="2375" spans="5:8" x14ac:dyDescent="0.25">
      <c r="E2375" t="str">
        <f>""</f>
        <v/>
      </c>
      <c r="F2375" t="str">
        <f>""</f>
        <v/>
      </c>
      <c r="H2375" t="str">
        <f t="shared" si="48"/>
        <v>TASC - HRA FEES</v>
      </c>
    </row>
    <row r="2376" spans="5:8" x14ac:dyDescent="0.25">
      <c r="E2376" t="str">
        <f>""</f>
        <v/>
      </c>
      <c r="F2376" t="str">
        <f>""</f>
        <v/>
      </c>
      <c r="H2376" t="str">
        <f t="shared" si="48"/>
        <v>TASC - HRA FEES</v>
      </c>
    </row>
    <row r="2377" spans="5:8" x14ac:dyDescent="0.25">
      <c r="E2377" t="str">
        <f>""</f>
        <v/>
      </c>
      <c r="F2377" t="str">
        <f>""</f>
        <v/>
      </c>
      <c r="H2377" t="str">
        <f t="shared" si="48"/>
        <v>TASC - HRA FEES</v>
      </c>
    </row>
    <row r="2378" spans="5:8" x14ac:dyDescent="0.25">
      <c r="E2378" t="str">
        <f>""</f>
        <v/>
      </c>
      <c r="F2378" t="str">
        <f>""</f>
        <v/>
      </c>
      <c r="H2378" t="str">
        <f t="shared" si="48"/>
        <v>TASC - HRA FEES</v>
      </c>
    </row>
    <row r="2379" spans="5:8" x14ac:dyDescent="0.25">
      <c r="E2379" t="str">
        <f>""</f>
        <v/>
      </c>
      <c r="F2379" t="str">
        <f>""</f>
        <v/>
      </c>
      <c r="H2379" t="str">
        <f t="shared" si="48"/>
        <v>TASC - HRA FEES</v>
      </c>
    </row>
    <row r="2380" spans="5:8" x14ac:dyDescent="0.25">
      <c r="E2380" t="str">
        <f>""</f>
        <v/>
      </c>
      <c r="F2380" t="str">
        <f>""</f>
        <v/>
      </c>
      <c r="H2380" t="str">
        <f t="shared" si="48"/>
        <v>TASC - HRA FEES</v>
      </c>
    </row>
    <row r="2381" spans="5:8" x14ac:dyDescent="0.25">
      <c r="E2381" t="str">
        <f>""</f>
        <v/>
      </c>
      <c r="F2381" t="str">
        <f>""</f>
        <v/>
      </c>
      <c r="H2381" t="str">
        <f t="shared" si="48"/>
        <v>TASC - HRA FEES</v>
      </c>
    </row>
    <row r="2382" spans="5:8" x14ac:dyDescent="0.25">
      <c r="E2382" t="str">
        <f>""</f>
        <v/>
      </c>
      <c r="F2382" t="str">
        <f>""</f>
        <v/>
      </c>
      <c r="H2382" t="str">
        <f t="shared" si="48"/>
        <v>TASC - HRA FEES</v>
      </c>
    </row>
    <row r="2383" spans="5:8" x14ac:dyDescent="0.25">
      <c r="E2383" t="str">
        <f>""</f>
        <v/>
      </c>
      <c r="F2383" t="str">
        <f>""</f>
        <v/>
      </c>
      <c r="H2383" t="str">
        <f t="shared" si="48"/>
        <v>TASC - HRA FEES</v>
      </c>
    </row>
    <row r="2384" spans="5:8" x14ac:dyDescent="0.25">
      <c r="E2384" t="str">
        <f>""</f>
        <v/>
      </c>
      <c r="F2384" t="str">
        <f>""</f>
        <v/>
      </c>
      <c r="H2384" t="str">
        <f t="shared" si="48"/>
        <v>TASC - HRA FEES</v>
      </c>
    </row>
    <row r="2385" spans="5:8" x14ac:dyDescent="0.25">
      <c r="E2385" t="str">
        <f>""</f>
        <v/>
      </c>
      <c r="F2385" t="str">
        <f>""</f>
        <v/>
      </c>
      <c r="H2385" t="str">
        <f t="shared" si="48"/>
        <v>TASC - HRA FEES</v>
      </c>
    </row>
    <row r="2386" spans="5:8" x14ac:dyDescent="0.25">
      <c r="E2386" t="str">
        <f>""</f>
        <v/>
      </c>
      <c r="F2386" t="str">
        <f>""</f>
        <v/>
      </c>
      <c r="H2386" t="str">
        <f t="shared" si="48"/>
        <v>TASC - HRA FEES</v>
      </c>
    </row>
    <row r="2387" spans="5:8" x14ac:dyDescent="0.25">
      <c r="E2387" t="str">
        <f>""</f>
        <v/>
      </c>
      <c r="F2387" t="str">
        <f>""</f>
        <v/>
      </c>
      <c r="H2387" t="str">
        <f t="shared" si="48"/>
        <v>TASC - HRA FEES</v>
      </c>
    </row>
    <row r="2388" spans="5:8" x14ac:dyDescent="0.25">
      <c r="E2388" t="str">
        <f>""</f>
        <v/>
      </c>
      <c r="F2388" t="str">
        <f>""</f>
        <v/>
      </c>
      <c r="H2388" t="str">
        <f t="shared" ref="H2388:H2405" si="49">"TASC - HRA FEES"</f>
        <v>TASC - HRA FEES</v>
      </c>
    </row>
    <row r="2389" spans="5:8" x14ac:dyDescent="0.25">
      <c r="E2389" t="str">
        <f>""</f>
        <v/>
      </c>
      <c r="F2389" t="str">
        <f>""</f>
        <v/>
      </c>
      <c r="H2389" t="str">
        <f t="shared" si="49"/>
        <v>TASC - HRA FEES</v>
      </c>
    </row>
    <row r="2390" spans="5:8" x14ac:dyDescent="0.25">
      <c r="E2390" t="str">
        <f>""</f>
        <v/>
      </c>
      <c r="F2390" t="str">
        <f>""</f>
        <v/>
      </c>
      <c r="H2390" t="str">
        <f t="shared" si="49"/>
        <v>TASC - HRA FEES</v>
      </c>
    </row>
    <row r="2391" spans="5:8" x14ac:dyDescent="0.25">
      <c r="E2391" t="str">
        <f>""</f>
        <v/>
      </c>
      <c r="F2391" t="str">
        <f>""</f>
        <v/>
      </c>
      <c r="H2391" t="str">
        <f t="shared" si="49"/>
        <v>TASC - HRA FEES</v>
      </c>
    </row>
    <row r="2392" spans="5:8" x14ac:dyDescent="0.25">
      <c r="E2392" t="str">
        <f>""</f>
        <v/>
      </c>
      <c r="F2392" t="str">
        <f>""</f>
        <v/>
      </c>
      <c r="H2392" t="str">
        <f t="shared" si="49"/>
        <v>TASC - HRA FEES</v>
      </c>
    </row>
    <row r="2393" spans="5:8" x14ac:dyDescent="0.25">
      <c r="E2393" t="str">
        <f>""</f>
        <v/>
      </c>
      <c r="F2393" t="str">
        <f>""</f>
        <v/>
      </c>
      <c r="H2393" t="str">
        <f t="shared" si="49"/>
        <v>TASC - HRA FEES</v>
      </c>
    </row>
    <row r="2394" spans="5:8" x14ac:dyDescent="0.25">
      <c r="E2394" t="str">
        <f>""</f>
        <v/>
      </c>
      <c r="F2394" t="str">
        <f>""</f>
        <v/>
      </c>
      <c r="H2394" t="str">
        <f t="shared" si="49"/>
        <v>TASC - HRA FEES</v>
      </c>
    </row>
    <row r="2395" spans="5:8" x14ac:dyDescent="0.25">
      <c r="E2395" t="str">
        <f>""</f>
        <v/>
      </c>
      <c r="F2395" t="str">
        <f>""</f>
        <v/>
      </c>
      <c r="H2395" t="str">
        <f t="shared" si="49"/>
        <v>TASC - HRA FEES</v>
      </c>
    </row>
    <row r="2396" spans="5:8" x14ac:dyDescent="0.25">
      <c r="E2396" t="str">
        <f>""</f>
        <v/>
      </c>
      <c r="F2396" t="str">
        <f>""</f>
        <v/>
      </c>
      <c r="H2396" t="str">
        <f t="shared" si="49"/>
        <v>TASC - HRA FEES</v>
      </c>
    </row>
    <row r="2397" spans="5:8" x14ac:dyDescent="0.25">
      <c r="E2397" t="str">
        <f>""</f>
        <v/>
      </c>
      <c r="F2397" t="str">
        <f>""</f>
        <v/>
      </c>
      <c r="H2397" t="str">
        <f t="shared" si="49"/>
        <v>TASC - HRA FEES</v>
      </c>
    </row>
    <row r="2398" spans="5:8" x14ac:dyDescent="0.25">
      <c r="E2398" t="str">
        <f>""</f>
        <v/>
      </c>
      <c r="F2398" t="str">
        <f>""</f>
        <v/>
      </c>
      <c r="H2398" t="str">
        <f t="shared" si="49"/>
        <v>TASC - HRA FEES</v>
      </c>
    </row>
    <row r="2399" spans="5:8" x14ac:dyDescent="0.25">
      <c r="E2399" t="str">
        <f>""</f>
        <v/>
      </c>
      <c r="F2399" t="str">
        <f>""</f>
        <v/>
      </c>
      <c r="H2399" t="str">
        <f t="shared" si="49"/>
        <v>TASC - HRA FEES</v>
      </c>
    </row>
    <row r="2400" spans="5:8" x14ac:dyDescent="0.25">
      <c r="E2400" t="str">
        <f>""</f>
        <v/>
      </c>
      <c r="F2400" t="str">
        <f>""</f>
        <v/>
      </c>
      <c r="H2400" t="str">
        <f t="shared" si="49"/>
        <v>TASC - HRA FEES</v>
      </c>
    </row>
    <row r="2401" spans="1:8" x14ac:dyDescent="0.25">
      <c r="E2401" t="str">
        <f>""</f>
        <v/>
      </c>
      <c r="F2401" t="str">
        <f>""</f>
        <v/>
      </c>
      <c r="H2401" t="str">
        <f t="shared" si="49"/>
        <v>TASC - HRA FEES</v>
      </c>
    </row>
    <row r="2402" spans="1:8" x14ac:dyDescent="0.25">
      <c r="E2402" t="str">
        <f>""</f>
        <v/>
      </c>
      <c r="F2402" t="str">
        <f>""</f>
        <v/>
      </c>
      <c r="H2402" t="str">
        <f t="shared" si="49"/>
        <v>TASC - HRA FEES</v>
      </c>
    </row>
    <row r="2403" spans="1:8" x14ac:dyDescent="0.25">
      <c r="E2403" t="str">
        <f>""</f>
        <v/>
      </c>
      <c r="F2403" t="str">
        <f>""</f>
        <v/>
      </c>
      <c r="H2403" t="str">
        <f t="shared" si="49"/>
        <v>TASC - HRA FEES</v>
      </c>
    </row>
    <row r="2404" spans="1:8" x14ac:dyDescent="0.25">
      <c r="E2404" t="str">
        <f>""</f>
        <v/>
      </c>
      <c r="F2404" t="str">
        <f>""</f>
        <v/>
      </c>
      <c r="H2404" t="str">
        <f t="shared" si="49"/>
        <v>TASC - HRA FEES</v>
      </c>
    </row>
    <row r="2405" spans="1:8" x14ac:dyDescent="0.25">
      <c r="E2405" t="str">
        <f>"HRF201904038356"</f>
        <v>HRF201904038356</v>
      </c>
      <c r="F2405" t="str">
        <f>"TASC - HRA FEES"</f>
        <v>TASC - HRA FEES</v>
      </c>
      <c r="G2405" s="2">
        <v>28.8</v>
      </c>
      <c r="H2405" t="str">
        <f t="shared" si="49"/>
        <v>TASC - HRA FEES</v>
      </c>
    </row>
    <row r="2406" spans="1:8" x14ac:dyDescent="0.25">
      <c r="A2406" t="s">
        <v>425</v>
      </c>
      <c r="B2406" s="3">
        <v>112</v>
      </c>
      <c r="C2406" s="2">
        <v>9584.0400000000009</v>
      </c>
      <c r="D2406" s="1">
        <v>43573</v>
      </c>
      <c r="E2406" t="str">
        <f>"FSA201904168721"</f>
        <v>FSA201904168721</v>
      </c>
      <c r="F2406" t="str">
        <f>"TASC FSA"</f>
        <v>TASC FSA</v>
      </c>
      <c r="G2406" s="2">
        <v>7454.42</v>
      </c>
      <c r="H2406" t="str">
        <f>"TASC FSA"</f>
        <v>TASC FSA</v>
      </c>
    </row>
    <row r="2407" spans="1:8" x14ac:dyDescent="0.25">
      <c r="E2407" t="str">
        <f>"FSA201904168722"</f>
        <v>FSA201904168722</v>
      </c>
      <c r="F2407" t="str">
        <f>"TASC FSA"</f>
        <v>TASC FSA</v>
      </c>
      <c r="G2407" s="2">
        <v>550.05999999999995</v>
      </c>
      <c r="H2407" t="str">
        <f>"TASC FSA"</f>
        <v>TASC FSA</v>
      </c>
    </row>
    <row r="2408" spans="1:8" x14ac:dyDescent="0.25">
      <c r="E2408" t="str">
        <f>"FSC201904168721"</f>
        <v>FSC201904168721</v>
      </c>
      <c r="F2408" t="str">
        <f>"TASC DEPENDENT CARE"</f>
        <v>TASC DEPENDENT CARE</v>
      </c>
      <c r="G2408" s="2">
        <v>513.96</v>
      </c>
      <c r="H2408" t="str">
        <f>"TASC DEPENDENT CARE"</f>
        <v>TASC DEPENDENT CARE</v>
      </c>
    </row>
    <row r="2409" spans="1:8" x14ac:dyDescent="0.25">
      <c r="E2409" t="str">
        <f>"FSF201904168721"</f>
        <v>FSF201904168721</v>
      </c>
      <c r="F2409" t="str">
        <f>"TASC - FSA  FEES"</f>
        <v>TASC - FSA  FEES</v>
      </c>
      <c r="G2409" s="2">
        <v>257.39999999999998</v>
      </c>
      <c r="H2409" t="str">
        <f t="shared" ref="H2409:H2446" si="50">"TASC - FSA  FEES"</f>
        <v>TASC - FSA  FEES</v>
      </c>
    </row>
    <row r="2410" spans="1:8" x14ac:dyDescent="0.25">
      <c r="E2410" t="str">
        <f>""</f>
        <v/>
      </c>
      <c r="F2410" t="str">
        <f>""</f>
        <v/>
      </c>
      <c r="H2410" t="str">
        <f t="shared" si="50"/>
        <v>TASC - FSA  FEES</v>
      </c>
    </row>
    <row r="2411" spans="1:8" x14ac:dyDescent="0.25">
      <c r="E2411" t="str">
        <f>""</f>
        <v/>
      </c>
      <c r="F2411" t="str">
        <f>""</f>
        <v/>
      </c>
      <c r="H2411" t="str">
        <f t="shared" si="50"/>
        <v>TASC - FSA  FEES</v>
      </c>
    </row>
    <row r="2412" spans="1:8" x14ac:dyDescent="0.25">
      <c r="E2412" t="str">
        <f>""</f>
        <v/>
      </c>
      <c r="F2412" t="str">
        <f>""</f>
        <v/>
      </c>
      <c r="H2412" t="str">
        <f t="shared" si="50"/>
        <v>TASC - FSA  FEES</v>
      </c>
    </row>
    <row r="2413" spans="1:8" x14ac:dyDescent="0.25">
      <c r="E2413" t="str">
        <f>""</f>
        <v/>
      </c>
      <c r="F2413" t="str">
        <f>""</f>
        <v/>
      </c>
      <c r="H2413" t="str">
        <f t="shared" si="50"/>
        <v>TASC - FSA  FEES</v>
      </c>
    </row>
    <row r="2414" spans="1:8" x14ac:dyDescent="0.25">
      <c r="E2414" t="str">
        <f>""</f>
        <v/>
      </c>
      <c r="F2414" t="str">
        <f>""</f>
        <v/>
      </c>
      <c r="H2414" t="str">
        <f t="shared" si="50"/>
        <v>TASC - FSA  FEES</v>
      </c>
    </row>
    <row r="2415" spans="1:8" x14ac:dyDescent="0.25">
      <c r="E2415" t="str">
        <f>""</f>
        <v/>
      </c>
      <c r="F2415" t="str">
        <f>""</f>
        <v/>
      </c>
      <c r="H2415" t="str">
        <f t="shared" si="50"/>
        <v>TASC - FSA  FEES</v>
      </c>
    </row>
    <row r="2416" spans="1:8" x14ac:dyDescent="0.25">
      <c r="E2416" t="str">
        <f>""</f>
        <v/>
      </c>
      <c r="F2416" t="str">
        <f>""</f>
        <v/>
      </c>
      <c r="H2416" t="str">
        <f t="shared" si="50"/>
        <v>TASC - FSA  FEES</v>
      </c>
    </row>
    <row r="2417" spans="5:8" x14ac:dyDescent="0.25">
      <c r="E2417" t="str">
        <f>""</f>
        <v/>
      </c>
      <c r="F2417" t="str">
        <f>""</f>
        <v/>
      </c>
      <c r="H2417" t="str">
        <f t="shared" si="50"/>
        <v>TASC - FSA  FEES</v>
      </c>
    </row>
    <row r="2418" spans="5:8" x14ac:dyDescent="0.25">
      <c r="E2418" t="str">
        <f>""</f>
        <v/>
      </c>
      <c r="F2418" t="str">
        <f>""</f>
        <v/>
      </c>
      <c r="H2418" t="str">
        <f t="shared" si="50"/>
        <v>TASC - FSA  FEES</v>
      </c>
    </row>
    <row r="2419" spans="5:8" x14ac:dyDescent="0.25">
      <c r="E2419" t="str">
        <f>""</f>
        <v/>
      </c>
      <c r="F2419" t="str">
        <f>""</f>
        <v/>
      </c>
      <c r="H2419" t="str">
        <f t="shared" si="50"/>
        <v>TASC - FSA  FEES</v>
      </c>
    </row>
    <row r="2420" spans="5:8" x14ac:dyDescent="0.25">
      <c r="E2420" t="str">
        <f>""</f>
        <v/>
      </c>
      <c r="F2420" t="str">
        <f>""</f>
        <v/>
      </c>
      <c r="H2420" t="str">
        <f t="shared" si="50"/>
        <v>TASC - FSA  FEES</v>
      </c>
    </row>
    <row r="2421" spans="5:8" x14ac:dyDescent="0.25">
      <c r="E2421" t="str">
        <f>""</f>
        <v/>
      </c>
      <c r="F2421" t="str">
        <f>""</f>
        <v/>
      </c>
      <c r="H2421" t="str">
        <f t="shared" si="50"/>
        <v>TASC - FSA  FEES</v>
      </c>
    </row>
    <row r="2422" spans="5:8" x14ac:dyDescent="0.25">
      <c r="E2422" t="str">
        <f>""</f>
        <v/>
      </c>
      <c r="F2422" t="str">
        <f>""</f>
        <v/>
      </c>
      <c r="H2422" t="str">
        <f t="shared" si="50"/>
        <v>TASC - FSA  FEES</v>
      </c>
    </row>
    <row r="2423" spans="5:8" x14ac:dyDescent="0.25">
      <c r="E2423" t="str">
        <f>""</f>
        <v/>
      </c>
      <c r="F2423" t="str">
        <f>""</f>
        <v/>
      </c>
      <c r="H2423" t="str">
        <f t="shared" si="50"/>
        <v>TASC - FSA  FEES</v>
      </c>
    </row>
    <row r="2424" spans="5:8" x14ac:dyDescent="0.25">
      <c r="E2424" t="str">
        <f>""</f>
        <v/>
      </c>
      <c r="F2424" t="str">
        <f>""</f>
        <v/>
      </c>
      <c r="H2424" t="str">
        <f t="shared" si="50"/>
        <v>TASC - FSA  FEES</v>
      </c>
    </row>
    <row r="2425" spans="5:8" x14ac:dyDescent="0.25">
      <c r="E2425" t="str">
        <f>""</f>
        <v/>
      </c>
      <c r="F2425" t="str">
        <f>""</f>
        <v/>
      </c>
      <c r="H2425" t="str">
        <f t="shared" si="50"/>
        <v>TASC - FSA  FEES</v>
      </c>
    </row>
    <row r="2426" spans="5:8" x14ac:dyDescent="0.25">
      <c r="E2426" t="str">
        <f>""</f>
        <v/>
      </c>
      <c r="F2426" t="str">
        <f>""</f>
        <v/>
      </c>
      <c r="H2426" t="str">
        <f t="shared" si="50"/>
        <v>TASC - FSA  FEES</v>
      </c>
    </row>
    <row r="2427" spans="5:8" x14ac:dyDescent="0.25">
      <c r="E2427" t="str">
        <f>""</f>
        <v/>
      </c>
      <c r="F2427" t="str">
        <f>""</f>
        <v/>
      </c>
      <c r="H2427" t="str">
        <f t="shared" si="50"/>
        <v>TASC - FSA  FEES</v>
      </c>
    </row>
    <row r="2428" spans="5:8" x14ac:dyDescent="0.25">
      <c r="E2428" t="str">
        <f>""</f>
        <v/>
      </c>
      <c r="F2428" t="str">
        <f>""</f>
        <v/>
      </c>
      <c r="H2428" t="str">
        <f t="shared" si="50"/>
        <v>TASC - FSA  FEES</v>
      </c>
    </row>
    <row r="2429" spans="5:8" x14ac:dyDescent="0.25">
      <c r="E2429" t="str">
        <f>""</f>
        <v/>
      </c>
      <c r="F2429" t="str">
        <f>""</f>
        <v/>
      </c>
      <c r="H2429" t="str">
        <f t="shared" si="50"/>
        <v>TASC - FSA  FEES</v>
      </c>
    </row>
    <row r="2430" spans="5:8" x14ac:dyDescent="0.25">
      <c r="E2430" t="str">
        <f>""</f>
        <v/>
      </c>
      <c r="F2430" t="str">
        <f>""</f>
        <v/>
      </c>
      <c r="H2430" t="str">
        <f t="shared" si="50"/>
        <v>TASC - FSA  FEES</v>
      </c>
    </row>
    <row r="2431" spans="5:8" x14ac:dyDescent="0.25">
      <c r="E2431" t="str">
        <f>""</f>
        <v/>
      </c>
      <c r="F2431" t="str">
        <f>""</f>
        <v/>
      </c>
      <c r="H2431" t="str">
        <f t="shared" si="50"/>
        <v>TASC - FSA  FEES</v>
      </c>
    </row>
    <row r="2432" spans="5:8" x14ac:dyDescent="0.25">
      <c r="E2432" t="str">
        <f>""</f>
        <v/>
      </c>
      <c r="F2432" t="str">
        <f>""</f>
        <v/>
      </c>
      <c r="H2432" t="str">
        <f t="shared" si="50"/>
        <v>TASC - FSA  FEES</v>
      </c>
    </row>
    <row r="2433" spans="5:8" x14ac:dyDescent="0.25">
      <c r="E2433" t="str">
        <f>""</f>
        <v/>
      </c>
      <c r="F2433" t="str">
        <f>""</f>
        <v/>
      </c>
      <c r="H2433" t="str">
        <f t="shared" si="50"/>
        <v>TASC - FSA  FEES</v>
      </c>
    </row>
    <row r="2434" spans="5:8" x14ac:dyDescent="0.25">
      <c r="E2434" t="str">
        <f>""</f>
        <v/>
      </c>
      <c r="F2434" t="str">
        <f>""</f>
        <v/>
      </c>
      <c r="H2434" t="str">
        <f t="shared" si="50"/>
        <v>TASC - FSA  FEES</v>
      </c>
    </row>
    <row r="2435" spans="5:8" x14ac:dyDescent="0.25">
      <c r="E2435" t="str">
        <f>""</f>
        <v/>
      </c>
      <c r="F2435" t="str">
        <f>""</f>
        <v/>
      </c>
      <c r="H2435" t="str">
        <f t="shared" si="50"/>
        <v>TASC - FSA  FEES</v>
      </c>
    </row>
    <row r="2436" spans="5:8" x14ac:dyDescent="0.25">
      <c r="E2436" t="str">
        <f>""</f>
        <v/>
      </c>
      <c r="F2436" t="str">
        <f>""</f>
        <v/>
      </c>
      <c r="H2436" t="str">
        <f t="shared" si="50"/>
        <v>TASC - FSA  FEES</v>
      </c>
    </row>
    <row r="2437" spans="5:8" x14ac:dyDescent="0.25">
      <c r="E2437" t="str">
        <f>""</f>
        <v/>
      </c>
      <c r="F2437" t="str">
        <f>""</f>
        <v/>
      </c>
      <c r="H2437" t="str">
        <f t="shared" si="50"/>
        <v>TASC - FSA  FEES</v>
      </c>
    </row>
    <row r="2438" spans="5:8" x14ac:dyDescent="0.25">
      <c r="E2438" t="str">
        <f>""</f>
        <v/>
      </c>
      <c r="F2438" t="str">
        <f>""</f>
        <v/>
      </c>
      <c r="H2438" t="str">
        <f t="shared" si="50"/>
        <v>TASC - FSA  FEES</v>
      </c>
    </row>
    <row r="2439" spans="5:8" x14ac:dyDescent="0.25">
      <c r="E2439" t="str">
        <f>""</f>
        <v/>
      </c>
      <c r="F2439" t="str">
        <f>""</f>
        <v/>
      </c>
      <c r="H2439" t="str">
        <f t="shared" si="50"/>
        <v>TASC - FSA  FEES</v>
      </c>
    </row>
    <row r="2440" spans="5:8" x14ac:dyDescent="0.25">
      <c r="E2440" t="str">
        <f>""</f>
        <v/>
      </c>
      <c r="F2440" t="str">
        <f>""</f>
        <v/>
      </c>
      <c r="H2440" t="str">
        <f t="shared" si="50"/>
        <v>TASC - FSA  FEES</v>
      </c>
    </row>
    <row r="2441" spans="5:8" x14ac:dyDescent="0.25">
      <c r="E2441" t="str">
        <f>""</f>
        <v/>
      </c>
      <c r="F2441" t="str">
        <f>""</f>
        <v/>
      </c>
      <c r="H2441" t="str">
        <f t="shared" si="50"/>
        <v>TASC - FSA  FEES</v>
      </c>
    </row>
    <row r="2442" spans="5:8" x14ac:dyDescent="0.25">
      <c r="E2442" t="str">
        <f>""</f>
        <v/>
      </c>
      <c r="F2442" t="str">
        <f>""</f>
        <v/>
      </c>
      <c r="H2442" t="str">
        <f t="shared" si="50"/>
        <v>TASC - FSA  FEES</v>
      </c>
    </row>
    <row r="2443" spans="5:8" x14ac:dyDescent="0.25">
      <c r="E2443" t="str">
        <f>""</f>
        <v/>
      </c>
      <c r="F2443" t="str">
        <f>""</f>
        <v/>
      </c>
      <c r="H2443" t="str">
        <f t="shared" si="50"/>
        <v>TASC - FSA  FEES</v>
      </c>
    </row>
    <row r="2444" spans="5:8" x14ac:dyDescent="0.25">
      <c r="E2444" t="str">
        <f>""</f>
        <v/>
      </c>
      <c r="F2444" t="str">
        <f>""</f>
        <v/>
      </c>
      <c r="H2444" t="str">
        <f t="shared" si="50"/>
        <v>TASC - FSA  FEES</v>
      </c>
    </row>
    <row r="2445" spans="5:8" x14ac:dyDescent="0.25">
      <c r="E2445" t="str">
        <f>""</f>
        <v/>
      </c>
      <c r="F2445" t="str">
        <f>""</f>
        <v/>
      </c>
      <c r="H2445" t="str">
        <f t="shared" si="50"/>
        <v>TASC - FSA  FEES</v>
      </c>
    </row>
    <row r="2446" spans="5:8" x14ac:dyDescent="0.25">
      <c r="E2446" t="str">
        <f>"FSF201904168722"</f>
        <v>FSF201904168722</v>
      </c>
      <c r="F2446" t="str">
        <f>"TASC - FSA  FEES"</f>
        <v>TASC - FSA  FEES</v>
      </c>
      <c r="G2446" s="2">
        <v>12.6</v>
      </c>
      <c r="H2446" t="str">
        <f t="shared" si="50"/>
        <v>TASC - FSA  FEES</v>
      </c>
    </row>
    <row r="2447" spans="5:8" x14ac:dyDescent="0.25">
      <c r="E2447" t="str">
        <f>"HRF201904168721"</f>
        <v>HRF201904168721</v>
      </c>
      <c r="F2447" t="str">
        <f>"TASC - HRA FEES"</f>
        <v>TASC - HRA FEES</v>
      </c>
      <c r="G2447" s="2">
        <v>766.8</v>
      </c>
      <c r="H2447" t="str">
        <f t="shared" ref="H2447:H2478" si="51">"TASC - HRA FEES"</f>
        <v>TASC - HRA FEES</v>
      </c>
    </row>
    <row r="2448" spans="5:8" x14ac:dyDescent="0.25">
      <c r="E2448" t="str">
        <f>""</f>
        <v/>
      </c>
      <c r="F2448" t="str">
        <f>""</f>
        <v/>
      </c>
      <c r="H2448" t="str">
        <f t="shared" si="51"/>
        <v>TASC - HRA FEES</v>
      </c>
    </row>
    <row r="2449" spans="5:8" x14ac:dyDescent="0.25">
      <c r="E2449" t="str">
        <f>""</f>
        <v/>
      </c>
      <c r="F2449" t="str">
        <f>""</f>
        <v/>
      </c>
      <c r="H2449" t="str">
        <f t="shared" si="51"/>
        <v>TASC - HRA FEES</v>
      </c>
    </row>
    <row r="2450" spans="5:8" x14ac:dyDescent="0.25">
      <c r="E2450" t="str">
        <f>""</f>
        <v/>
      </c>
      <c r="F2450" t="str">
        <f>""</f>
        <v/>
      </c>
      <c r="H2450" t="str">
        <f t="shared" si="51"/>
        <v>TASC - HRA FEES</v>
      </c>
    </row>
    <row r="2451" spans="5:8" x14ac:dyDescent="0.25">
      <c r="E2451" t="str">
        <f>""</f>
        <v/>
      </c>
      <c r="F2451" t="str">
        <f>""</f>
        <v/>
      </c>
      <c r="H2451" t="str">
        <f t="shared" si="51"/>
        <v>TASC - HRA FEES</v>
      </c>
    </row>
    <row r="2452" spans="5:8" x14ac:dyDescent="0.25">
      <c r="E2452" t="str">
        <f>""</f>
        <v/>
      </c>
      <c r="F2452" t="str">
        <f>""</f>
        <v/>
      </c>
      <c r="H2452" t="str">
        <f t="shared" si="51"/>
        <v>TASC - HRA FEES</v>
      </c>
    </row>
    <row r="2453" spans="5:8" x14ac:dyDescent="0.25">
      <c r="E2453" t="str">
        <f>""</f>
        <v/>
      </c>
      <c r="F2453" t="str">
        <f>""</f>
        <v/>
      </c>
      <c r="H2453" t="str">
        <f t="shared" si="51"/>
        <v>TASC - HRA FEES</v>
      </c>
    </row>
    <row r="2454" spans="5:8" x14ac:dyDescent="0.25">
      <c r="E2454" t="str">
        <f>""</f>
        <v/>
      </c>
      <c r="F2454" t="str">
        <f>""</f>
        <v/>
      </c>
      <c r="H2454" t="str">
        <f t="shared" si="51"/>
        <v>TASC - HRA FEES</v>
      </c>
    </row>
    <row r="2455" spans="5:8" x14ac:dyDescent="0.25">
      <c r="E2455" t="str">
        <f>""</f>
        <v/>
      </c>
      <c r="F2455" t="str">
        <f>""</f>
        <v/>
      </c>
      <c r="H2455" t="str">
        <f t="shared" si="51"/>
        <v>TASC - HRA FEES</v>
      </c>
    </row>
    <row r="2456" spans="5:8" x14ac:dyDescent="0.25">
      <c r="E2456" t="str">
        <f>""</f>
        <v/>
      </c>
      <c r="F2456" t="str">
        <f>""</f>
        <v/>
      </c>
      <c r="H2456" t="str">
        <f t="shared" si="51"/>
        <v>TASC - HRA FEES</v>
      </c>
    </row>
    <row r="2457" spans="5:8" x14ac:dyDescent="0.25">
      <c r="E2457" t="str">
        <f>""</f>
        <v/>
      </c>
      <c r="F2457" t="str">
        <f>""</f>
        <v/>
      </c>
      <c r="H2457" t="str">
        <f t="shared" si="51"/>
        <v>TASC - HRA FEES</v>
      </c>
    </row>
    <row r="2458" spans="5:8" x14ac:dyDescent="0.25">
      <c r="E2458" t="str">
        <f>""</f>
        <v/>
      </c>
      <c r="F2458" t="str">
        <f>""</f>
        <v/>
      </c>
      <c r="H2458" t="str">
        <f t="shared" si="51"/>
        <v>TASC - HRA FEES</v>
      </c>
    </row>
    <row r="2459" spans="5:8" x14ac:dyDescent="0.25">
      <c r="E2459" t="str">
        <f>""</f>
        <v/>
      </c>
      <c r="F2459" t="str">
        <f>""</f>
        <v/>
      </c>
      <c r="H2459" t="str">
        <f t="shared" si="51"/>
        <v>TASC - HRA FEES</v>
      </c>
    </row>
    <row r="2460" spans="5:8" x14ac:dyDescent="0.25">
      <c r="E2460" t="str">
        <f>""</f>
        <v/>
      </c>
      <c r="F2460" t="str">
        <f>""</f>
        <v/>
      </c>
      <c r="H2460" t="str">
        <f t="shared" si="51"/>
        <v>TASC - HRA FEES</v>
      </c>
    </row>
    <row r="2461" spans="5:8" x14ac:dyDescent="0.25">
      <c r="E2461" t="str">
        <f>""</f>
        <v/>
      </c>
      <c r="F2461" t="str">
        <f>""</f>
        <v/>
      </c>
      <c r="H2461" t="str">
        <f t="shared" si="51"/>
        <v>TASC - HRA FEES</v>
      </c>
    </row>
    <row r="2462" spans="5:8" x14ac:dyDescent="0.25">
      <c r="E2462" t="str">
        <f>""</f>
        <v/>
      </c>
      <c r="F2462" t="str">
        <f>""</f>
        <v/>
      </c>
      <c r="H2462" t="str">
        <f t="shared" si="51"/>
        <v>TASC - HRA FEES</v>
      </c>
    </row>
    <row r="2463" spans="5:8" x14ac:dyDescent="0.25">
      <c r="E2463" t="str">
        <f>""</f>
        <v/>
      </c>
      <c r="F2463" t="str">
        <f>""</f>
        <v/>
      </c>
      <c r="H2463" t="str">
        <f t="shared" si="51"/>
        <v>TASC - HRA FEES</v>
      </c>
    </row>
    <row r="2464" spans="5:8" x14ac:dyDescent="0.25">
      <c r="E2464" t="str">
        <f>""</f>
        <v/>
      </c>
      <c r="F2464" t="str">
        <f>""</f>
        <v/>
      </c>
      <c r="H2464" t="str">
        <f t="shared" si="51"/>
        <v>TASC - HRA FEES</v>
      </c>
    </row>
    <row r="2465" spans="5:8" x14ac:dyDescent="0.25">
      <c r="E2465" t="str">
        <f>""</f>
        <v/>
      </c>
      <c r="F2465" t="str">
        <f>""</f>
        <v/>
      </c>
      <c r="H2465" t="str">
        <f t="shared" si="51"/>
        <v>TASC - HRA FEES</v>
      </c>
    </row>
    <row r="2466" spans="5:8" x14ac:dyDescent="0.25">
      <c r="E2466" t="str">
        <f>""</f>
        <v/>
      </c>
      <c r="F2466" t="str">
        <f>""</f>
        <v/>
      </c>
      <c r="H2466" t="str">
        <f t="shared" si="51"/>
        <v>TASC - HRA FEES</v>
      </c>
    </row>
    <row r="2467" spans="5:8" x14ac:dyDescent="0.25">
      <c r="E2467" t="str">
        <f>""</f>
        <v/>
      </c>
      <c r="F2467" t="str">
        <f>""</f>
        <v/>
      </c>
      <c r="H2467" t="str">
        <f t="shared" si="51"/>
        <v>TASC - HRA FEES</v>
      </c>
    </row>
    <row r="2468" spans="5:8" x14ac:dyDescent="0.25">
      <c r="E2468" t="str">
        <f>""</f>
        <v/>
      </c>
      <c r="F2468" t="str">
        <f>""</f>
        <v/>
      </c>
      <c r="H2468" t="str">
        <f t="shared" si="51"/>
        <v>TASC - HRA FEES</v>
      </c>
    </row>
    <row r="2469" spans="5:8" x14ac:dyDescent="0.25">
      <c r="E2469" t="str">
        <f>""</f>
        <v/>
      </c>
      <c r="F2469" t="str">
        <f>""</f>
        <v/>
      </c>
      <c r="H2469" t="str">
        <f t="shared" si="51"/>
        <v>TASC - HRA FEES</v>
      </c>
    </row>
    <row r="2470" spans="5:8" x14ac:dyDescent="0.25">
      <c r="E2470" t="str">
        <f>""</f>
        <v/>
      </c>
      <c r="F2470" t="str">
        <f>""</f>
        <v/>
      </c>
      <c r="H2470" t="str">
        <f t="shared" si="51"/>
        <v>TASC - HRA FEES</v>
      </c>
    </row>
    <row r="2471" spans="5:8" x14ac:dyDescent="0.25">
      <c r="E2471" t="str">
        <f>""</f>
        <v/>
      </c>
      <c r="F2471" t="str">
        <f>""</f>
        <v/>
      </c>
      <c r="H2471" t="str">
        <f t="shared" si="51"/>
        <v>TASC - HRA FEES</v>
      </c>
    </row>
    <row r="2472" spans="5:8" x14ac:dyDescent="0.25">
      <c r="E2472" t="str">
        <f>""</f>
        <v/>
      </c>
      <c r="F2472" t="str">
        <f>""</f>
        <v/>
      </c>
      <c r="H2472" t="str">
        <f t="shared" si="51"/>
        <v>TASC - HRA FEES</v>
      </c>
    </row>
    <row r="2473" spans="5:8" x14ac:dyDescent="0.25">
      <c r="E2473" t="str">
        <f>""</f>
        <v/>
      </c>
      <c r="F2473" t="str">
        <f>""</f>
        <v/>
      </c>
      <c r="H2473" t="str">
        <f t="shared" si="51"/>
        <v>TASC - HRA FEES</v>
      </c>
    </row>
    <row r="2474" spans="5:8" x14ac:dyDescent="0.25">
      <c r="E2474" t="str">
        <f>""</f>
        <v/>
      </c>
      <c r="F2474" t="str">
        <f>""</f>
        <v/>
      </c>
      <c r="H2474" t="str">
        <f t="shared" si="51"/>
        <v>TASC - HRA FEES</v>
      </c>
    </row>
    <row r="2475" spans="5:8" x14ac:dyDescent="0.25">
      <c r="E2475" t="str">
        <f>""</f>
        <v/>
      </c>
      <c r="F2475" t="str">
        <f>""</f>
        <v/>
      </c>
      <c r="H2475" t="str">
        <f t="shared" si="51"/>
        <v>TASC - HRA FEES</v>
      </c>
    </row>
    <row r="2476" spans="5:8" x14ac:dyDescent="0.25">
      <c r="E2476" t="str">
        <f>""</f>
        <v/>
      </c>
      <c r="F2476" t="str">
        <f>""</f>
        <v/>
      </c>
      <c r="H2476" t="str">
        <f t="shared" si="51"/>
        <v>TASC - HRA FEES</v>
      </c>
    </row>
    <row r="2477" spans="5:8" x14ac:dyDescent="0.25">
      <c r="E2477" t="str">
        <f>""</f>
        <v/>
      </c>
      <c r="F2477" t="str">
        <f>""</f>
        <v/>
      </c>
      <c r="H2477" t="str">
        <f t="shared" si="51"/>
        <v>TASC - HRA FEES</v>
      </c>
    </row>
    <row r="2478" spans="5:8" x14ac:dyDescent="0.25">
      <c r="E2478" t="str">
        <f>""</f>
        <v/>
      </c>
      <c r="F2478" t="str">
        <f>""</f>
        <v/>
      </c>
      <c r="H2478" t="str">
        <f t="shared" si="51"/>
        <v>TASC - HRA FEES</v>
      </c>
    </row>
    <row r="2479" spans="5:8" x14ac:dyDescent="0.25">
      <c r="E2479" t="str">
        <f>""</f>
        <v/>
      </c>
      <c r="F2479" t="str">
        <f>""</f>
        <v/>
      </c>
      <c r="H2479" t="str">
        <f t="shared" ref="H2479:H2496" si="52">"TASC - HRA FEES"</f>
        <v>TASC - HRA FEES</v>
      </c>
    </row>
    <row r="2480" spans="5:8" x14ac:dyDescent="0.25">
      <c r="E2480" t="str">
        <f>""</f>
        <v/>
      </c>
      <c r="F2480" t="str">
        <f>""</f>
        <v/>
      </c>
      <c r="H2480" t="str">
        <f t="shared" si="52"/>
        <v>TASC - HRA FEES</v>
      </c>
    </row>
    <row r="2481" spans="5:8" x14ac:dyDescent="0.25">
      <c r="E2481" t="str">
        <f>""</f>
        <v/>
      </c>
      <c r="F2481" t="str">
        <f>""</f>
        <v/>
      </c>
      <c r="H2481" t="str">
        <f t="shared" si="52"/>
        <v>TASC - HRA FEES</v>
      </c>
    </row>
    <row r="2482" spans="5:8" x14ac:dyDescent="0.25">
      <c r="E2482" t="str">
        <f>""</f>
        <v/>
      </c>
      <c r="F2482" t="str">
        <f>""</f>
        <v/>
      </c>
      <c r="H2482" t="str">
        <f t="shared" si="52"/>
        <v>TASC - HRA FEES</v>
      </c>
    </row>
    <row r="2483" spans="5:8" x14ac:dyDescent="0.25">
      <c r="E2483" t="str">
        <f>""</f>
        <v/>
      </c>
      <c r="F2483" t="str">
        <f>""</f>
        <v/>
      </c>
      <c r="H2483" t="str">
        <f t="shared" si="52"/>
        <v>TASC - HRA FEES</v>
      </c>
    </row>
    <row r="2484" spans="5:8" x14ac:dyDescent="0.25">
      <c r="E2484" t="str">
        <f>""</f>
        <v/>
      </c>
      <c r="F2484" t="str">
        <f>""</f>
        <v/>
      </c>
      <c r="H2484" t="str">
        <f t="shared" si="52"/>
        <v>TASC - HRA FEES</v>
      </c>
    </row>
    <row r="2485" spans="5:8" x14ac:dyDescent="0.25">
      <c r="E2485" t="str">
        <f>""</f>
        <v/>
      </c>
      <c r="F2485" t="str">
        <f>""</f>
        <v/>
      </c>
      <c r="H2485" t="str">
        <f t="shared" si="52"/>
        <v>TASC - HRA FEES</v>
      </c>
    </row>
    <row r="2486" spans="5:8" x14ac:dyDescent="0.25">
      <c r="E2486" t="str">
        <f>""</f>
        <v/>
      </c>
      <c r="F2486" t="str">
        <f>""</f>
        <v/>
      </c>
      <c r="H2486" t="str">
        <f t="shared" si="52"/>
        <v>TASC - HRA FEES</v>
      </c>
    </row>
    <row r="2487" spans="5:8" x14ac:dyDescent="0.25">
      <c r="E2487" t="str">
        <f>""</f>
        <v/>
      </c>
      <c r="F2487" t="str">
        <f>""</f>
        <v/>
      </c>
      <c r="H2487" t="str">
        <f t="shared" si="52"/>
        <v>TASC - HRA FEES</v>
      </c>
    </row>
    <row r="2488" spans="5:8" x14ac:dyDescent="0.25">
      <c r="E2488" t="str">
        <f>""</f>
        <v/>
      </c>
      <c r="F2488" t="str">
        <f>""</f>
        <v/>
      </c>
      <c r="H2488" t="str">
        <f t="shared" si="52"/>
        <v>TASC - HRA FEES</v>
      </c>
    </row>
    <row r="2489" spans="5:8" x14ac:dyDescent="0.25">
      <c r="E2489" t="str">
        <f>""</f>
        <v/>
      </c>
      <c r="F2489" t="str">
        <f>""</f>
        <v/>
      </c>
      <c r="H2489" t="str">
        <f t="shared" si="52"/>
        <v>TASC - HRA FEES</v>
      </c>
    </row>
    <row r="2490" spans="5:8" x14ac:dyDescent="0.25">
      <c r="E2490" t="str">
        <f>""</f>
        <v/>
      </c>
      <c r="F2490" t="str">
        <f>""</f>
        <v/>
      </c>
      <c r="H2490" t="str">
        <f t="shared" si="52"/>
        <v>TASC - HRA FEES</v>
      </c>
    </row>
    <row r="2491" spans="5:8" x14ac:dyDescent="0.25">
      <c r="E2491" t="str">
        <f>""</f>
        <v/>
      </c>
      <c r="F2491" t="str">
        <f>""</f>
        <v/>
      </c>
      <c r="H2491" t="str">
        <f t="shared" si="52"/>
        <v>TASC - HRA FEES</v>
      </c>
    </row>
    <row r="2492" spans="5:8" x14ac:dyDescent="0.25">
      <c r="E2492" t="str">
        <f>""</f>
        <v/>
      </c>
      <c r="F2492" t="str">
        <f>""</f>
        <v/>
      </c>
      <c r="H2492" t="str">
        <f t="shared" si="52"/>
        <v>TASC - HRA FEES</v>
      </c>
    </row>
    <row r="2493" spans="5:8" x14ac:dyDescent="0.25">
      <c r="E2493" t="str">
        <f>""</f>
        <v/>
      </c>
      <c r="F2493" t="str">
        <f>""</f>
        <v/>
      </c>
      <c r="H2493" t="str">
        <f t="shared" si="52"/>
        <v>TASC - HRA FEES</v>
      </c>
    </row>
    <row r="2494" spans="5:8" x14ac:dyDescent="0.25">
      <c r="E2494" t="str">
        <f>""</f>
        <v/>
      </c>
      <c r="F2494" t="str">
        <f>""</f>
        <v/>
      </c>
      <c r="H2494" t="str">
        <f t="shared" si="52"/>
        <v>TASC - HRA FEES</v>
      </c>
    </row>
    <row r="2495" spans="5:8" x14ac:dyDescent="0.25">
      <c r="E2495" t="str">
        <f>""</f>
        <v/>
      </c>
      <c r="F2495" t="str">
        <f>""</f>
        <v/>
      </c>
      <c r="H2495" t="str">
        <f t="shared" si="52"/>
        <v>TASC - HRA FEES</v>
      </c>
    </row>
    <row r="2496" spans="5:8" x14ac:dyDescent="0.25">
      <c r="E2496" t="str">
        <f>"HRF201904168722"</f>
        <v>HRF201904168722</v>
      </c>
      <c r="F2496" t="str">
        <f>"TASC - HRA FEES"</f>
        <v>TASC - HRA FEES</v>
      </c>
      <c r="G2496" s="2">
        <v>28.8</v>
      </c>
      <c r="H2496" t="str">
        <f t="shared" si="52"/>
        <v>TASC - HRA FEES</v>
      </c>
    </row>
    <row r="2497" spans="1:8" x14ac:dyDescent="0.25">
      <c r="A2497" t="s">
        <v>426</v>
      </c>
      <c r="B2497" s="3">
        <v>103</v>
      </c>
      <c r="C2497" s="2">
        <v>4092.26</v>
      </c>
      <c r="D2497" s="1">
        <v>43560</v>
      </c>
      <c r="E2497" t="str">
        <f>"C18201904038356"</f>
        <v>C18201904038356</v>
      </c>
      <c r="F2497" t="str">
        <f>"CAUSE# 0011635329"</f>
        <v>CAUSE# 0011635329</v>
      </c>
      <c r="G2497" s="2">
        <v>603.23</v>
      </c>
      <c r="H2497" t="str">
        <f>"CAUSE# 0011635329"</f>
        <v>CAUSE# 0011635329</v>
      </c>
    </row>
    <row r="2498" spans="1:8" x14ac:dyDescent="0.25">
      <c r="E2498" t="str">
        <f>"C2 201904038356"</f>
        <v>C2 201904038356</v>
      </c>
      <c r="F2498" t="str">
        <f>"0012982132CCL7445"</f>
        <v>0012982132CCL7445</v>
      </c>
      <c r="G2498" s="2">
        <v>692.31</v>
      </c>
      <c r="H2498" t="str">
        <f>"0012982132CCL7445"</f>
        <v>0012982132CCL7445</v>
      </c>
    </row>
    <row r="2499" spans="1:8" x14ac:dyDescent="0.25">
      <c r="E2499" t="str">
        <f>"C20201904038355"</f>
        <v>C20201904038355</v>
      </c>
      <c r="F2499" t="str">
        <f>"001003981107-12252"</f>
        <v>001003981107-12252</v>
      </c>
      <c r="G2499" s="2">
        <v>115.39</v>
      </c>
      <c r="H2499" t="str">
        <f>"001003981107-12252"</f>
        <v>001003981107-12252</v>
      </c>
    </row>
    <row r="2500" spans="1:8" x14ac:dyDescent="0.25">
      <c r="E2500" t="str">
        <f>"C42201904038355"</f>
        <v>C42201904038355</v>
      </c>
      <c r="F2500" t="str">
        <f>"001236769211-14410"</f>
        <v>001236769211-14410</v>
      </c>
      <c r="G2500" s="2">
        <v>230.31</v>
      </c>
      <c r="H2500" t="str">
        <f>"001236769211-14410"</f>
        <v>001236769211-14410</v>
      </c>
    </row>
    <row r="2501" spans="1:8" x14ac:dyDescent="0.25">
      <c r="E2501" t="str">
        <f>"C46201904038355"</f>
        <v>C46201904038355</v>
      </c>
      <c r="F2501" t="str">
        <f>"CAUSE# 11-14911"</f>
        <v>CAUSE# 11-14911</v>
      </c>
      <c r="G2501" s="2">
        <v>238.62</v>
      </c>
      <c r="H2501" t="str">
        <f>"CAUSE# 11-14911"</f>
        <v>CAUSE# 11-14911</v>
      </c>
    </row>
    <row r="2502" spans="1:8" x14ac:dyDescent="0.25">
      <c r="E2502" t="str">
        <f>"C53201904038355"</f>
        <v>C53201904038355</v>
      </c>
      <c r="F2502" t="str">
        <f>"0012453366"</f>
        <v>0012453366</v>
      </c>
      <c r="G2502" s="2">
        <v>138.46</v>
      </c>
      <c r="H2502" t="str">
        <f>"0012453366"</f>
        <v>0012453366</v>
      </c>
    </row>
    <row r="2503" spans="1:8" x14ac:dyDescent="0.25">
      <c r="E2503" t="str">
        <f>"C60201904038355"</f>
        <v>C60201904038355</v>
      </c>
      <c r="F2503" t="str">
        <f>"00130730762012V300"</f>
        <v>00130730762012V300</v>
      </c>
      <c r="G2503" s="2">
        <v>399.32</v>
      </c>
      <c r="H2503" t="str">
        <f>"00130730762012V300"</f>
        <v>00130730762012V300</v>
      </c>
    </row>
    <row r="2504" spans="1:8" x14ac:dyDescent="0.25">
      <c r="E2504" t="str">
        <f>"C62201904038355"</f>
        <v>C62201904038355</v>
      </c>
      <c r="F2504" t="str">
        <f>"# 0012128865"</f>
        <v># 0012128865</v>
      </c>
      <c r="G2504" s="2">
        <v>243.23</v>
      </c>
      <c r="H2504" t="str">
        <f>"# 0012128865"</f>
        <v># 0012128865</v>
      </c>
    </row>
    <row r="2505" spans="1:8" x14ac:dyDescent="0.25">
      <c r="E2505" t="str">
        <f>"C66201904038355"</f>
        <v>C66201904038355</v>
      </c>
      <c r="F2505" t="str">
        <f>"# 0012871801"</f>
        <v># 0012871801</v>
      </c>
      <c r="G2505" s="2">
        <v>90</v>
      </c>
      <c r="H2505" t="str">
        <f>"# 0012871801"</f>
        <v># 0012871801</v>
      </c>
    </row>
    <row r="2506" spans="1:8" x14ac:dyDescent="0.25">
      <c r="E2506" t="str">
        <f>"C69201904038355"</f>
        <v>C69201904038355</v>
      </c>
      <c r="F2506" t="str">
        <f>"0012046911423672"</f>
        <v>0012046911423672</v>
      </c>
      <c r="G2506" s="2">
        <v>187.38</v>
      </c>
      <c r="H2506" t="str">
        <f>"0012046911423672"</f>
        <v>0012046911423672</v>
      </c>
    </row>
    <row r="2507" spans="1:8" x14ac:dyDescent="0.25">
      <c r="E2507" t="str">
        <f>"C70201904038355"</f>
        <v>C70201904038355</v>
      </c>
      <c r="F2507" t="str">
        <f>"00136881334235026"</f>
        <v>00136881334235026</v>
      </c>
      <c r="G2507" s="2">
        <v>257.45999999999998</v>
      </c>
      <c r="H2507" t="str">
        <f>"00136881334235026"</f>
        <v>00136881334235026</v>
      </c>
    </row>
    <row r="2508" spans="1:8" x14ac:dyDescent="0.25">
      <c r="E2508" t="str">
        <f>"C71201904038355"</f>
        <v>C71201904038355</v>
      </c>
      <c r="F2508" t="str">
        <f>"00137390532018V215"</f>
        <v>00137390532018V215</v>
      </c>
      <c r="G2508" s="2">
        <v>276.92</v>
      </c>
      <c r="H2508" t="str">
        <f>"00137390532018V215"</f>
        <v>00137390532018V215</v>
      </c>
    </row>
    <row r="2509" spans="1:8" x14ac:dyDescent="0.25">
      <c r="E2509" t="str">
        <f>"C72201904038355"</f>
        <v>C72201904038355</v>
      </c>
      <c r="F2509" t="str">
        <f>"0012797601C20130529B"</f>
        <v>0012797601C20130529B</v>
      </c>
      <c r="G2509" s="2">
        <v>241.85</v>
      </c>
      <c r="H2509" t="str">
        <f>"0012797601C20130529B"</f>
        <v>0012797601C20130529B</v>
      </c>
    </row>
    <row r="2510" spans="1:8" x14ac:dyDescent="0.25">
      <c r="E2510" t="str">
        <f>"C75201904038355"</f>
        <v>C75201904038355</v>
      </c>
      <c r="F2510" t="str">
        <f>"0011203766D1AG060016"</f>
        <v>0011203766D1AG060016</v>
      </c>
      <c r="G2510" s="2">
        <v>6.92</v>
      </c>
      <c r="H2510" t="str">
        <f>"0011203766D1AG060016"</f>
        <v>0011203766D1AG060016</v>
      </c>
    </row>
    <row r="2511" spans="1:8" x14ac:dyDescent="0.25">
      <c r="E2511" t="str">
        <f>"C76201904038355"</f>
        <v>C76201904038355</v>
      </c>
      <c r="F2511" t="str">
        <f>"00126801111316135"</f>
        <v>00126801111316135</v>
      </c>
      <c r="G2511" s="2">
        <v>103.85</v>
      </c>
      <c r="H2511" t="str">
        <f>"00126801111316135"</f>
        <v>00126801111316135</v>
      </c>
    </row>
    <row r="2512" spans="1:8" x14ac:dyDescent="0.25">
      <c r="E2512" t="str">
        <f>"C77201904038355"</f>
        <v>C77201904038355</v>
      </c>
      <c r="F2512" t="str">
        <f>"001360089516184"</f>
        <v>001360089516184</v>
      </c>
      <c r="G2512" s="2">
        <v>122.33</v>
      </c>
      <c r="H2512" t="str">
        <f>"001360089516184"</f>
        <v>001360089516184</v>
      </c>
    </row>
    <row r="2513" spans="1:8" x14ac:dyDescent="0.25">
      <c r="E2513" t="str">
        <f>"C78201904038355"</f>
        <v>C78201904038355</v>
      </c>
      <c r="F2513" t="str">
        <f>"00105115972005106221"</f>
        <v>00105115972005106221</v>
      </c>
      <c r="G2513" s="2">
        <v>144.68</v>
      </c>
      <c r="H2513" t="str">
        <f>"00105115972005106221"</f>
        <v>00105115972005106221</v>
      </c>
    </row>
    <row r="2514" spans="1:8" x14ac:dyDescent="0.25">
      <c r="A2514" t="s">
        <v>426</v>
      </c>
      <c r="B2514" s="3">
        <v>111</v>
      </c>
      <c r="C2514" s="2">
        <v>4731.82</v>
      </c>
      <c r="D2514" s="1">
        <v>43573</v>
      </c>
      <c r="E2514" t="str">
        <f>"C18201904168722"</f>
        <v>C18201904168722</v>
      </c>
      <c r="F2514" t="str">
        <f>"CAUSE# 0011635329"</f>
        <v>CAUSE# 0011635329</v>
      </c>
      <c r="G2514" s="2">
        <v>603.23</v>
      </c>
      <c r="H2514" t="str">
        <f>"CAUSE# 0011635329"</f>
        <v>CAUSE# 0011635329</v>
      </c>
    </row>
    <row r="2515" spans="1:8" x14ac:dyDescent="0.25">
      <c r="E2515" t="str">
        <f>"C2 201904168722"</f>
        <v>C2 201904168722</v>
      </c>
      <c r="F2515" t="str">
        <f>"0012982132CCL7445"</f>
        <v>0012982132CCL7445</v>
      </c>
      <c r="G2515" s="2">
        <v>692.31</v>
      </c>
      <c r="H2515" t="str">
        <f>"0012982132CCL7445"</f>
        <v>0012982132CCL7445</v>
      </c>
    </row>
    <row r="2516" spans="1:8" x14ac:dyDescent="0.25">
      <c r="E2516" t="str">
        <f>"C20201904168721"</f>
        <v>C20201904168721</v>
      </c>
      <c r="F2516" t="str">
        <f>"001003981107-12252"</f>
        <v>001003981107-12252</v>
      </c>
      <c r="G2516" s="2">
        <v>115.39</v>
      </c>
      <c r="H2516" t="str">
        <f>"001003981107-12252"</f>
        <v>001003981107-12252</v>
      </c>
    </row>
    <row r="2517" spans="1:8" x14ac:dyDescent="0.25">
      <c r="E2517" t="str">
        <f>"C42201904168721"</f>
        <v>C42201904168721</v>
      </c>
      <c r="F2517" t="str">
        <f>"001236769211-14410"</f>
        <v>001236769211-14410</v>
      </c>
      <c r="G2517" s="2">
        <v>230.31</v>
      </c>
      <c r="H2517" t="str">
        <f>"001236769211-14410"</f>
        <v>001236769211-14410</v>
      </c>
    </row>
    <row r="2518" spans="1:8" x14ac:dyDescent="0.25">
      <c r="E2518" t="str">
        <f>"C46201904168721"</f>
        <v>C46201904168721</v>
      </c>
      <c r="F2518" t="str">
        <f>"CAUSE# 11-14911"</f>
        <v>CAUSE# 11-14911</v>
      </c>
      <c r="G2518" s="2">
        <v>238.62</v>
      </c>
      <c r="H2518" t="str">
        <f>"CAUSE# 11-14911"</f>
        <v>CAUSE# 11-14911</v>
      </c>
    </row>
    <row r="2519" spans="1:8" x14ac:dyDescent="0.25">
      <c r="E2519" t="str">
        <f>"C53201904168721"</f>
        <v>C53201904168721</v>
      </c>
      <c r="F2519" t="str">
        <f>"0012453366"</f>
        <v>0012453366</v>
      </c>
      <c r="G2519" s="2">
        <v>138.46</v>
      </c>
      <c r="H2519" t="str">
        <f>"0012453366"</f>
        <v>0012453366</v>
      </c>
    </row>
    <row r="2520" spans="1:8" x14ac:dyDescent="0.25">
      <c r="E2520" t="str">
        <f>"C60201904168721"</f>
        <v>C60201904168721</v>
      </c>
      <c r="F2520" t="str">
        <f>"00130730762012V300"</f>
        <v>00130730762012V300</v>
      </c>
      <c r="G2520" s="2">
        <v>399.32</v>
      </c>
      <c r="H2520" t="str">
        <f>"00130730762012V300"</f>
        <v>00130730762012V300</v>
      </c>
    </row>
    <row r="2521" spans="1:8" x14ac:dyDescent="0.25">
      <c r="E2521" t="str">
        <f>"C62201904168721"</f>
        <v>C62201904168721</v>
      </c>
      <c r="F2521" t="str">
        <f>"# 0012128865"</f>
        <v># 0012128865</v>
      </c>
      <c r="G2521" s="2">
        <v>243.23</v>
      </c>
      <c r="H2521" t="str">
        <f>"# 0012128865"</f>
        <v># 0012128865</v>
      </c>
    </row>
    <row r="2522" spans="1:8" x14ac:dyDescent="0.25">
      <c r="E2522" t="str">
        <f>"C66201904168721"</f>
        <v>C66201904168721</v>
      </c>
      <c r="F2522" t="str">
        <f>"# 0012871801"</f>
        <v># 0012871801</v>
      </c>
      <c r="G2522" s="2">
        <v>90</v>
      </c>
      <c r="H2522" t="str">
        <f>"# 0012871801"</f>
        <v># 0012871801</v>
      </c>
    </row>
    <row r="2523" spans="1:8" x14ac:dyDescent="0.25">
      <c r="E2523" t="str">
        <f>"C69201904168721"</f>
        <v>C69201904168721</v>
      </c>
      <c r="F2523" t="str">
        <f>"0012046911423672"</f>
        <v>0012046911423672</v>
      </c>
      <c r="G2523" s="2">
        <v>187.38</v>
      </c>
      <c r="H2523" t="str">
        <f>"0012046911423672"</f>
        <v>0012046911423672</v>
      </c>
    </row>
    <row r="2524" spans="1:8" x14ac:dyDescent="0.25">
      <c r="E2524" t="str">
        <f>"C70201904168721"</f>
        <v>C70201904168721</v>
      </c>
      <c r="F2524" t="str">
        <f>"00136881334235026"</f>
        <v>00136881334235026</v>
      </c>
      <c r="G2524" s="2">
        <v>257.45999999999998</v>
      </c>
      <c r="H2524" t="str">
        <f>"00136881334235026"</f>
        <v>00136881334235026</v>
      </c>
    </row>
    <row r="2525" spans="1:8" x14ac:dyDescent="0.25">
      <c r="E2525" t="str">
        <f>"C71201904168721"</f>
        <v>C71201904168721</v>
      </c>
      <c r="F2525" t="str">
        <f>"00137390532018V215"</f>
        <v>00137390532018V215</v>
      </c>
      <c r="G2525" s="2">
        <v>276.92</v>
      </c>
      <c r="H2525" t="str">
        <f>"00137390532018V215"</f>
        <v>00137390532018V215</v>
      </c>
    </row>
    <row r="2526" spans="1:8" x14ac:dyDescent="0.25">
      <c r="E2526" t="str">
        <f>"C72201904168721"</f>
        <v>C72201904168721</v>
      </c>
      <c r="F2526" t="str">
        <f>"0012797601C20130529B"</f>
        <v>0012797601C20130529B</v>
      </c>
      <c r="G2526" s="2">
        <v>241.85</v>
      </c>
      <c r="H2526" t="str">
        <f>"0012797601C20130529B"</f>
        <v>0012797601C20130529B</v>
      </c>
    </row>
    <row r="2527" spans="1:8" x14ac:dyDescent="0.25">
      <c r="E2527" t="str">
        <f>"C75201904168721"</f>
        <v>C75201904168721</v>
      </c>
      <c r="F2527" t="str">
        <f>"0011203766D1AG060016"</f>
        <v>0011203766D1AG060016</v>
      </c>
      <c r="G2527" s="2">
        <v>6.92</v>
      </c>
      <c r="H2527" t="str">
        <f>"0011203766D1AG060016"</f>
        <v>0011203766D1AG060016</v>
      </c>
    </row>
    <row r="2528" spans="1:8" x14ac:dyDescent="0.25">
      <c r="E2528" t="str">
        <f>"C76201904168721"</f>
        <v>C76201904168721</v>
      </c>
      <c r="F2528" t="str">
        <f>"00126801111316135"</f>
        <v>00126801111316135</v>
      </c>
      <c r="G2528" s="2">
        <v>103.85</v>
      </c>
      <c r="H2528" t="str">
        <f>"00126801111316135"</f>
        <v>00126801111316135</v>
      </c>
    </row>
    <row r="2529" spans="1:8" x14ac:dyDescent="0.25">
      <c r="E2529" t="str">
        <f>"C77201904168721"</f>
        <v>C77201904168721</v>
      </c>
      <c r="F2529" t="str">
        <f>"001360089516184"</f>
        <v>001360089516184</v>
      </c>
      <c r="G2529" s="2">
        <v>122.33</v>
      </c>
      <c r="H2529" t="str">
        <f>"001360089516184"</f>
        <v>001360089516184</v>
      </c>
    </row>
    <row r="2530" spans="1:8" x14ac:dyDescent="0.25">
      <c r="E2530" t="str">
        <f>"C78201904168721"</f>
        <v>C78201904168721</v>
      </c>
      <c r="F2530" t="str">
        <f>"00105115972005106221"</f>
        <v>00105115972005106221</v>
      </c>
      <c r="G2530" s="2">
        <v>144.68</v>
      </c>
      <c r="H2530" t="str">
        <f>"00105115972005106221"</f>
        <v>00105115972005106221</v>
      </c>
    </row>
    <row r="2531" spans="1:8" x14ac:dyDescent="0.25">
      <c r="E2531" t="str">
        <f>"C79201904168721"</f>
        <v>C79201904168721</v>
      </c>
      <c r="F2531" t="str">
        <f>"0013045733S146091FLB"</f>
        <v>0013045733S146091FLB</v>
      </c>
      <c r="G2531" s="2">
        <v>197.08</v>
      </c>
      <c r="H2531" t="str">
        <f>"0013045733S146091FLB"</f>
        <v>0013045733S146091FLB</v>
      </c>
    </row>
    <row r="2532" spans="1:8" x14ac:dyDescent="0.25">
      <c r="E2532" t="str">
        <f>"C80201904168721"</f>
        <v>C80201904168721</v>
      </c>
      <c r="F2532" t="str">
        <f>"00123123441316239"</f>
        <v>00123123441316239</v>
      </c>
      <c r="G2532" s="2">
        <v>442.48</v>
      </c>
      <c r="H2532" t="str">
        <f>"00123123441316239"</f>
        <v>00123123441316239</v>
      </c>
    </row>
    <row r="2533" spans="1:8" x14ac:dyDescent="0.25">
      <c r="A2533" t="s">
        <v>427</v>
      </c>
      <c r="B2533" s="3">
        <v>113</v>
      </c>
      <c r="C2533" s="2">
        <v>336851.8</v>
      </c>
      <c r="D2533" s="1">
        <v>43573</v>
      </c>
      <c r="E2533" t="str">
        <f>"RET201904038355"</f>
        <v>RET201904038355</v>
      </c>
      <c r="F2533" t="str">
        <f>"TEXAS COUNTY &amp; DISTRICT RET"</f>
        <v>TEXAS COUNTY &amp; DISTRICT RET</v>
      </c>
      <c r="G2533" s="2">
        <v>154570.95000000001</v>
      </c>
      <c r="H2533" t="str">
        <f t="shared" ref="H2533:H2564" si="53">"TEXAS COUNTY &amp; DISTRICT RET"</f>
        <v>TEXAS COUNTY &amp; DISTRICT RET</v>
      </c>
    </row>
    <row r="2534" spans="1:8" x14ac:dyDescent="0.25">
      <c r="E2534" t="str">
        <f>""</f>
        <v/>
      </c>
      <c r="F2534" t="str">
        <f>""</f>
        <v/>
      </c>
      <c r="H2534" t="str">
        <f t="shared" si="53"/>
        <v>TEXAS COUNTY &amp; DISTRICT RET</v>
      </c>
    </row>
    <row r="2535" spans="1:8" x14ac:dyDescent="0.25">
      <c r="E2535" t="str">
        <f>""</f>
        <v/>
      </c>
      <c r="F2535" t="str">
        <f>""</f>
        <v/>
      </c>
      <c r="H2535" t="str">
        <f t="shared" si="53"/>
        <v>TEXAS COUNTY &amp; DISTRICT RET</v>
      </c>
    </row>
    <row r="2536" spans="1:8" x14ac:dyDescent="0.25">
      <c r="E2536" t="str">
        <f>""</f>
        <v/>
      </c>
      <c r="F2536" t="str">
        <f>""</f>
        <v/>
      </c>
      <c r="H2536" t="str">
        <f t="shared" si="53"/>
        <v>TEXAS COUNTY &amp; DISTRICT RET</v>
      </c>
    </row>
    <row r="2537" spans="1:8" x14ac:dyDescent="0.25">
      <c r="E2537" t="str">
        <f>""</f>
        <v/>
      </c>
      <c r="F2537" t="str">
        <f>""</f>
        <v/>
      </c>
      <c r="H2537" t="str">
        <f t="shared" si="53"/>
        <v>TEXAS COUNTY &amp; DISTRICT RET</v>
      </c>
    </row>
    <row r="2538" spans="1:8" x14ac:dyDescent="0.25">
      <c r="E2538" t="str">
        <f>""</f>
        <v/>
      </c>
      <c r="F2538" t="str">
        <f>""</f>
        <v/>
      </c>
      <c r="H2538" t="str">
        <f t="shared" si="53"/>
        <v>TEXAS COUNTY &amp; DISTRICT RET</v>
      </c>
    </row>
    <row r="2539" spans="1:8" x14ac:dyDescent="0.25">
      <c r="E2539" t="str">
        <f>""</f>
        <v/>
      </c>
      <c r="F2539" t="str">
        <f>""</f>
        <v/>
      </c>
      <c r="H2539" t="str">
        <f t="shared" si="53"/>
        <v>TEXAS COUNTY &amp; DISTRICT RET</v>
      </c>
    </row>
    <row r="2540" spans="1:8" x14ac:dyDescent="0.25">
      <c r="E2540" t="str">
        <f>""</f>
        <v/>
      </c>
      <c r="F2540" t="str">
        <f>""</f>
        <v/>
      </c>
      <c r="H2540" t="str">
        <f t="shared" si="53"/>
        <v>TEXAS COUNTY &amp; DISTRICT RET</v>
      </c>
    </row>
    <row r="2541" spans="1:8" x14ac:dyDescent="0.25">
      <c r="E2541" t="str">
        <f>""</f>
        <v/>
      </c>
      <c r="F2541" t="str">
        <f>""</f>
        <v/>
      </c>
      <c r="H2541" t="str">
        <f t="shared" si="53"/>
        <v>TEXAS COUNTY &amp; DISTRICT RET</v>
      </c>
    </row>
    <row r="2542" spans="1:8" x14ac:dyDescent="0.25">
      <c r="E2542" t="str">
        <f>""</f>
        <v/>
      </c>
      <c r="F2542" t="str">
        <f>""</f>
        <v/>
      </c>
      <c r="H2542" t="str">
        <f t="shared" si="53"/>
        <v>TEXAS COUNTY &amp; DISTRICT RET</v>
      </c>
    </row>
    <row r="2543" spans="1:8" x14ac:dyDescent="0.25">
      <c r="E2543" t="str">
        <f>""</f>
        <v/>
      </c>
      <c r="F2543" t="str">
        <f>""</f>
        <v/>
      </c>
      <c r="H2543" t="str">
        <f t="shared" si="53"/>
        <v>TEXAS COUNTY &amp; DISTRICT RET</v>
      </c>
    </row>
    <row r="2544" spans="1:8" x14ac:dyDescent="0.25">
      <c r="E2544" t="str">
        <f>""</f>
        <v/>
      </c>
      <c r="F2544" t="str">
        <f>""</f>
        <v/>
      </c>
      <c r="H2544" t="str">
        <f t="shared" si="53"/>
        <v>TEXAS COUNTY &amp; DISTRICT RET</v>
      </c>
    </row>
    <row r="2545" spans="5:8" x14ac:dyDescent="0.25">
      <c r="E2545" t="str">
        <f>""</f>
        <v/>
      </c>
      <c r="F2545" t="str">
        <f>""</f>
        <v/>
      </c>
      <c r="H2545" t="str">
        <f t="shared" si="53"/>
        <v>TEXAS COUNTY &amp; DISTRICT RET</v>
      </c>
    </row>
    <row r="2546" spans="5:8" x14ac:dyDescent="0.25">
      <c r="E2546" t="str">
        <f>""</f>
        <v/>
      </c>
      <c r="F2546" t="str">
        <f>""</f>
        <v/>
      </c>
      <c r="H2546" t="str">
        <f t="shared" si="53"/>
        <v>TEXAS COUNTY &amp; DISTRICT RET</v>
      </c>
    </row>
    <row r="2547" spans="5:8" x14ac:dyDescent="0.25">
      <c r="E2547" t="str">
        <f>""</f>
        <v/>
      </c>
      <c r="F2547" t="str">
        <f>""</f>
        <v/>
      </c>
      <c r="H2547" t="str">
        <f t="shared" si="53"/>
        <v>TEXAS COUNTY &amp; DISTRICT RET</v>
      </c>
    </row>
    <row r="2548" spans="5:8" x14ac:dyDescent="0.25">
      <c r="E2548" t="str">
        <f>""</f>
        <v/>
      </c>
      <c r="F2548" t="str">
        <f>""</f>
        <v/>
      </c>
      <c r="H2548" t="str">
        <f t="shared" si="53"/>
        <v>TEXAS COUNTY &amp; DISTRICT RET</v>
      </c>
    </row>
    <row r="2549" spans="5:8" x14ac:dyDescent="0.25">
      <c r="E2549" t="str">
        <f>""</f>
        <v/>
      </c>
      <c r="F2549" t="str">
        <f>""</f>
        <v/>
      </c>
      <c r="H2549" t="str">
        <f t="shared" si="53"/>
        <v>TEXAS COUNTY &amp; DISTRICT RET</v>
      </c>
    </row>
    <row r="2550" spans="5:8" x14ac:dyDescent="0.25">
      <c r="E2550" t="str">
        <f>""</f>
        <v/>
      </c>
      <c r="F2550" t="str">
        <f>""</f>
        <v/>
      </c>
      <c r="H2550" t="str">
        <f t="shared" si="53"/>
        <v>TEXAS COUNTY &amp; DISTRICT RET</v>
      </c>
    </row>
    <row r="2551" spans="5:8" x14ac:dyDescent="0.25">
      <c r="E2551" t="str">
        <f>""</f>
        <v/>
      </c>
      <c r="F2551" t="str">
        <f>""</f>
        <v/>
      </c>
      <c r="H2551" t="str">
        <f t="shared" si="53"/>
        <v>TEXAS COUNTY &amp; DISTRICT RET</v>
      </c>
    </row>
    <row r="2552" spans="5:8" x14ac:dyDescent="0.25">
      <c r="E2552" t="str">
        <f>""</f>
        <v/>
      </c>
      <c r="F2552" t="str">
        <f>""</f>
        <v/>
      </c>
      <c r="H2552" t="str">
        <f t="shared" si="53"/>
        <v>TEXAS COUNTY &amp; DISTRICT RET</v>
      </c>
    </row>
    <row r="2553" spans="5:8" x14ac:dyDescent="0.25">
      <c r="E2553" t="str">
        <f>""</f>
        <v/>
      </c>
      <c r="F2553" t="str">
        <f>""</f>
        <v/>
      </c>
      <c r="H2553" t="str">
        <f t="shared" si="53"/>
        <v>TEXAS COUNTY &amp; DISTRICT RET</v>
      </c>
    </row>
    <row r="2554" spans="5:8" x14ac:dyDescent="0.25">
      <c r="E2554" t="str">
        <f>""</f>
        <v/>
      </c>
      <c r="F2554" t="str">
        <f>""</f>
        <v/>
      </c>
      <c r="H2554" t="str">
        <f t="shared" si="53"/>
        <v>TEXAS COUNTY &amp; DISTRICT RET</v>
      </c>
    </row>
    <row r="2555" spans="5:8" x14ac:dyDescent="0.25">
      <c r="E2555" t="str">
        <f>""</f>
        <v/>
      </c>
      <c r="F2555" t="str">
        <f>""</f>
        <v/>
      </c>
      <c r="H2555" t="str">
        <f t="shared" si="53"/>
        <v>TEXAS COUNTY &amp; DISTRICT RET</v>
      </c>
    </row>
    <row r="2556" spans="5:8" x14ac:dyDescent="0.25">
      <c r="E2556" t="str">
        <f>""</f>
        <v/>
      </c>
      <c r="F2556" t="str">
        <f>""</f>
        <v/>
      </c>
      <c r="H2556" t="str">
        <f t="shared" si="53"/>
        <v>TEXAS COUNTY &amp; DISTRICT RET</v>
      </c>
    </row>
    <row r="2557" spans="5:8" x14ac:dyDescent="0.25">
      <c r="E2557" t="str">
        <f>""</f>
        <v/>
      </c>
      <c r="F2557" t="str">
        <f>""</f>
        <v/>
      </c>
      <c r="H2557" t="str">
        <f t="shared" si="53"/>
        <v>TEXAS COUNTY &amp; DISTRICT RET</v>
      </c>
    </row>
    <row r="2558" spans="5:8" x14ac:dyDescent="0.25">
      <c r="E2558" t="str">
        <f>""</f>
        <v/>
      </c>
      <c r="F2558" t="str">
        <f>""</f>
        <v/>
      </c>
      <c r="H2558" t="str">
        <f t="shared" si="53"/>
        <v>TEXAS COUNTY &amp; DISTRICT RET</v>
      </c>
    </row>
    <row r="2559" spans="5:8" x14ac:dyDescent="0.25">
      <c r="E2559" t="str">
        <f>""</f>
        <v/>
      </c>
      <c r="F2559" t="str">
        <f>""</f>
        <v/>
      </c>
      <c r="H2559" t="str">
        <f t="shared" si="53"/>
        <v>TEXAS COUNTY &amp; DISTRICT RET</v>
      </c>
    </row>
    <row r="2560" spans="5:8" x14ac:dyDescent="0.25">
      <c r="E2560" t="str">
        <f>""</f>
        <v/>
      </c>
      <c r="F2560" t="str">
        <f>""</f>
        <v/>
      </c>
      <c r="H2560" t="str">
        <f t="shared" si="53"/>
        <v>TEXAS COUNTY &amp; DISTRICT RET</v>
      </c>
    </row>
    <row r="2561" spans="5:8" x14ac:dyDescent="0.25">
      <c r="E2561" t="str">
        <f>""</f>
        <v/>
      </c>
      <c r="F2561" t="str">
        <f>""</f>
        <v/>
      </c>
      <c r="H2561" t="str">
        <f t="shared" si="53"/>
        <v>TEXAS COUNTY &amp; DISTRICT RET</v>
      </c>
    </row>
    <row r="2562" spans="5:8" x14ac:dyDescent="0.25">
      <c r="E2562" t="str">
        <f>""</f>
        <v/>
      </c>
      <c r="F2562" t="str">
        <f>""</f>
        <v/>
      </c>
      <c r="H2562" t="str">
        <f t="shared" si="53"/>
        <v>TEXAS COUNTY &amp; DISTRICT RET</v>
      </c>
    </row>
    <row r="2563" spans="5:8" x14ac:dyDescent="0.25">
      <c r="E2563" t="str">
        <f>""</f>
        <v/>
      </c>
      <c r="F2563" t="str">
        <f>""</f>
        <v/>
      </c>
      <c r="H2563" t="str">
        <f t="shared" si="53"/>
        <v>TEXAS COUNTY &amp; DISTRICT RET</v>
      </c>
    </row>
    <row r="2564" spans="5:8" x14ac:dyDescent="0.25">
      <c r="E2564" t="str">
        <f>""</f>
        <v/>
      </c>
      <c r="F2564" t="str">
        <f>""</f>
        <v/>
      </c>
      <c r="H2564" t="str">
        <f t="shared" si="53"/>
        <v>TEXAS COUNTY &amp; DISTRICT RET</v>
      </c>
    </row>
    <row r="2565" spans="5:8" x14ac:dyDescent="0.25">
      <c r="E2565" t="str">
        <f>""</f>
        <v/>
      </c>
      <c r="F2565" t="str">
        <f>""</f>
        <v/>
      </c>
      <c r="H2565" t="str">
        <f t="shared" ref="H2565:H2583" si="54">"TEXAS COUNTY &amp; DISTRICT RET"</f>
        <v>TEXAS COUNTY &amp; DISTRICT RET</v>
      </c>
    </row>
    <row r="2566" spans="5:8" x14ac:dyDescent="0.25">
      <c r="E2566" t="str">
        <f>""</f>
        <v/>
      </c>
      <c r="F2566" t="str">
        <f>""</f>
        <v/>
      </c>
      <c r="H2566" t="str">
        <f t="shared" si="54"/>
        <v>TEXAS COUNTY &amp; DISTRICT RET</v>
      </c>
    </row>
    <row r="2567" spans="5:8" x14ac:dyDescent="0.25">
      <c r="E2567" t="str">
        <f>""</f>
        <v/>
      </c>
      <c r="F2567" t="str">
        <f>""</f>
        <v/>
      </c>
      <c r="H2567" t="str">
        <f t="shared" si="54"/>
        <v>TEXAS COUNTY &amp; DISTRICT RET</v>
      </c>
    </row>
    <row r="2568" spans="5:8" x14ac:dyDescent="0.25">
      <c r="E2568" t="str">
        <f>""</f>
        <v/>
      </c>
      <c r="F2568" t="str">
        <f>""</f>
        <v/>
      </c>
      <c r="H2568" t="str">
        <f t="shared" si="54"/>
        <v>TEXAS COUNTY &amp; DISTRICT RET</v>
      </c>
    </row>
    <row r="2569" spans="5:8" x14ac:dyDescent="0.25">
      <c r="E2569" t="str">
        <f>""</f>
        <v/>
      </c>
      <c r="F2569" t="str">
        <f>""</f>
        <v/>
      </c>
      <c r="H2569" t="str">
        <f t="shared" si="54"/>
        <v>TEXAS COUNTY &amp; DISTRICT RET</v>
      </c>
    </row>
    <row r="2570" spans="5:8" x14ac:dyDescent="0.25">
      <c r="E2570" t="str">
        <f>""</f>
        <v/>
      </c>
      <c r="F2570" t="str">
        <f>""</f>
        <v/>
      </c>
      <c r="H2570" t="str">
        <f t="shared" si="54"/>
        <v>TEXAS COUNTY &amp; DISTRICT RET</v>
      </c>
    </row>
    <row r="2571" spans="5:8" x14ac:dyDescent="0.25">
      <c r="E2571" t="str">
        <f>""</f>
        <v/>
      </c>
      <c r="F2571" t="str">
        <f>""</f>
        <v/>
      </c>
      <c r="H2571" t="str">
        <f t="shared" si="54"/>
        <v>TEXAS COUNTY &amp; DISTRICT RET</v>
      </c>
    </row>
    <row r="2572" spans="5:8" x14ac:dyDescent="0.25">
      <c r="E2572" t="str">
        <f>""</f>
        <v/>
      </c>
      <c r="F2572" t="str">
        <f>""</f>
        <v/>
      </c>
      <c r="H2572" t="str">
        <f t="shared" si="54"/>
        <v>TEXAS COUNTY &amp; DISTRICT RET</v>
      </c>
    </row>
    <row r="2573" spans="5:8" x14ac:dyDescent="0.25">
      <c r="E2573" t="str">
        <f>""</f>
        <v/>
      </c>
      <c r="F2573" t="str">
        <f>""</f>
        <v/>
      </c>
      <c r="H2573" t="str">
        <f t="shared" si="54"/>
        <v>TEXAS COUNTY &amp; DISTRICT RET</v>
      </c>
    </row>
    <row r="2574" spans="5:8" x14ac:dyDescent="0.25">
      <c r="E2574" t="str">
        <f>""</f>
        <v/>
      </c>
      <c r="F2574" t="str">
        <f>""</f>
        <v/>
      </c>
      <c r="H2574" t="str">
        <f t="shared" si="54"/>
        <v>TEXAS COUNTY &amp; DISTRICT RET</v>
      </c>
    </row>
    <row r="2575" spans="5:8" x14ac:dyDescent="0.25">
      <c r="E2575" t="str">
        <f>""</f>
        <v/>
      </c>
      <c r="F2575" t="str">
        <f>""</f>
        <v/>
      </c>
      <c r="H2575" t="str">
        <f t="shared" si="54"/>
        <v>TEXAS COUNTY &amp; DISTRICT RET</v>
      </c>
    </row>
    <row r="2576" spans="5:8" x14ac:dyDescent="0.25">
      <c r="E2576" t="str">
        <f>""</f>
        <v/>
      </c>
      <c r="F2576" t="str">
        <f>""</f>
        <v/>
      </c>
      <c r="H2576" t="str">
        <f t="shared" si="54"/>
        <v>TEXAS COUNTY &amp; DISTRICT RET</v>
      </c>
    </row>
    <row r="2577" spans="5:8" x14ac:dyDescent="0.25">
      <c r="E2577" t="str">
        <f>""</f>
        <v/>
      </c>
      <c r="F2577" t="str">
        <f>""</f>
        <v/>
      </c>
      <c r="H2577" t="str">
        <f t="shared" si="54"/>
        <v>TEXAS COUNTY &amp; DISTRICT RET</v>
      </c>
    </row>
    <row r="2578" spans="5:8" x14ac:dyDescent="0.25">
      <c r="E2578" t="str">
        <f>""</f>
        <v/>
      </c>
      <c r="F2578" t="str">
        <f>""</f>
        <v/>
      </c>
      <c r="H2578" t="str">
        <f t="shared" si="54"/>
        <v>TEXAS COUNTY &amp; DISTRICT RET</v>
      </c>
    </row>
    <row r="2579" spans="5:8" x14ac:dyDescent="0.25">
      <c r="E2579" t="str">
        <f>""</f>
        <v/>
      </c>
      <c r="F2579" t="str">
        <f>""</f>
        <v/>
      </c>
      <c r="H2579" t="str">
        <f t="shared" si="54"/>
        <v>TEXAS COUNTY &amp; DISTRICT RET</v>
      </c>
    </row>
    <row r="2580" spans="5:8" x14ac:dyDescent="0.25">
      <c r="E2580" t="str">
        <f>""</f>
        <v/>
      </c>
      <c r="F2580" t="str">
        <f>""</f>
        <v/>
      </c>
      <c r="H2580" t="str">
        <f t="shared" si="54"/>
        <v>TEXAS COUNTY &amp; DISTRICT RET</v>
      </c>
    </row>
    <row r="2581" spans="5:8" x14ac:dyDescent="0.25">
      <c r="E2581" t="str">
        <f>""</f>
        <v/>
      </c>
      <c r="F2581" t="str">
        <f>""</f>
        <v/>
      </c>
      <c r="H2581" t="str">
        <f t="shared" si="54"/>
        <v>TEXAS COUNTY &amp; DISTRICT RET</v>
      </c>
    </row>
    <row r="2582" spans="5:8" x14ac:dyDescent="0.25">
      <c r="E2582" t="str">
        <f>""</f>
        <v/>
      </c>
      <c r="F2582" t="str">
        <f>""</f>
        <v/>
      </c>
      <c r="H2582" t="str">
        <f t="shared" si="54"/>
        <v>TEXAS COUNTY &amp; DISTRICT RET</v>
      </c>
    </row>
    <row r="2583" spans="5:8" x14ac:dyDescent="0.25">
      <c r="E2583" t="str">
        <f>""</f>
        <v/>
      </c>
      <c r="F2583" t="str">
        <f>""</f>
        <v/>
      </c>
      <c r="H2583" t="str">
        <f t="shared" si="54"/>
        <v>TEXAS COUNTY &amp; DISTRICT RET</v>
      </c>
    </row>
    <row r="2584" spans="5:8" x14ac:dyDescent="0.25">
      <c r="E2584" t="str">
        <f>"RET201904038356"</f>
        <v>RET201904038356</v>
      </c>
      <c r="F2584" t="str">
        <f>"TEXAS COUNTY  DISTRICT RET"</f>
        <v>TEXAS COUNTY  DISTRICT RET</v>
      </c>
      <c r="G2584" s="2">
        <v>5786.77</v>
      </c>
      <c r="H2584" t="str">
        <f>"TEXAS COUNTY  DISTRICT RET"</f>
        <v>TEXAS COUNTY  DISTRICT RET</v>
      </c>
    </row>
    <row r="2585" spans="5:8" x14ac:dyDescent="0.25">
      <c r="E2585" t="str">
        <f>""</f>
        <v/>
      </c>
      <c r="F2585" t="str">
        <f>""</f>
        <v/>
      </c>
      <c r="H2585" t="str">
        <f>"TEXAS COUNTY  DISTRICT RET"</f>
        <v>TEXAS COUNTY  DISTRICT RET</v>
      </c>
    </row>
    <row r="2586" spans="5:8" x14ac:dyDescent="0.25">
      <c r="E2586" t="str">
        <f>"RET201904038357"</f>
        <v>RET201904038357</v>
      </c>
      <c r="F2586" t="str">
        <f>"TEXAS COUNTY &amp; DISTRICT RET"</f>
        <v>TEXAS COUNTY &amp; DISTRICT RET</v>
      </c>
      <c r="G2586" s="2">
        <v>7942.66</v>
      </c>
      <c r="H2586" t="str">
        <f t="shared" ref="H2586:H2617" si="55">"TEXAS COUNTY &amp; DISTRICT RET"</f>
        <v>TEXAS COUNTY &amp; DISTRICT RET</v>
      </c>
    </row>
    <row r="2587" spans="5:8" x14ac:dyDescent="0.25">
      <c r="E2587" t="str">
        <f>""</f>
        <v/>
      </c>
      <c r="F2587" t="str">
        <f>""</f>
        <v/>
      </c>
      <c r="H2587" t="str">
        <f t="shared" si="55"/>
        <v>TEXAS COUNTY &amp; DISTRICT RET</v>
      </c>
    </row>
    <row r="2588" spans="5:8" x14ac:dyDescent="0.25">
      <c r="E2588" t="str">
        <f>"RET201904168721"</f>
        <v>RET201904168721</v>
      </c>
      <c r="F2588" t="str">
        <f>"TEXAS COUNTY &amp; DISTRICT RET"</f>
        <v>TEXAS COUNTY &amp; DISTRICT RET</v>
      </c>
      <c r="G2588" s="2">
        <v>155216.9</v>
      </c>
      <c r="H2588" t="str">
        <f t="shared" si="55"/>
        <v>TEXAS COUNTY &amp; DISTRICT RET</v>
      </c>
    </row>
    <row r="2589" spans="5:8" x14ac:dyDescent="0.25">
      <c r="E2589" t="str">
        <f>""</f>
        <v/>
      </c>
      <c r="F2589" t="str">
        <f>""</f>
        <v/>
      </c>
      <c r="H2589" t="str">
        <f t="shared" si="55"/>
        <v>TEXAS COUNTY &amp; DISTRICT RET</v>
      </c>
    </row>
    <row r="2590" spans="5:8" x14ac:dyDescent="0.25">
      <c r="E2590" t="str">
        <f>""</f>
        <v/>
      </c>
      <c r="F2590" t="str">
        <f>""</f>
        <v/>
      </c>
      <c r="H2590" t="str">
        <f t="shared" si="55"/>
        <v>TEXAS COUNTY &amp; DISTRICT RET</v>
      </c>
    </row>
    <row r="2591" spans="5:8" x14ac:dyDescent="0.25">
      <c r="E2591" t="str">
        <f>""</f>
        <v/>
      </c>
      <c r="F2591" t="str">
        <f>""</f>
        <v/>
      </c>
      <c r="H2591" t="str">
        <f t="shared" si="55"/>
        <v>TEXAS COUNTY &amp; DISTRICT RET</v>
      </c>
    </row>
    <row r="2592" spans="5:8" x14ac:dyDescent="0.25">
      <c r="E2592" t="str">
        <f>""</f>
        <v/>
      </c>
      <c r="F2592" t="str">
        <f>""</f>
        <v/>
      </c>
      <c r="H2592" t="str">
        <f t="shared" si="55"/>
        <v>TEXAS COUNTY &amp; DISTRICT RET</v>
      </c>
    </row>
    <row r="2593" spans="5:8" x14ac:dyDescent="0.25">
      <c r="E2593" t="str">
        <f>""</f>
        <v/>
      </c>
      <c r="F2593" t="str">
        <f>""</f>
        <v/>
      </c>
      <c r="H2593" t="str">
        <f t="shared" si="55"/>
        <v>TEXAS COUNTY &amp; DISTRICT RET</v>
      </c>
    </row>
    <row r="2594" spans="5:8" x14ac:dyDescent="0.25">
      <c r="E2594" t="str">
        <f>""</f>
        <v/>
      </c>
      <c r="F2594" t="str">
        <f>""</f>
        <v/>
      </c>
      <c r="H2594" t="str">
        <f t="shared" si="55"/>
        <v>TEXAS COUNTY &amp; DISTRICT RET</v>
      </c>
    </row>
    <row r="2595" spans="5:8" x14ac:dyDescent="0.25">
      <c r="E2595" t="str">
        <f>""</f>
        <v/>
      </c>
      <c r="F2595" t="str">
        <f>""</f>
        <v/>
      </c>
      <c r="H2595" t="str">
        <f t="shared" si="55"/>
        <v>TEXAS COUNTY &amp; DISTRICT RET</v>
      </c>
    </row>
    <row r="2596" spans="5:8" x14ac:dyDescent="0.25">
      <c r="E2596" t="str">
        <f>""</f>
        <v/>
      </c>
      <c r="F2596" t="str">
        <f>""</f>
        <v/>
      </c>
      <c r="H2596" t="str">
        <f t="shared" si="55"/>
        <v>TEXAS COUNTY &amp; DISTRICT RET</v>
      </c>
    </row>
    <row r="2597" spans="5:8" x14ac:dyDescent="0.25">
      <c r="E2597" t="str">
        <f>""</f>
        <v/>
      </c>
      <c r="F2597" t="str">
        <f>""</f>
        <v/>
      </c>
      <c r="H2597" t="str">
        <f t="shared" si="55"/>
        <v>TEXAS COUNTY &amp; DISTRICT RET</v>
      </c>
    </row>
    <row r="2598" spans="5:8" x14ac:dyDescent="0.25">
      <c r="E2598" t="str">
        <f>""</f>
        <v/>
      </c>
      <c r="F2598" t="str">
        <f>""</f>
        <v/>
      </c>
      <c r="H2598" t="str">
        <f t="shared" si="55"/>
        <v>TEXAS COUNTY &amp; DISTRICT RET</v>
      </c>
    </row>
    <row r="2599" spans="5:8" x14ac:dyDescent="0.25">
      <c r="E2599" t="str">
        <f>""</f>
        <v/>
      </c>
      <c r="F2599" t="str">
        <f>""</f>
        <v/>
      </c>
      <c r="H2599" t="str">
        <f t="shared" si="55"/>
        <v>TEXAS COUNTY &amp; DISTRICT RET</v>
      </c>
    </row>
    <row r="2600" spans="5:8" x14ac:dyDescent="0.25">
      <c r="E2600" t="str">
        <f>""</f>
        <v/>
      </c>
      <c r="F2600" t="str">
        <f>""</f>
        <v/>
      </c>
      <c r="H2600" t="str">
        <f t="shared" si="55"/>
        <v>TEXAS COUNTY &amp; DISTRICT RET</v>
      </c>
    </row>
    <row r="2601" spans="5:8" x14ac:dyDescent="0.25">
      <c r="E2601" t="str">
        <f>""</f>
        <v/>
      </c>
      <c r="F2601" t="str">
        <f>""</f>
        <v/>
      </c>
      <c r="H2601" t="str">
        <f t="shared" si="55"/>
        <v>TEXAS COUNTY &amp; DISTRICT RET</v>
      </c>
    </row>
    <row r="2602" spans="5:8" x14ac:dyDescent="0.25">
      <c r="E2602" t="str">
        <f>""</f>
        <v/>
      </c>
      <c r="F2602" t="str">
        <f>""</f>
        <v/>
      </c>
      <c r="H2602" t="str">
        <f t="shared" si="55"/>
        <v>TEXAS COUNTY &amp; DISTRICT RET</v>
      </c>
    </row>
    <row r="2603" spans="5:8" x14ac:dyDescent="0.25">
      <c r="E2603" t="str">
        <f>""</f>
        <v/>
      </c>
      <c r="F2603" t="str">
        <f>""</f>
        <v/>
      </c>
      <c r="H2603" t="str">
        <f t="shared" si="55"/>
        <v>TEXAS COUNTY &amp; DISTRICT RET</v>
      </c>
    </row>
    <row r="2604" spans="5:8" x14ac:dyDescent="0.25">
      <c r="E2604" t="str">
        <f>""</f>
        <v/>
      </c>
      <c r="F2604" t="str">
        <f>""</f>
        <v/>
      </c>
      <c r="H2604" t="str">
        <f t="shared" si="55"/>
        <v>TEXAS COUNTY &amp; DISTRICT RET</v>
      </c>
    </row>
    <row r="2605" spans="5:8" x14ac:dyDescent="0.25">
      <c r="E2605" t="str">
        <f>""</f>
        <v/>
      </c>
      <c r="F2605" t="str">
        <f>""</f>
        <v/>
      </c>
      <c r="H2605" t="str">
        <f t="shared" si="55"/>
        <v>TEXAS COUNTY &amp; DISTRICT RET</v>
      </c>
    </row>
    <row r="2606" spans="5:8" x14ac:dyDescent="0.25">
      <c r="E2606" t="str">
        <f>""</f>
        <v/>
      </c>
      <c r="F2606" t="str">
        <f>""</f>
        <v/>
      </c>
      <c r="H2606" t="str">
        <f t="shared" si="55"/>
        <v>TEXAS COUNTY &amp; DISTRICT RET</v>
      </c>
    </row>
    <row r="2607" spans="5:8" x14ac:dyDescent="0.25">
      <c r="E2607" t="str">
        <f>""</f>
        <v/>
      </c>
      <c r="F2607" t="str">
        <f>""</f>
        <v/>
      </c>
      <c r="H2607" t="str">
        <f t="shared" si="55"/>
        <v>TEXAS COUNTY &amp; DISTRICT RET</v>
      </c>
    </row>
    <row r="2608" spans="5:8" x14ac:dyDescent="0.25">
      <c r="E2608" t="str">
        <f>""</f>
        <v/>
      </c>
      <c r="F2608" t="str">
        <f>""</f>
        <v/>
      </c>
      <c r="H2608" t="str">
        <f t="shared" si="55"/>
        <v>TEXAS COUNTY &amp; DISTRICT RET</v>
      </c>
    </row>
    <row r="2609" spans="5:8" x14ac:dyDescent="0.25">
      <c r="E2609" t="str">
        <f>""</f>
        <v/>
      </c>
      <c r="F2609" t="str">
        <f>""</f>
        <v/>
      </c>
      <c r="H2609" t="str">
        <f t="shared" si="55"/>
        <v>TEXAS COUNTY &amp; DISTRICT RET</v>
      </c>
    </row>
    <row r="2610" spans="5:8" x14ac:dyDescent="0.25">
      <c r="E2610" t="str">
        <f>""</f>
        <v/>
      </c>
      <c r="F2610" t="str">
        <f>""</f>
        <v/>
      </c>
      <c r="H2610" t="str">
        <f t="shared" si="55"/>
        <v>TEXAS COUNTY &amp; DISTRICT RET</v>
      </c>
    </row>
    <row r="2611" spans="5:8" x14ac:dyDescent="0.25">
      <c r="E2611" t="str">
        <f>""</f>
        <v/>
      </c>
      <c r="F2611" t="str">
        <f>""</f>
        <v/>
      </c>
      <c r="H2611" t="str">
        <f t="shared" si="55"/>
        <v>TEXAS COUNTY &amp; DISTRICT RET</v>
      </c>
    </row>
    <row r="2612" spans="5:8" x14ac:dyDescent="0.25">
      <c r="E2612" t="str">
        <f>""</f>
        <v/>
      </c>
      <c r="F2612" t="str">
        <f>""</f>
        <v/>
      </c>
      <c r="H2612" t="str">
        <f t="shared" si="55"/>
        <v>TEXAS COUNTY &amp; DISTRICT RET</v>
      </c>
    </row>
    <row r="2613" spans="5:8" x14ac:dyDescent="0.25">
      <c r="E2613" t="str">
        <f>""</f>
        <v/>
      </c>
      <c r="F2613" t="str">
        <f>""</f>
        <v/>
      </c>
      <c r="H2613" t="str">
        <f t="shared" si="55"/>
        <v>TEXAS COUNTY &amp; DISTRICT RET</v>
      </c>
    </row>
    <row r="2614" spans="5:8" x14ac:dyDescent="0.25">
      <c r="E2614" t="str">
        <f>""</f>
        <v/>
      </c>
      <c r="F2614" t="str">
        <f>""</f>
        <v/>
      </c>
      <c r="H2614" t="str">
        <f t="shared" si="55"/>
        <v>TEXAS COUNTY &amp; DISTRICT RET</v>
      </c>
    </row>
    <row r="2615" spans="5:8" x14ac:dyDescent="0.25">
      <c r="E2615" t="str">
        <f>""</f>
        <v/>
      </c>
      <c r="F2615" t="str">
        <f>""</f>
        <v/>
      </c>
      <c r="H2615" t="str">
        <f t="shared" si="55"/>
        <v>TEXAS COUNTY &amp; DISTRICT RET</v>
      </c>
    </row>
    <row r="2616" spans="5:8" x14ac:dyDescent="0.25">
      <c r="E2616" t="str">
        <f>""</f>
        <v/>
      </c>
      <c r="F2616" t="str">
        <f>""</f>
        <v/>
      </c>
      <c r="H2616" t="str">
        <f t="shared" si="55"/>
        <v>TEXAS COUNTY &amp; DISTRICT RET</v>
      </c>
    </row>
    <row r="2617" spans="5:8" x14ac:dyDescent="0.25">
      <c r="E2617" t="str">
        <f>""</f>
        <v/>
      </c>
      <c r="F2617" t="str">
        <f>""</f>
        <v/>
      </c>
      <c r="H2617" t="str">
        <f t="shared" si="55"/>
        <v>TEXAS COUNTY &amp; DISTRICT RET</v>
      </c>
    </row>
    <row r="2618" spans="5:8" x14ac:dyDescent="0.25">
      <c r="E2618" t="str">
        <f>""</f>
        <v/>
      </c>
      <c r="F2618" t="str">
        <f>""</f>
        <v/>
      </c>
      <c r="H2618" t="str">
        <f t="shared" ref="H2618:H2637" si="56">"TEXAS COUNTY &amp; DISTRICT RET"</f>
        <v>TEXAS COUNTY &amp; DISTRICT RET</v>
      </c>
    </row>
    <row r="2619" spans="5:8" x14ac:dyDescent="0.25">
      <c r="E2619" t="str">
        <f>""</f>
        <v/>
      </c>
      <c r="F2619" t="str">
        <f>""</f>
        <v/>
      </c>
      <c r="H2619" t="str">
        <f t="shared" si="56"/>
        <v>TEXAS COUNTY &amp; DISTRICT RET</v>
      </c>
    </row>
    <row r="2620" spans="5:8" x14ac:dyDescent="0.25">
      <c r="E2620" t="str">
        <f>""</f>
        <v/>
      </c>
      <c r="F2620" t="str">
        <f>""</f>
        <v/>
      </c>
      <c r="H2620" t="str">
        <f t="shared" si="56"/>
        <v>TEXAS COUNTY &amp; DISTRICT RET</v>
      </c>
    </row>
    <row r="2621" spans="5:8" x14ac:dyDescent="0.25">
      <c r="E2621" t="str">
        <f>""</f>
        <v/>
      </c>
      <c r="F2621" t="str">
        <f>""</f>
        <v/>
      </c>
      <c r="H2621" t="str">
        <f t="shared" si="56"/>
        <v>TEXAS COUNTY &amp; DISTRICT RET</v>
      </c>
    </row>
    <row r="2622" spans="5:8" x14ac:dyDescent="0.25">
      <c r="E2622" t="str">
        <f>""</f>
        <v/>
      </c>
      <c r="F2622" t="str">
        <f>""</f>
        <v/>
      </c>
      <c r="H2622" t="str">
        <f t="shared" si="56"/>
        <v>TEXAS COUNTY &amp; DISTRICT RET</v>
      </c>
    </row>
    <row r="2623" spans="5:8" x14ac:dyDescent="0.25">
      <c r="E2623" t="str">
        <f>""</f>
        <v/>
      </c>
      <c r="F2623" t="str">
        <f>""</f>
        <v/>
      </c>
      <c r="H2623" t="str">
        <f t="shared" si="56"/>
        <v>TEXAS COUNTY &amp; DISTRICT RET</v>
      </c>
    </row>
    <row r="2624" spans="5:8" x14ac:dyDescent="0.25">
      <c r="E2624" t="str">
        <f>""</f>
        <v/>
      </c>
      <c r="F2624" t="str">
        <f>""</f>
        <v/>
      </c>
      <c r="H2624" t="str">
        <f t="shared" si="56"/>
        <v>TEXAS COUNTY &amp; DISTRICT RET</v>
      </c>
    </row>
    <row r="2625" spans="5:8" x14ac:dyDescent="0.25">
      <c r="E2625" t="str">
        <f>""</f>
        <v/>
      </c>
      <c r="F2625" t="str">
        <f>""</f>
        <v/>
      </c>
      <c r="H2625" t="str">
        <f t="shared" si="56"/>
        <v>TEXAS COUNTY &amp; DISTRICT RET</v>
      </c>
    </row>
    <row r="2626" spans="5:8" x14ac:dyDescent="0.25">
      <c r="E2626" t="str">
        <f>""</f>
        <v/>
      </c>
      <c r="F2626" t="str">
        <f>""</f>
        <v/>
      </c>
      <c r="H2626" t="str">
        <f t="shared" si="56"/>
        <v>TEXAS COUNTY &amp; DISTRICT RET</v>
      </c>
    </row>
    <row r="2627" spans="5:8" x14ac:dyDescent="0.25">
      <c r="E2627" t="str">
        <f>""</f>
        <v/>
      </c>
      <c r="F2627" t="str">
        <f>""</f>
        <v/>
      </c>
      <c r="H2627" t="str">
        <f t="shared" si="56"/>
        <v>TEXAS COUNTY &amp; DISTRICT RET</v>
      </c>
    </row>
    <row r="2628" spans="5:8" x14ac:dyDescent="0.25">
      <c r="E2628" t="str">
        <f>""</f>
        <v/>
      </c>
      <c r="F2628" t="str">
        <f>""</f>
        <v/>
      </c>
      <c r="H2628" t="str">
        <f t="shared" si="56"/>
        <v>TEXAS COUNTY &amp; DISTRICT RET</v>
      </c>
    </row>
    <row r="2629" spans="5:8" x14ac:dyDescent="0.25">
      <c r="E2629" t="str">
        <f>""</f>
        <v/>
      </c>
      <c r="F2629" t="str">
        <f>""</f>
        <v/>
      </c>
      <c r="H2629" t="str">
        <f t="shared" si="56"/>
        <v>TEXAS COUNTY &amp; DISTRICT RET</v>
      </c>
    </row>
    <row r="2630" spans="5:8" x14ac:dyDescent="0.25">
      <c r="E2630" t="str">
        <f>""</f>
        <v/>
      </c>
      <c r="F2630" t="str">
        <f>""</f>
        <v/>
      </c>
      <c r="H2630" t="str">
        <f t="shared" si="56"/>
        <v>TEXAS COUNTY &amp; DISTRICT RET</v>
      </c>
    </row>
    <row r="2631" spans="5:8" x14ac:dyDescent="0.25">
      <c r="E2631" t="str">
        <f>""</f>
        <v/>
      </c>
      <c r="F2631" t="str">
        <f>""</f>
        <v/>
      </c>
      <c r="H2631" t="str">
        <f t="shared" si="56"/>
        <v>TEXAS COUNTY &amp; DISTRICT RET</v>
      </c>
    </row>
    <row r="2632" spans="5:8" x14ac:dyDescent="0.25">
      <c r="E2632" t="str">
        <f>""</f>
        <v/>
      </c>
      <c r="F2632" t="str">
        <f>""</f>
        <v/>
      </c>
      <c r="H2632" t="str">
        <f t="shared" si="56"/>
        <v>TEXAS COUNTY &amp; DISTRICT RET</v>
      </c>
    </row>
    <row r="2633" spans="5:8" x14ac:dyDescent="0.25">
      <c r="E2633" t="str">
        <f>""</f>
        <v/>
      </c>
      <c r="F2633" t="str">
        <f>""</f>
        <v/>
      </c>
      <c r="H2633" t="str">
        <f t="shared" si="56"/>
        <v>TEXAS COUNTY &amp; DISTRICT RET</v>
      </c>
    </row>
    <row r="2634" spans="5:8" x14ac:dyDescent="0.25">
      <c r="E2634" t="str">
        <f>""</f>
        <v/>
      </c>
      <c r="F2634" t="str">
        <f>""</f>
        <v/>
      </c>
      <c r="H2634" t="str">
        <f t="shared" si="56"/>
        <v>TEXAS COUNTY &amp; DISTRICT RET</v>
      </c>
    </row>
    <row r="2635" spans="5:8" x14ac:dyDescent="0.25">
      <c r="E2635" t="str">
        <f>""</f>
        <v/>
      </c>
      <c r="F2635" t="str">
        <f>""</f>
        <v/>
      </c>
      <c r="H2635" t="str">
        <f t="shared" si="56"/>
        <v>TEXAS COUNTY &amp; DISTRICT RET</v>
      </c>
    </row>
    <row r="2636" spans="5:8" x14ac:dyDescent="0.25">
      <c r="E2636" t="str">
        <f>""</f>
        <v/>
      </c>
      <c r="F2636" t="str">
        <f>""</f>
        <v/>
      </c>
      <c r="H2636" t="str">
        <f t="shared" si="56"/>
        <v>TEXAS COUNTY &amp; DISTRICT RET</v>
      </c>
    </row>
    <row r="2637" spans="5:8" x14ac:dyDescent="0.25">
      <c r="E2637" t="str">
        <f>""</f>
        <v/>
      </c>
      <c r="F2637" t="str">
        <f>""</f>
        <v/>
      </c>
      <c r="H2637" t="str">
        <f t="shared" si="56"/>
        <v>TEXAS COUNTY &amp; DISTRICT RET</v>
      </c>
    </row>
    <row r="2638" spans="5:8" x14ac:dyDescent="0.25">
      <c r="E2638" t="str">
        <f>"RET201904168722"</f>
        <v>RET201904168722</v>
      </c>
      <c r="F2638" t="str">
        <f>"TEXAS COUNTY  DISTRICT RET"</f>
        <v>TEXAS COUNTY  DISTRICT RET</v>
      </c>
      <c r="G2638" s="2">
        <v>5848.21</v>
      </c>
      <c r="H2638" t="str">
        <f>"TEXAS COUNTY  DISTRICT RET"</f>
        <v>TEXAS COUNTY  DISTRICT RET</v>
      </c>
    </row>
    <row r="2639" spans="5:8" x14ac:dyDescent="0.25">
      <c r="E2639" t="str">
        <f>""</f>
        <v/>
      </c>
      <c r="F2639" t="str">
        <f>""</f>
        <v/>
      </c>
      <c r="H2639" t="str">
        <f>"TEXAS COUNTY  DISTRICT RET"</f>
        <v>TEXAS COUNTY  DISTRICT RET</v>
      </c>
    </row>
    <row r="2640" spans="5:8" x14ac:dyDescent="0.25">
      <c r="E2640" t="str">
        <f>"RET201904168723"</f>
        <v>RET201904168723</v>
      </c>
      <c r="F2640" t="str">
        <f>"TEXAS COUNTY &amp; DISTRICT RET"</f>
        <v>TEXAS COUNTY &amp; DISTRICT RET</v>
      </c>
      <c r="G2640" s="2">
        <v>7486.31</v>
      </c>
      <c r="H2640" t="str">
        <f>"TEXAS COUNTY &amp; DISTRICT RET"</f>
        <v>TEXAS COUNTY &amp; DISTRICT RET</v>
      </c>
    </row>
    <row r="2641" spans="1:8" x14ac:dyDescent="0.25">
      <c r="E2641" t="str">
        <f>""</f>
        <v/>
      </c>
      <c r="F2641" t="str">
        <f>""</f>
        <v/>
      </c>
      <c r="H2641" t="str">
        <f>"TEXAS COUNTY &amp; DISTRICT RET"</f>
        <v>TEXAS COUNTY &amp; DISTRICT RET</v>
      </c>
    </row>
    <row r="2642" spans="1:8" x14ac:dyDescent="0.25">
      <c r="A2642" t="s">
        <v>428</v>
      </c>
      <c r="B2642" s="3">
        <v>47411</v>
      </c>
      <c r="C2642" s="2">
        <v>1290</v>
      </c>
      <c r="D2642" s="1">
        <v>43580</v>
      </c>
      <c r="E2642" t="str">
        <f>"201904228729"</f>
        <v>201904228729</v>
      </c>
      <c r="F2642" t="str">
        <f>"DANETTE PEREZ ADJUSTMENT"</f>
        <v>DANETTE PEREZ ADJUSTMENT</v>
      </c>
      <c r="G2642" s="2">
        <v>10</v>
      </c>
      <c r="H2642" t="str">
        <f>"DANETTE PEREZ ADJUSTMENT"</f>
        <v>DANETTE PEREZ ADJUSTMENT</v>
      </c>
    </row>
    <row r="2643" spans="1:8" x14ac:dyDescent="0.25">
      <c r="E2643" t="str">
        <f>"LEG201904038355"</f>
        <v>LEG201904038355</v>
      </c>
      <c r="F2643" t="str">
        <f>"TEXAS LEGAL PROTECTION PLAN"</f>
        <v>TEXAS LEGAL PROTECTION PLAN</v>
      </c>
      <c r="G2643" s="2">
        <v>645</v>
      </c>
      <c r="H2643" t="str">
        <f>"TEXAS LEGAL PROTECTION PLAN"</f>
        <v>TEXAS LEGAL PROTECTION PLAN</v>
      </c>
    </row>
    <row r="2644" spans="1:8" x14ac:dyDescent="0.25">
      <c r="E2644" t="str">
        <f>"LEG201904168721"</f>
        <v>LEG201904168721</v>
      </c>
      <c r="F2644" t="str">
        <f>"TEXAS LEGAL PROTECTION PLAN"</f>
        <v>TEXAS LEGAL PROTECTION PLAN</v>
      </c>
      <c r="G2644" s="2">
        <v>635</v>
      </c>
      <c r="H2644" t="str">
        <f>"TEXAS LEGAL PROTECTION PLAN"</f>
        <v>TEXAS LEGAL PROTECTION PLAN</v>
      </c>
    </row>
    <row r="2645" spans="1:8" x14ac:dyDescent="0.25">
      <c r="A2645" t="s">
        <v>429</v>
      </c>
      <c r="B2645" s="3">
        <v>47385</v>
      </c>
      <c r="C2645" s="2">
        <v>227.43</v>
      </c>
      <c r="D2645" s="1">
        <v>43560</v>
      </c>
      <c r="E2645" t="str">
        <f>"SL 201904038355"</f>
        <v>SL 201904038355</v>
      </c>
      <c r="F2645" t="str">
        <f>"STUDENT LOAN"</f>
        <v>STUDENT LOAN</v>
      </c>
      <c r="G2645" s="2">
        <v>227.43</v>
      </c>
      <c r="H2645" t="str">
        <f>"STUDENT LOAN"</f>
        <v>STUDENT LOAN</v>
      </c>
    </row>
    <row r="2646" spans="1:8" x14ac:dyDescent="0.25">
      <c r="A2646" t="s">
        <v>430</v>
      </c>
      <c r="B2646" s="3">
        <v>47387</v>
      </c>
      <c r="C2646" s="2">
        <v>212.65</v>
      </c>
      <c r="D2646" s="1">
        <v>43560</v>
      </c>
      <c r="E2646" t="str">
        <f>"SL9201904038355"</f>
        <v>SL9201904038355</v>
      </c>
      <c r="F2646" t="str">
        <f>"STUDENT LOAN"</f>
        <v>STUDENT LOAN</v>
      </c>
      <c r="G2646" s="2">
        <v>212.65</v>
      </c>
      <c r="H2646" t="str">
        <f>"STUDENT LOAN"</f>
        <v>STUDENT LOAN</v>
      </c>
    </row>
    <row r="2647" spans="1:8" x14ac:dyDescent="0.25">
      <c r="A2647" t="s">
        <v>429</v>
      </c>
      <c r="B2647" s="3">
        <v>47408</v>
      </c>
      <c r="C2647" s="2">
        <v>227.43</v>
      </c>
      <c r="D2647" s="1">
        <v>43573</v>
      </c>
      <c r="E2647" t="str">
        <f>"SL 201904168721"</f>
        <v>SL 201904168721</v>
      </c>
      <c r="F2647" t="str">
        <f>"STUDENT LOAN"</f>
        <v>STUDENT LOAN</v>
      </c>
      <c r="G2647" s="2">
        <v>227.43</v>
      </c>
      <c r="H2647" t="str">
        <f>"STUDENT LOAN"</f>
        <v>STUDENT LOAN</v>
      </c>
    </row>
    <row r="2648" spans="1:8" x14ac:dyDescent="0.25">
      <c r="A2648" t="s">
        <v>430</v>
      </c>
      <c r="B2648" s="3">
        <v>47410</v>
      </c>
      <c r="C2648" s="2">
        <v>212.65</v>
      </c>
      <c r="D2648" s="1">
        <v>43573</v>
      </c>
      <c r="E2648" t="str">
        <f>"SL9201904168721"</f>
        <v>SL9201904168721</v>
      </c>
      <c r="F2648" t="str">
        <f>"STUDENT LOAN"</f>
        <v>STUDENT LOAN</v>
      </c>
      <c r="G2648" s="2">
        <v>212.65</v>
      </c>
      <c r="H2648" t="str">
        <f>"STUDENT LOAN"</f>
        <v>STUDENT LOAN</v>
      </c>
    </row>
    <row r="2649" spans="1:8" x14ac:dyDescent="0.25">
      <c r="B2649" s="4" t="s">
        <v>431</v>
      </c>
      <c r="C2649" s="2">
        <f>SUM(C2:C2641)</f>
        <v>3411968.069999998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AP-CHK-RPT-20190805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Laurie Ingram</cp:lastModifiedBy>
  <dcterms:created xsi:type="dcterms:W3CDTF">2019-08-05T19:24:03Z</dcterms:created>
  <dcterms:modified xsi:type="dcterms:W3CDTF">2019-08-05T19:24:03Z</dcterms:modified>
</cp:coreProperties>
</file>