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190805" sheetId="1" r:id="rId1"/>
  </sheets>
  <calcPr calcId="0"/>
</workbook>
</file>

<file path=xl/calcChain.xml><?xml version="1.0" encoding="utf-8"?>
<calcChain xmlns="http://schemas.openxmlformats.org/spreadsheetml/2006/main">
  <c r="C2603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G161" i="1"/>
  <c r="H161" i="1"/>
  <c r="I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E287" i="1"/>
  <c r="F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G313" i="1"/>
  <c r="H313" i="1"/>
  <c r="I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G517" i="1"/>
  <c r="H517" i="1"/>
  <c r="I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E604" i="1"/>
  <c r="F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G911" i="1"/>
  <c r="H911" i="1"/>
  <c r="I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G926" i="1"/>
  <c r="H926" i="1"/>
  <c r="I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G932" i="1"/>
  <c r="H932" i="1"/>
  <c r="I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G971" i="1"/>
  <c r="H971" i="1"/>
  <c r="I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E1057" i="1"/>
  <c r="F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E1134" i="1"/>
  <c r="F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E1142" i="1"/>
  <c r="F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E1254" i="1"/>
  <c r="F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</calcChain>
</file>

<file path=xl/sharedStrings.xml><?xml version="1.0" encoding="utf-8"?>
<sst xmlns="http://schemas.openxmlformats.org/spreadsheetml/2006/main" count="585" uniqueCount="487">
  <si>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</si>
  <si>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</si>
  <si>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</si>
  <si>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</si>
  <si>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</si>
  <si>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</si>
  <si>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</si>
  <si>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</si>
  <si>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</si>
  <si>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973 MATERIALS  LLC</t>
  </si>
  <si>
    <t>A PLUS BAIL BONDS</t>
  </si>
  <si>
    <t>ARNOLD OIL COMPANY OF AUSTIN LP</t>
  </si>
  <si>
    <t>TIMOTHY HALL</t>
  </si>
  <si>
    <t>ACE MART RESTAURANT SUPPLY</t>
  </si>
  <si>
    <t>ACES A/C SUPPLY INC</t>
  </si>
  <si>
    <t>ADAM DAKOTA ROWINS</t>
  </si>
  <si>
    <t>ADENA LEWIS</t>
  </si>
  <si>
    <t>AIRGAS INC</t>
  </si>
  <si>
    <t>ALAMO  GROUP (TX)  INC</t>
  </si>
  <si>
    <t>ALBERT NEAL PFEIFFER</t>
  </si>
  <si>
    <t>ALEJANDRO RODRIGUEZ</t>
  </si>
  <si>
    <t>S &amp; D PLUMBING-GIDDINGS LLC</t>
  </si>
  <si>
    <t>AMAZON CAPITAL SERVICES INC</t>
  </si>
  <si>
    <t>AMERICAN ASSN OF NOTARIES</t>
  </si>
  <si>
    <t>AMERISOURCEBERGEN</t>
  </si>
  <si>
    <t>ANDERSON &amp; ANDERSON LAW FIRM PC</t>
  </si>
  <si>
    <t>ANDERSON MACHINERY AUSTIN INC</t>
  </si>
  <si>
    <t>C APPLEMAN ENT INC</t>
  </si>
  <si>
    <t>AQUA BEVERAGE COMPANY/OZARKA</t>
  </si>
  <si>
    <t>AQUA WATER SUPPLY CORPORATION</t>
  </si>
  <si>
    <t>ARCHITEXAS - ARCHITECTURE  PLANNING &amp; HISTORIC PRE</t>
  </si>
  <si>
    <t>AT &amp; T</t>
  </si>
  <si>
    <t>AT&amp;T</t>
  </si>
  <si>
    <t>AT&amp;T MOBILITY</t>
  </si>
  <si>
    <t>AT&amp;T MOBILITY-W&amp;M</t>
  </si>
  <si>
    <t>GATEHOUSE MEDIA TEXAS HOLDINGS II  INC.</t>
  </si>
  <si>
    <t>AUSTIN ANESTHESIOLOGY GROUP</t>
  </si>
  <si>
    <t>AUSTIN FUEL INJECTION &amp; PERFORMANCE CENTER</t>
  </si>
  <si>
    <t>AUSTIN PATHOLOGY ASSOCIATES</t>
  </si>
  <si>
    <t>AUSTIN RADIOLOGICAL ASSOC</t>
  </si>
  <si>
    <t>JIM ATTRA INC</t>
  </si>
  <si>
    <t>MICHAEL OLDHAM TIRE INC</t>
  </si>
  <si>
    <t>BASTROP CHAMBER OF COMMERCE</t>
  </si>
  <si>
    <t>BASTROP COUNTY SHERIFF'S DEPT</t>
  </si>
  <si>
    <t>="13</t>
  </si>
  <si>
    <t>304  02/21/19"</t>
  </si>
  <si>
    <t>DANIEL L HEPKER</t>
  </si>
  <si>
    <t>BASTROP COUNTY CARES</t>
  </si>
  <si>
    <t>BASTROP COUNTY MEDICAL ASSOC PA</t>
  </si>
  <si>
    <t>BASTROP COUNTY PROBATION DEPT</t>
  </si>
  <si>
    <t>BASTROP MEDICAL CLINIC</t>
  </si>
  <si>
    <t>BASTROP PROVIDENCE  LLC</t>
  </si>
  <si>
    <t>BASTROP TREE SERVICE  INC</t>
  </si>
  <si>
    <t>DAVID H OUTON</t>
  </si>
  <si>
    <t>BELL COUNTY SHERIFF</t>
  </si>
  <si>
    <t>BEN E KEITH CO.</t>
  </si>
  <si>
    <t>MULTI SERVICE TECHNOLOGY SOLUTIONS  INC.</t>
  </si>
  <si>
    <t>B C FOOD GROUP  LLC</t>
  </si>
  <si>
    <t>BICKERSTAFF HEATH DELGADO ACOSTA LLP</t>
  </si>
  <si>
    <t>MAURINE MC LEAN</t>
  </si>
  <si>
    <t>BIMBO FOODS INC</t>
  </si>
  <si>
    <t>BLAKE BROSH</t>
  </si>
  <si>
    <t>BLAS J. COY  JR.</t>
  </si>
  <si>
    <t>BLUEBONNET AREA CRIME STOPPERS PROGRAM</t>
  </si>
  <si>
    <t>BLUEBONNET ELECTRIC COOPERATIVE  INC.</t>
  </si>
  <si>
    <t>BLUEBONNET TRAILS MHMR</t>
  </si>
  <si>
    <t>BOB BARKER COMPANY  INC.</t>
  </si>
  <si>
    <t>BOBBY INGRAM JR</t>
  </si>
  <si>
    <t>BRADEN JANECEK</t>
  </si>
  <si>
    <t>BRAUNTEX MATERIALS INC</t>
  </si>
  <si>
    <t>BRIDGETTE ESCOBEDO</t>
  </si>
  <si>
    <t>LAW OFFICE OF BRYAN W. MCDANIEL  P.C.</t>
  </si>
  <si>
    <t>BUREAU OF VITAL STATISTICS</t>
  </si>
  <si>
    <t>CAPITAL AREA COUNCIL OF GOVERNMENTS</t>
  </si>
  <si>
    <t>CAPITOL BEARING SERVICE OF AUSTIN  INC.</t>
  </si>
  <si>
    <t>TIB-THE INDEPENDENT BANKERS BANK</t>
  </si>
  <si>
    <t>CARDIOTHORACIC &amp; VASCULAR SURGEONS</t>
  </si>
  <si>
    <t>CARSON BAYER</t>
  </si>
  <si>
    <t>CATHERINE J. TORRES</t>
  </si>
  <si>
    <t>CDW GOVERNMENT INC</t>
  </si>
  <si>
    <t>CEN-TEX MARINE FABRICATORS INC</t>
  </si>
  <si>
    <t>CENTERPOINT ENERGY</t>
  </si>
  <si>
    <t>LARRY D. LYNN</t>
  </si>
  <si>
    <t>CENTEX MATERIALS LLC</t>
  </si>
  <si>
    <t>CENTRAL TEXAS AUTOPSY</t>
  </si>
  <si>
    <t>CHARLES W CARVER</t>
  </si>
  <si>
    <t>CHRIS MATT DILLON</t>
  </si>
  <si>
    <t>CINTAS</t>
  </si>
  <si>
    <t>CINTAS CORPORATION #86</t>
  </si>
  <si>
    <t>CINTAS CORPORATION</t>
  </si>
  <si>
    <t>CITY OF BASTROP</t>
  </si>
  <si>
    <t>="12</t>
  </si>
  <si>
    <t>756  02/22/19"</t>
  </si>
  <si>
    <t>CITY OF SMITHVILLE</t>
  </si>
  <si>
    <t>CLIFFORD POWER SYSTEMS INC</t>
  </si>
  <si>
    <t>CLINICAL PATHOLOGY LABORATORIES INC</t>
  </si>
  <si>
    <t>CLINICAL PATHOLOGY ASSOC. OF AUSTIN</t>
  </si>
  <si>
    <t>CODY WANECK</t>
  </si>
  <si>
    <t>COLIN BRIMHALL</t>
  </si>
  <si>
    <t>MICHAEL L. SELVES</t>
  </si>
  <si>
    <t>HANCOCK  JAHN  LEE &amp; PUCKETT LLC</t>
  </si>
  <si>
    <t>COMMUNITY COFFEE COMPANY LLC</t>
  </si>
  <si>
    <t>COMMUNITY HEALTH CENTERS</t>
  </si>
  <si>
    <t>MIGUEL ANTONIO CUYUGAN CASAS</t>
  </si>
  <si>
    <t>CONNIE CAMERON RABEL</t>
  </si>
  <si>
    <t>CONTECH ENGINEERED SOLUTIONS INC</t>
  </si>
  <si>
    <t>COUNTY JUDGES &amp; COMMISSIONERS ASSOC OF TEXAS</t>
  </si>
  <si>
    <t>COUNTY OF BEXAR - SHERIFF</t>
  </si>
  <si>
    <t>COVERT CHEVROLET-OLDS</t>
  </si>
  <si>
    <t>MARLON CRAWFORD GADD</t>
  </si>
  <si>
    <t>CRESSIDA EVELYN KWOLEK  Ph.D.</t>
  </si>
  <si>
    <t>CPI QUALIFIED PLAN CONSULTANTS  INC.</t>
  </si>
  <si>
    <t>CYDNEY CRIDER</t>
  </si>
  <si>
    <t>DAHILL</t>
  </si>
  <si>
    <t>DALLAS COUNTY CONSTABLE PCT 1</t>
  </si>
  <si>
    <t>DAVID B BROOKS</t>
  </si>
  <si>
    <t>DAVID C. FOLKERS  M.D.</t>
  </si>
  <si>
    <t>DAVID CONTI</t>
  </si>
  <si>
    <t>DAVID GONZALEZ</t>
  </si>
  <si>
    <t>DAVID M COLLINS</t>
  </si>
  <si>
    <t>DELL</t>
  </si>
  <si>
    <t>DENTRUST DENTAL TX PC</t>
  </si>
  <si>
    <t>DICKENS LOCKSMITH INC</t>
  </si>
  <si>
    <t>DEPARTMENT OF INFORMATION RESOURCES</t>
  </si>
  <si>
    <t>DISCOUNT DOOR &amp; METAL  LLC</t>
  </si>
  <si>
    <t>THE REINALT - THOMAS CORPORATION</t>
  </si>
  <si>
    <t>DJ DAVENPORT</t>
  </si>
  <si>
    <t>DONNIE STARK</t>
  </si>
  <si>
    <t>DOOR CONTROL SERVICES INC</t>
  </si>
  <si>
    <t>DOUBLE D INTERNATIONAL FOOD CO.  INC.</t>
  </si>
  <si>
    <t>DUNNE &amp; JUAREZ L.L.C.</t>
  </si>
  <si>
    <t>DURAN GRAVEL CO. INC</t>
  </si>
  <si>
    <t>EARTH DAY AUSTIN</t>
  </si>
  <si>
    <t>ECOLAB INC</t>
  </si>
  <si>
    <t>ELECTION SYSTEMS &amp; SOFTWARE INC</t>
  </si>
  <si>
    <t>BLACKLANDS PUBLICATIONS INC</t>
  </si>
  <si>
    <t>RALPH DAVID GLASS</t>
  </si>
  <si>
    <t>CITY OF ELGIN UTILITIES</t>
  </si>
  <si>
    <t>ELLIOTT ELECTRIC SUPPLY INC</t>
  </si>
  <si>
    <t>ELLIS COUNTY SHERIFF</t>
  </si>
  <si>
    <t>ENVIRONMENTAL IMPROVEMENTS INC</t>
  </si>
  <si>
    <t>ERGON ASPHALT &amp; EMULSIONS INC</t>
  </si>
  <si>
    <t>EWING IRRIGATION PRODUCTS  INC.</t>
  </si>
  <si>
    <t>BASTROP COUNTY WOMEN'S SHELTER</t>
  </si>
  <si>
    <t>FAMILY HEALTH CENTER OF BASTROP PLLC</t>
  </si>
  <si>
    <t>FLEETPRIDE</t>
  </si>
  <si>
    <t>FORREST L. SANDERSON</t>
  </si>
  <si>
    <t>FRANCES HUNTER</t>
  </si>
  <si>
    <t>AUSTIN TRUCK AND EQUIPMENT  LTD</t>
  </si>
  <si>
    <t>EUGENE W BRIGGS JR</t>
  </si>
  <si>
    <t>GALLS PARENT HOLDINGS LLC</t>
  </si>
  <si>
    <t>GARMENTS TO GO  INC</t>
  </si>
  <si>
    <t>GOVERNMENTAL COLLECTORS ASSOCIATION OF TEXAS</t>
  </si>
  <si>
    <t>GEARY TOWNSEND</t>
  </si>
  <si>
    <t>GIPSON PENDERGRASS PEOPLE'S MORTUARY LLC</t>
  </si>
  <si>
    <t>GOES SALES OF TEXAS INC</t>
  </si>
  <si>
    <t>GOVERNMENT FINANCE OFFICERS ASSN</t>
  </si>
  <si>
    <t>GRETCHEN SIMS SWEEN</t>
  </si>
  <si>
    <t>GRYPHON TRAINING GROUP  INC</t>
  </si>
  <si>
    <t>GULF COAST PAPER CO. INC.</t>
  </si>
  <si>
    <t>VERTEX ENERGY  INC.</t>
  </si>
  <si>
    <t>HALFF ASSOCIATES</t>
  </si>
  <si>
    <t>HANNAH QUACKENBUSH</t>
  </si>
  <si>
    <t>HAYS COUNTY SHERIFF'S ACADEMY</t>
  </si>
  <si>
    <t>HENGST PRINTING &amp; SUPPLIES</t>
  </si>
  <si>
    <t>BUTLER ANIMAL HEALTH</t>
  </si>
  <si>
    <t>HERBERT J BARTSCH JR</t>
  </si>
  <si>
    <t>HERSHCAP BACKHOE &amp; DITCHING  INC.</t>
  </si>
  <si>
    <t>="10</t>
  </si>
  <si>
    <t>658  02/08/19"</t>
  </si>
  <si>
    <t>BASCOM L HODGES JR</t>
  </si>
  <si>
    <t>HODGSON G ECKEL</t>
  </si>
  <si>
    <t>BD HOLT CO</t>
  </si>
  <si>
    <t>CITIBANK (SOUTH DAKOTA)N.A./THE HOME DEPOT</t>
  </si>
  <si>
    <t>GREGORY LUCAS</t>
  </si>
  <si>
    <t>HUDSON ENERGY CORP</t>
  </si>
  <si>
    <t>HYDRAULIC HOUSE INC</t>
  </si>
  <si>
    <t>IDW LLC</t>
  </si>
  <si>
    <t>IDEXX DISTRIBUTION INC</t>
  </si>
  <si>
    <t>INDIGENT HEALTHCARE SOLUTIONS</t>
  </si>
  <si>
    <t>IRON MOUNTAIN RECORDS MGMT INC</t>
  </si>
  <si>
    <t>J J KELLER &amp; ASSOC INC</t>
  </si>
  <si>
    <t>JAIME SANTANA</t>
  </si>
  <si>
    <t>JAMES D. SQUIER</t>
  </si>
  <si>
    <t>JAMES E. GARON &amp; ASSOC.</t>
  </si>
  <si>
    <t>JAMES O. BURKE</t>
  </si>
  <si>
    <t>JASON LEMOND</t>
  </si>
  <si>
    <t>JENKINS &amp; JENKINS LLP</t>
  </si>
  <si>
    <t>JAMES MORGAN</t>
  </si>
  <si>
    <t>JOHN DEERE FINANCIAL f.s.b.</t>
  </si>
  <si>
    <t>JOHNNIE REESE</t>
  </si>
  <si>
    <t>JONATHAN HOOVER</t>
  </si>
  <si>
    <t>JUSTIN MATTHEW FOHN</t>
  </si>
  <si>
    <t>KAMRON T SAUNDERS</t>
  </si>
  <si>
    <t>KATHY BERTRAM</t>
  </si>
  <si>
    <t>KAYCI SCHULTZ WATSON</t>
  </si>
  <si>
    <t>KENT BROUSSARD TOWER RENTAL INC</t>
  </si>
  <si>
    <t>KNIGHT SECURITY SYSTEMS LLC</t>
  </si>
  <si>
    <t>LA GRANGE FORD</t>
  </si>
  <si>
    <t>THE LA GRANGE PARTS HOUSE INC</t>
  </si>
  <si>
    <t>COREPOINT TRS LLC</t>
  </si>
  <si>
    <t>LABATT INSTITUTIONAL SUPPLY CO</t>
  </si>
  <si>
    <t>LARRY KALBAS</t>
  </si>
  <si>
    <t>LAURA ROBERTSON</t>
  </si>
  <si>
    <t>LAURENCE DUNNE  II</t>
  </si>
  <si>
    <t>LBJ SCHOOL OF PUBLIC AFFAIRS</t>
  </si>
  <si>
    <t>LUCIO LEAL</t>
  </si>
  <si>
    <t>LEE COUNTY WATER SUPPLY CORP</t>
  </si>
  <si>
    <t>LENNOX INDUSTRIES INC</t>
  </si>
  <si>
    <t>LEXISNEXIS RISK DATA MGMT INC</t>
  </si>
  <si>
    <t>LINDA HARMON-TAX ASSESSOR</t>
  </si>
  <si>
    <t>LINDA NAVARRE</t>
  </si>
  <si>
    <t>LISA M. MIMS</t>
  </si>
  <si>
    <t>LLOYD GOSSELINK ROCHELLE &amp; TOWNSEND. PC</t>
  </si>
  <si>
    <t>LOGAN SCHROEDER</t>
  </si>
  <si>
    <t>LONE STAR CIRCLE OF CARE</t>
  </si>
  <si>
    <t>LONNIE LAWRENCE DAVIS JR</t>
  </si>
  <si>
    <t>LORI STIFFLEMIRE</t>
  </si>
  <si>
    <t>LOWE'S</t>
  </si>
  <si>
    <t>LYN TURNER</t>
  </si>
  <si>
    <t>MANATRON</t>
  </si>
  <si>
    <t>MARIA ANFOSSO</t>
  </si>
  <si>
    <t>MARK MEUTH</t>
  </si>
  <si>
    <t>MARK T. MALONE  M.D. P.A</t>
  </si>
  <si>
    <t>QUORUM HOSPITALITY</t>
  </si>
  <si>
    <t>MARY BETH SCOTT</t>
  </si>
  <si>
    <t>MATHESON TRI-GAS INC</t>
  </si>
  <si>
    <t>McCOY'S BUILDING SUPPLY CENTER</t>
  </si>
  <si>
    <t>McCREARY  VESELKA  BRAGG &amp; ALLEN P</t>
  </si>
  <si>
    <t>MEDIMPACT HEALTHCARE SYSTEMS INC</t>
  </si>
  <si>
    <t>MEGAN FAITH ANDERSON</t>
  </si>
  <si>
    <t>MEL HAMNER</t>
  </si>
  <si>
    <t>MELISSA ENRIQUEZ</t>
  </si>
  <si>
    <t>MELODY A OBST</t>
  </si>
  <si>
    <t>MIDTEX MATERIALS</t>
  </si>
  <si>
    <t>MIKE FORSTNER'S WATERLIFE</t>
  </si>
  <si>
    <t>GALLS  LLC</t>
  </si>
  <si>
    <t>ADREA LETRICE BRIDGEMAN</t>
  </si>
  <si>
    <t>JOSEPH EDWARD GRUNINGER</t>
  </si>
  <si>
    <t>JEFFREY RUSSELL KRITZ</t>
  </si>
  <si>
    <t>MICHELLE LYNN HARRIS</t>
  </si>
  <si>
    <t>MELANIE MARLENE EASLEY</t>
  </si>
  <si>
    <t>JOHN MICHAEL COON</t>
  </si>
  <si>
    <t>ELIZABETH RICHVOLDSEN</t>
  </si>
  <si>
    <t>DAVID EARL MCMULLEN</t>
  </si>
  <si>
    <t>ARRION SAVINO ESPINOZA</t>
  </si>
  <si>
    <t>DIXIE ANN KING</t>
  </si>
  <si>
    <t>ROBYNE M TAYLOR</t>
  </si>
  <si>
    <t>MAIRA LORENA GORMAN</t>
  </si>
  <si>
    <t>Family Crisis Center</t>
  </si>
  <si>
    <t>Children's Advocacy Center</t>
  </si>
  <si>
    <t>COURT APPOINTED SPECIAL ADVOCA</t>
  </si>
  <si>
    <t>Child Protective Services</t>
  </si>
  <si>
    <t>GERALD EDWARD ZAMPANTI</t>
  </si>
  <si>
    <t>SETH RAYMOND STEFANI HARVEY</t>
  </si>
  <si>
    <t>CAMILA RACHEL MUNOZ</t>
  </si>
  <si>
    <t>DEANNA MICHELLE GUISE</t>
  </si>
  <si>
    <t>RHONDA GAY MYERS</t>
  </si>
  <si>
    <t>JOAN MICHELLE SILVES</t>
  </si>
  <si>
    <t>ROBERT LOUIS SNOOK JR</t>
  </si>
  <si>
    <t>WILLIE RAY STOGLIN</t>
  </si>
  <si>
    <t>LINDA KAY CUNDY</t>
  </si>
  <si>
    <t>MICHELE SPAINHOUR RUMOHR</t>
  </si>
  <si>
    <t>SCOTT DENNIS MICK</t>
  </si>
  <si>
    <t>JOE LANE KYSER</t>
  </si>
  <si>
    <t>ANDREW PORTER VAN CLEAVE</t>
  </si>
  <si>
    <t>ROBERT F WEGLARZ</t>
  </si>
  <si>
    <t>CHELSEA AMBER TAYLER WEBSTER</t>
  </si>
  <si>
    <t>ABEL A GONZALEZ JR</t>
  </si>
  <si>
    <t>MARK STEVEN HINER</t>
  </si>
  <si>
    <t>BRANDON JAMES PAVLICA</t>
  </si>
  <si>
    <t>SONJAH MESHEL JONES</t>
  </si>
  <si>
    <t>CHRISTOPHER C HERRERA</t>
  </si>
  <si>
    <t>DANNY ELDON SKIDMORE</t>
  </si>
  <si>
    <t>HAZEL MARIE REIFEL</t>
  </si>
  <si>
    <t>RONALD WAYNE BOAZ</t>
  </si>
  <si>
    <t>DOMINIC ADAM CAMELO</t>
  </si>
  <si>
    <t>KALLI NICOLE MANSFIELD</t>
  </si>
  <si>
    <t>DENISE LYNN THORN</t>
  </si>
  <si>
    <t>JIMMIE LEE TAYLOR JR</t>
  </si>
  <si>
    <t>TRINA BETH MILLER</t>
  </si>
  <si>
    <t>JOHNNY MCCURRY GUILLIAMS</t>
  </si>
  <si>
    <t>JOANN GALVAN BIRDSONG</t>
  </si>
  <si>
    <t>JOSEPH RENE RODRIGUEZ</t>
  </si>
  <si>
    <t>JESSICA LYNN MORIN</t>
  </si>
  <si>
    <t>PAULA LYNN HARPER</t>
  </si>
  <si>
    <t>IVONNE AZENETH TORRES</t>
  </si>
  <si>
    <t>SHIRLEY ANN TYMEL</t>
  </si>
  <si>
    <t>HUMBERTO MARTINEZ-TORRES</t>
  </si>
  <si>
    <t>MARTHA LINDA WARNER</t>
  </si>
  <si>
    <t>ROSYNA GONZALEZ WATSON</t>
  </si>
  <si>
    <t>JOHN N SEGUIN</t>
  </si>
  <si>
    <t>ABBY MICHELLE LOEB</t>
  </si>
  <si>
    <t>MARGARET COOPER</t>
  </si>
  <si>
    <t>CATALINA SANCHEZ LEAL</t>
  </si>
  <si>
    <t>HERBERT RICHARD WOERNDELL</t>
  </si>
  <si>
    <t>CYNTHIA RENEE FOWLER</t>
  </si>
  <si>
    <t>LEO ROY BUSH</t>
  </si>
  <si>
    <t>SHARLETTA VELMA JOHNSON</t>
  </si>
  <si>
    <t>RICHARD ORONA JR</t>
  </si>
  <si>
    <t>JOHN MACK YOUNG</t>
  </si>
  <si>
    <t>JOSEPH ROBERT CLINE</t>
  </si>
  <si>
    <t>SALLY KAY SALINAS-LOPEZ</t>
  </si>
  <si>
    <t>MICHEAL LEE GRADY JR</t>
  </si>
  <si>
    <t>MICHAEL TODD PAINTER</t>
  </si>
  <si>
    <t>VENESSA ANN WYATT</t>
  </si>
  <si>
    <t>JOHN THOMAS INMON</t>
  </si>
  <si>
    <t>SHANNON EARL SAEGERT</t>
  </si>
  <si>
    <t>SARA BETH CARROLL</t>
  </si>
  <si>
    <t>FELIPE ROBLEDO III</t>
  </si>
  <si>
    <t>ERNEST PETE WILSON</t>
  </si>
  <si>
    <t>RICHARD ALAN MICHALSKI</t>
  </si>
  <si>
    <t>DEVIE YUVETTE HYDER</t>
  </si>
  <si>
    <t>DEANNA LEE WALSTON</t>
  </si>
  <si>
    <t>ROBERT KEITH MCFARLAND</t>
  </si>
  <si>
    <t>RONNIE MARK FULFORD</t>
  </si>
  <si>
    <t>ERIC CARL HARDEN</t>
  </si>
  <si>
    <t>MARY LOU LARSON</t>
  </si>
  <si>
    <t>MICHAEL DAVID SEVERANCE</t>
  </si>
  <si>
    <t>CHRISTIE LEE MILLER</t>
  </si>
  <si>
    <t>NANCY D SILVIA</t>
  </si>
  <si>
    <t>MELISSA AGUILAR HERNANDEZ</t>
  </si>
  <si>
    <t>MICHAEL DEREK LUNDGREN</t>
  </si>
  <si>
    <t>CHERYL EVETTE LEE</t>
  </si>
  <si>
    <t>DANE ANTHONY SIEWERT II</t>
  </si>
  <si>
    <t>MONARCH DISPOSAL  LLC</t>
  </si>
  <si>
    <t>MOTOROLA INC</t>
  </si>
  <si>
    <t>NALCO COMPANY LLC</t>
  </si>
  <si>
    <t>NALLEY HVAC MECHANICAL LLC</t>
  </si>
  <si>
    <t>NATIONAL FOOD GROUP INC</t>
  </si>
  <si>
    <t>O'REILLY AUTOMOTIVE  INC.</t>
  </si>
  <si>
    <t>SOUTHERN FOODS GROUP LP</t>
  </si>
  <si>
    <t>OFFICE DEPOT</t>
  </si>
  <si>
    <t>MICHAEL OLSON</t>
  </si>
  <si>
    <t>ON SITE SERVICES</t>
  </si>
  <si>
    <t>ROGER C. OSBORN</t>
  </si>
  <si>
    <t>OSBURN ASSOCIATES INC.</t>
  </si>
  <si>
    <t>OPERATIONAL SUPPORT SERVICES INC</t>
  </si>
  <si>
    <t>OTTO MAROSKO</t>
  </si>
  <si>
    <t>PAIGE TRACTORS INC</t>
  </si>
  <si>
    <t>SL PARKER PARTNERSHIP LLC</t>
  </si>
  <si>
    <t>PATRICK ELECTRIC SERVICE</t>
  </si>
  <si>
    <t>PATTERSON  VETERINARY SUPPLY INC</t>
  </si>
  <si>
    <t>PB ELECTRONICS  INC</t>
  </si>
  <si>
    <t>PEGGY HILL</t>
  </si>
  <si>
    <t>="16</t>
  </si>
  <si>
    <t>207"</t>
  </si>
  <si>
    <t>PHILIP R DUCLOUX</t>
  </si>
  <si>
    <t>CLYDE HAYWOOD SR</t>
  </si>
  <si>
    <t>PM WILSON &amp; ASSOCIATES PLLC</t>
  </si>
  <si>
    <t>POST OAK HARDWARE  INC.</t>
  </si>
  <si>
    <t>PROSPERITY BANK</t>
  </si>
  <si>
    <t>122  02/28/19"</t>
  </si>
  <si>
    <t>AEGEAN  LLC</t>
  </si>
  <si>
    <t>R &amp; D BISHOP INC</t>
  </si>
  <si>
    <t>RBFCU</t>
  </si>
  <si>
    <t>="15</t>
  </si>
  <si>
    <t>249  02/28/19"</t>
  </si>
  <si>
    <t>RC HEALTH SERVICES  INC.</t>
  </si>
  <si>
    <t>RDO EQUIPMENT CO.</t>
  </si>
  <si>
    <t>NESTLE WATERS N AMERICA INC</t>
  </si>
  <si>
    <t>RED WING BUSINESS ADVANTAGE ACCOUNT</t>
  </si>
  <si>
    <t>PAULINE SPURLOCK</t>
  </si>
  <si>
    <t>REYNOLDS &amp; KEINARTH</t>
  </si>
  <si>
    <t>RUNKLE ENTERPRISES</t>
  </si>
  <si>
    <t>ROADRUNNER RADIOLOGY EQUIP LLC</t>
  </si>
  <si>
    <t>ROBERT ALEMAN</t>
  </si>
  <si>
    <t>ROBERT MADDEN INDUSTRIES LTD</t>
  </si>
  <si>
    <t>ROBERT C. STEUBING</t>
  </si>
  <si>
    <t>ROBERTSON COUNTY CONSTABLE</t>
  </si>
  <si>
    <t>ROSE PIETSCH COUNTY CLERK</t>
  </si>
  <si>
    <t>RUBEN LOPEZ</t>
  </si>
  <si>
    <t>SAMES BASTROP FORD INC</t>
  </si>
  <si>
    <t>SAMMY LERMA III MD</t>
  </si>
  <si>
    <t>SECURETECH SYSTEMS  INC.</t>
  </si>
  <si>
    <t>SECURUS TECHNOLOGIES INC</t>
  </si>
  <si>
    <t>SETON FAMILY OF HOSPITALS</t>
  </si>
  <si>
    <t>SHARON HANCOCK</t>
  </si>
  <si>
    <t>="14</t>
  </si>
  <si>
    <t>962  02/14/19"</t>
  </si>
  <si>
    <t>FERRELLGAS  LP</t>
  </si>
  <si>
    <t>SHI GOVERNMENT SOLUTIONS INC.</t>
  </si>
  <si>
    <t>SHRED-IT US HOLDCO  INC</t>
  </si>
  <si>
    <t>SIGNATURE SMILES</t>
  </si>
  <si>
    <t>SIMPSON SEPTIC INCORPORATED</t>
  </si>
  <si>
    <t>SKYLINE EQUIPMENT INC.</t>
  </si>
  <si>
    <t>SMITH STORES  INC.</t>
  </si>
  <si>
    <t>SMITHVILLE AUTO PARTS  INC</t>
  </si>
  <si>
    <t>SMITHVILLE INDEPENDENT SCHOOL DISTRICT</t>
  </si>
  <si>
    <t>SOUTHERN TIRE MART LLC</t>
  </si>
  <si>
    <t>DS WATERS OF AMERICA INC</t>
  </si>
  <si>
    <t>SPARKLETTS &amp; SIERRA SPRINGS</t>
  </si>
  <si>
    <t>ST. DAVIDS HEART &amp; VASCULAR  PLLC</t>
  </si>
  <si>
    <t>ST. MARK'S MEDICAL CENTER</t>
  </si>
  <si>
    <t>ST.DAVID'S HEALTHCARE PARTNERSHIP</t>
  </si>
  <si>
    <t>STAPLES ADVANTAGE</t>
  </si>
  <si>
    <t>STATE OF TEXAS</t>
  </si>
  <si>
    <t>STEPHEN R BECK</t>
  </si>
  <si>
    <t>STERICYCLE  INC.</t>
  </si>
  <si>
    <t>STEVE GRANADO</t>
  </si>
  <si>
    <t>SUN COAST RESOURCES</t>
  </si>
  <si>
    <t>SUZY STOPPELBERG-MCGEE</t>
  </si>
  <si>
    <t>T4 DISTRIBUTION  LLC</t>
  </si>
  <si>
    <t>TAIT CARTER</t>
  </si>
  <si>
    <t>TAMARA BATOT</t>
  </si>
  <si>
    <t>TARRANT COUNTY CONSTABLE PCT 7</t>
  </si>
  <si>
    <t>TAVCO SERVICES INC</t>
  </si>
  <si>
    <t>TAYLOR AUTO ELECTRIC INC.</t>
  </si>
  <si>
    <t>TAYLOR SECURITY SYSTEMS  LLC</t>
  </si>
  <si>
    <t>TEJAS ELEVATOR COMPANY</t>
  </si>
  <si>
    <t>TERRY WENDLAND</t>
  </si>
  <si>
    <t>TEX-CON OIL CO</t>
  </si>
  <si>
    <t>AUSTIN CERTIFIED TRANSLATION  LLC</t>
  </si>
  <si>
    <t>TEXAS A&amp;M AGRILIFE EXTENSION SERVICE</t>
  </si>
  <si>
    <t>TEXAS AIRSYSTEMS LLC</t>
  </si>
  <si>
    <t>TEXAS ASSOCIATES INSURORS AGENCY</t>
  </si>
  <si>
    <t>TEXAS ASSOCIATION OF COUNTIES</t>
  </si>
  <si>
    <t>TEXAS CORRECTIONAL INDUSTRIES</t>
  </si>
  <si>
    <t>TEXAS CRUSHED STONE CO.</t>
  </si>
  <si>
    <t>TEXAS DEPT OF PUBLIC SAFETY</t>
  </si>
  <si>
    <t>TXFACT  LLC</t>
  </si>
  <si>
    <t>TEXAS JUSTICE COURT TRAINING CENTER</t>
  </si>
  <si>
    <t>TEXAS MATERIALS GROUP  INC.</t>
  </si>
  <si>
    <t>TEXAS MUNICIPAL POLICE ASSN</t>
  </si>
  <si>
    <t>TEXAS PARKS &amp; WILDLIFE DEPARTMENT</t>
  </si>
  <si>
    <t>JOHN THOMAS GARRETT</t>
  </si>
  <si>
    <t>BRETT DENNEY</t>
  </si>
  <si>
    <t>TEXAS RETINA INSTITUTE</t>
  </si>
  <si>
    <t>TEXAS VISION CLINIC  PLLC</t>
  </si>
  <si>
    <t>BUG MASTER EXTERMINATING SERVICES  LTD</t>
  </si>
  <si>
    <t>THE MICHELSON FOUND ANIMALS FOUNDATION  INC.</t>
  </si>
  <si>
    <t>RICHARD NELSON MOORE</t>
  </si>
  <si>
    <t>THE NITSCHE GROUP</t>
  </si>
  <si>
    <t>MONDO GARDENS</t>
  </si>
  <si>
    <t>WEST PUBLISHING CORPORATION</t>
  </si>
  <si>
    <t>TIM MAHONEY  ATTORNEY AT LAW  PC</t>
  </si>
  <si>
    <t>TWE-ADVANCE/NEWHOUSE PARTNERSHIP</t>
  </si>
  <si>
    <t>TRACTOR SUPPLY CREDIT PLAN</t>
  </si>
  <si>
    <t>TRAVIS COUNTY CONSTABLE PCT 5</t>
  </si>
  <si>
    <t>TRAVIS COUNTY MEDICAL EXAMINER</t>
  </si>
  <si>
    <t>TRAVIS MATERIALS GROUP LTD</t>
  </si>
  <si>
    <t>TRAVIS TRACTOR AND LAWN EQUIPMENT</t>
  </si>
  <si>
    <t>KAUFFMAN TIRE</t>
  </si>
  <si>
    <t>TYLER TECHNOLOGIES INC</t>
  </si>
  <si>
    <t>ANTONIO R VILLAFRANCA</t>
  </si>
  <si>
    <t>VILLAGE OAKS PATHOLOGY SERVICES PA</t>
  </si>
  <si>
    <t>TEXAS DEPARTMENT OF STATE HEALTH SERVICES</t>
  </si>
  <si>
    <t>US BANK NA</t>
  </si>
  <si>
    <t>WALLER COUNTY ASPHALT INC</t>
  </si>
  <si>
    <t>WALMART COMMUNITY BRC</t>
  </si>
  <si>
    <t>WAMPLER MFG CO</t>
  </si>
  <si>
    <t>WASHING EQUIPMENT OF TEXAS</t>
  </si>
  <si>
    <t>WASTE CONNECTIONS LONE STAR. INC.</t>
  </si>
  <si>
    <t>WASTE MANAGEMENT OF TEXAS INC</t>
  </si>
  <si>
    <t>COBRA EQUIPMENT RENTALS</t>
  </si>
  <si>
    <t>MAO PHARMACY INC</t>
  </si>
  <si>
    <t>WHITTLESEY LANDSCAPE SUPPLIES &amp; RECYCLING</t>
  </si>
  <si>
    <t>WICHITA COUNTY SHERIFF</t>
  </si>
  <si>
    <t>WESLEY A. BORIACK</t>
  </si>
  <si>
    <t>WILLIAM L BACA</t>
  </si>
  <si>
    <t>XEROX CORPORATION</t>
  </si>
  <si>
    <t>YOLANDA WHEATON</t>
  </si>
  <si>
    <t>YOUNGS PROFESSIONAL SERVICES  LLC</t>
  </si>
  <si>
    <t>ZOETIS US LLC</t>
  </si>
  <si>
    <t>ZORO TOOLS INC</t>
  </si>
  <si>
    <t>BRYAN GOERTZ</t>
  </si>
  <si>
    <t>FTS FOREST TECHNOLOGY SYSTEMS LTD</t>
  </si>
  <si>
    <t>H &amp; E EQUIPMENT SERVIES  INC</t>
  </si>
  <si>
    <t>SPEED FAB-CRETE CORPORATION</t>
  </si>
  <si>
    <t>ALLSTATE-AMERICAN HERITAGE LIFE INS CO</t>
  </si>
  <si>
    <t>BASTROP COUNTY ADULT PROBATION</t>
  </si>
  <si>
    <t>COLONIAL LIFE &amp; ACCIDENT INS. CO.</t>
  </si>
  <si>
    <t>DEBORAH B LANGEHENNIG</t>
  </si>
  <si>
    <t>GUARDIAN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</si>
  <si>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</si>
  <si>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</si>
  <si>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</si>
  <si>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</si>
  <si>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</si>
  <si>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</si>
  <si>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</si>
  <si>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</si>
  <si>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</si>
  <si>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TEXAS GUARANTEED STUDENT LOAN CORPORATION</t>
  </si>
  <si>
    <t>U.S. DEPT OF EDUCATION - FINANCIAL  ASST</t>
  </si>
  <si>
    <t>U.S. DEPT OF EDUCATION AWG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</si>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</sst>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3"/>
  <sheetViews>
    <sheetView tabSelected="1" topLeftCell="A2587" workbookViewId="0">
      <selection activeCell="C2604" sqref="C2604"/>
    </sheetView>
  </sheetViews>
  <sheetFormatPr defaultRowHeight="15" x14ac:dyDescent="0.25"/>
  <cols>
    <col min="1" max="1" width="52.2851562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19.85546875" bestFit="1" customWidth="1"/>
    <col min="6" max="6" width="35" bestFit="1" customWidth="1"/>
    <col min="7" max="7" width="33.42578125" style="2" bestFit="1" customWidth="1"/>
    <col min="8" max="8" width="3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81234</v>
      </c>
      <c r="C2" s="2">
        <v>30</v>
      </c>
      <c r="D2" s="1">
        <v>43535</v>
      </c>
      <c r="E2" t="str">
        <f>"201903067830"</f>
        <v>201903067830</v>
      </c>
      <c r="F2" t="str">
        <f>"REFUND BAIL BOND COUPONS"</f>
        <v>REFUND BAIL BOND COUPONS</v>
      </c>
      <c r="G2" s="2">
        <v>30</v>
      </c>
      <c r="H2" t="str">
        <f>"REFUND BAIL BOND COUPONS"</f>
        <v>REFUND BAIL BOND COUPONS</v>
      </c>
    </row>
    <row r="3" spans="1:8" x14ac:dyDescent="0.25">
      <c r="A3" t="s">
        <v>9</v>
      </c>
      <c r="B3">
        <v>81235</v>
      </c>
      <c r="C3" s="2">
        <v>31149.96</v>
      </c>
      <c r="D3" s="1">
        <v>43535</v>
      </c>
      <c r="E3" t="str">
        <f>"9725-001-106205"</f>
        <v>9725-001-106205</v>
      </c>
      <c r="F3" t="str">
        <f t="shared" ref="F3:F12" si="0">"ACCT#9725-001/REC BASE/PCT#2"</f>
        <v>ACCT#9725-001/REC BASE/PCT#2</v>
      </c>
      <c r="G3" s="2">
        <v>2721.78</v>
      </c>
      <c r="H3" t="str">
        <f t="shared" ref="H3:H12" si="1">"ACCT#9725-001/REC BASE/PCT#2"</f>
        <v>ACCT#9725-001/REC BASE/PCT#2</v>
      </c>
    </row>
    <row r="4" spans="1:8" x14ac:dyDescent="0.25">
      <c r="E4" t="str">
        <f>"9725-001-106236"</f>
        <v>9725-001-106236</v>
      </c>
      <c r="F4" t="str">
        <f t="shared" si="0"/>
        <v>ACCT#9725-001/REC BASE/PCT#2</v>
      </c>
      <c r="G4" s="2">
        <v>4082.45</v>
      </c>
      <c r="H4" t="str">
        <f t="shared" si="1"/>
        <v>ACCT#9725-001/REC BASE/PCT#2</v>
      </c>
    </row>
    <row r="5" spans="1:8" x14ac:dyDescent="0.25">
      <c r="E5" t="str">
        <f>"9725-001-106272"</f>
        <v>9725-001-106272</v>
      </c>
      <c r="F5" t="str">
        <f t="shared" si="0"/>
        <v>ACCT#9725-001/REC BASE/PCT#2</v>
      </c>
      <c r="G5" s="2">
        <v>4195.46</v>
      </c>
      <c r="H5" t="str">
        <f t="shared" si="1"/>
        <v>ACCT#9725-001/REC BASE/PCT#2</v>
      </c>
    </row>
    <row r="6" spans="1:8" x14ac:dyDescent="0.25">
      <c r="E6" t="str">
        <f>"9725-001-106307"</f>
        <v>9725-001-106307</v>
      </c>
      <c r="F6" t="str">
        <f t="shared" si="0"/>
        <v>ACCT#9725-001/REC BASE/PCT#2</v>
      </c>
      <c r="G6" s="2">
        <v>2888.39</v>
      </c>
      <c r="H6" t="str">
        <f t="shared" si="1"/>
        <v>ACCT#9725-001/REC BASE/PCT#2</v>
      </c>
    </row>
    <row r="7" spans="1:8" x14ac:dyDescent="0.25">
      <c r="E7" t="str">
        <f>"9725-001-106336"</f>
        <v>9725-001-106336</v>
      </c>
      <c r="F7" t="str">
        <f t="shared" si="0"/>
        <v>ACCT#9725-001/REC BASE/PCT#2</v>
      </c>
      <c r="G7" s="2">
        <v>214.29</v>
      </c>
      <c r="H7" t="str">
        <f t="shared" si="1"/>
        <v>ACCT#9725-001/REC BASE/PCT#2</v>
      </c>
    </row>
    <row r="8" spans="1:8" x14ac:dyDescent="0.25">
      <c r="E8" t="str">
        <f>"9725-001-106365"</f>
        <v>9725-001-106365</v>
      </c>
      <c r="F8" t="str">
        <f t="shared" si="0"/>
        <v>ACCT#9725-001/REC BASE/PCT#2</v>
      </c>
      <c r="G8" s="2">
        <v>4427.8</v>
      </c>
      <c r="H8" t="str">
        <f t="shared" si="1"/>
        <v>ACCT#9725-001/REC BASE/PCT#2</v>
      </c>
    </row>
    <row r="9" spans="1:8" x14ac:dyDescent="0.25">
      <c r="E9" t="str">
        <f>"9725-001-106402"</f>
        <v>9725-001-106402</v>
      </c>
      <c r="F9" t="str">
        <f t="shared" si="0"/>
        <v>ACCT#9725-001/REC BASE/PCT#2</v>
      </c>
      <c r="G9" s="2">
        <v>412.66</v>
      </c>
      <c r="H9" t="str">
        <f t="shared" si="1"/>
        <v>ACCT#9725-001/REC BASE/PCT#2</v>
      </c>
    </row>
    <row r="10" spans="1:8" x14ac:dyDescent="0.25">
      <c r="E10" t="str">
        <f>"9725-001-106475"</f>
        <v>9725-001-106475</v>
      </c>
      <c r="F10" t="str">
        <f t="shared" si="0"/>
        <v>ACCT#9725-001/REC BASE/PCT#2</v>
      </c>
      <c r="G10" s="2">
        <v>1442.37</v>
      </c>
      <c r="H10" t="str">
        <f t="shared" si="1"/>
        <v>ACCT#9725-001/REC BASE/PCT#2</v>
      </c>
    </row>
    <row r="11" spans="1:8" x14ac:dyDescent="0.25">
      <c r="E11" t="str">
        <f>"9725-001-106504"</f>
        <v>9725-001-106504</v>
      </c>
      <c r="F11" t="str">
        <f t="shared" si="0"/>
        <v>ACCT#9725-001/REC BASE/PCT#2</v>
      </c>
      <c r="G11" s="2">
        <v>2109.81</v>
      </c>
      <c r="H11" t="str">
        <f t="shared" si="1"/>
        <v>ACCT#9725-001/REC BASE/PCT#2</v>
      </c>
    </row>
    <row r="12" spans="1:8" x14ac:dyDescent="0.25">
      <c r="E12" t="str">
        <f>"9725-001-106538"</f>
        <v>9725-001-106538</v>
      </c>
      <c r="F12" t="str">
        <f t="shared" si="0"/>
        <v>ACCT#9725-001/REC BASE/PCT#2</v>
      </c>
      <c r="G12" s="2">
        <v>1040.98</v>
      </c>
      <c r="H12" t="str">
        <f t="shared" si="1"/>
        <v>ACCT#9725-001/REC BASE/PCT#2</v>
      </c>
    </row>
    <row r="13" spans="1:8" x14ac:dyDescent="0.25">
      <c r="E13" t="str">
        <f>"9725-007-106317"</f>
        <v>9725-007-106317</v>
      </c>
      <c r="F13" t="str">
        <f>"ACCT#9725-007/REC BASE/PCT#4"</f>
        <v>ACCT#9725-007/REC BASE/PCT#4</v>
      </c>
      <c r="G13" s="2">
        <v>778.7</v>
      </c>
      <c r="H13" t="str">
        <f>"ACCT#9725-007/REC BASE/PCT#4"</f>
        <v>ACCT#9725-007/REC BASE/PCT#4</v>
      </c>
    </row>
    <row r="14" spans="1:8" x14ac:dyDescent="0.25">
      <c r="E14" t="str">
        <f>"9725-007-106349"</f>
        <v>9725-007-106349</v>
      </c>
      <c r="F14" t="str">
        <f>"ACCT#9725-007/REC BASE/PCT#4"</f>
        <v>ACCT#9725-007/REC BASE/PCT#4</v>
      </c>
      <c r="G14" s="2">
        <v>773.86</v>
      </c>
      <c r="H14" t="str">
        <f>"ACCT#9725-007/REC BASE/PCT#4"</f>
        <v>ACCT#9725-007/REC BASE/PCT#4</v>
      </c>
    </row>
    <row r="15" spans="1:8" x14ac:dyDescent="0.25">
      <c r="E15" t="str">
        <f>"9725-007-106417"</f>
        <v>9725-007-106417</v>
      </c>
      <c r="F15" t="str">
        <f>"ACCT#9725-007/PCT#4"</f>
        <v>ACCT#9725-007/PCT#4</v>
      </c>
      <c r="G15" s="2">
        <v>1323.13</v>
      </c>
      <c r="H15" t="str">
        <f>"ACCT#9725-007/PCT#4"</f>
        <v>ACCT#9725-007/PCT#4</v>
      </c>
    </row>
    <row r="16" spans="1:8" x14ac:dyDescent="0.25">
      <c r="E16" t="str">
        <f>"9725-007-106456"</f>
        <v>9725-007-106456</v>
      </c>
      <c r="F16" t="str">
        <f>"ACCT#9725-007/PCT#4"</f>
        <v>ACCT#9725-007/PCT#4</v>
      </c>
      <c r="G16" s="2">
        <v>1994.76</v>
      </c>
      <c r="H16" t="str">
        <f>"ACCT#9725-007/PCT#4"</f>
        <v>ACCT#9725-007/PCT#4</v>
      </c>
    </row>
    <row r="17" spans="1:8" x14ac:dyDescent="0.25">
      <c r="E17" t="str">
        <f>"9725-007-106487"</f>
        <v>9725-007-106487</v>
      </c>
      <c r="F17" t="str">
        <f>"ACCT#9725-007/PCT#4"</f>
        <v>ACCT#9725-007/PCT#4</v>
      </c>
      <c r="G17" s="2">
        <v>1309.54</v>
      </c>
      <c r="H17" t="str">
        <f>"ACCT#9725-007/PCT#4"</f>
        <v>ACCT#9725-007/PCT#4</v>
      </c>
    </row>
    <row r="18" spans="1:8" x14ac:dyDescent="0.25">
      <c r="E18" t="str">
        <f>"9725-007-106517"</f>
        <v>9725-007-106517</v>
      </c>
      <c r="F18" t="str">
        <f>"ACCT#9725-007/PCT#4"</f>
        <v>ACCT#9725-007/PCT#4</v>
      </c>
      <c r="G18" s="2">
        <v>1433.98</v>
      </c>
      <c r="H18" t="str">
        <f>"ACCT#9725-007/PCT#4"</f>
        <v>ACCT#9725-007/PCT#4</v>
      </c>
    </row>
    <row r="19" spans="1:8" x14ac:dyDescent="0.25">
      <c r="A19" t="s">
        <v>9</v>
      </c>
      <c r="B19">
        <v>81467</v>
      </c>
      <c r="C19" s="2">
        <v>22460.25</v>
      </c>
      <c r="D19" s="1">
        <v>43549</v>
      </c>
      <c r="E19" t="str">
        <f>"9725-001-106577"</f>
        <v>9725-001-106577</v>
      </c>
      <c r="F19" t="str">
        <f t="shared" ref="F19:F27" si="2">"ACCT#9725-001/REC BASE/PCT#2"</f>
        <v>ACCT#9725-001/REC BASE/PCT#2</v>
      </c>
      <c r="G19" s="2">
        <v>201.69</v>
      </c>
      <c r="H19" t="str">
        <f t="shared" ref="H19:H27" si="3">"ACCT#9725-001/REC BASE/PCT#2"</f>
        <v>ACCT#9725-001/REC BASE/PCT#2</v>
      </c>
    </row>
    <row r="20" spans="1:8" x14ac:dyDescent="0.25">
      <c r="E20" t="str">
        <f>"9725-001-106608"</f>
        <v>9725-001-106608</v>
      </c>
      <c r="F20" t="str">
        <f t="shared" si="2"/>
        <v>ACCT#9725-001/REC BASE/PCT#2</v>
      </c>
      <c r="G20" s="2">
        <v>423.24</v>
      </c>
      <c r="H20" t="str">
        <f t="shared" si="3"/>
        <v>ACCT#9725-001/REC BASE/PCT#2</v>
      </c>
    </row>
    <row r="21" spans="1:8" x14ac:dyDescent="0.25">
      <c r="E21" t="str">
        <f>"9725-001-106643"</f>
        <v>9725-001-106643</v>
      </c>
      <c r="F21" t="str">
        <f t="shared" si="2"/>
        <v>ACCT#9725-001/REC BASE/PCT#2</v>
      </c>
      <c r="G21" s="2">
        <v>4085.94</v>
      </c>
      <c r="H21" t="str">
        <f t="shared" si="3"/>
        <v>ACCT#9725-001/REC BASE/PCT#2</v>
      </c>
    </row>
    <row r="22" spans="1:8" x14ac:dyDescent="0.25">
      <c r="E22" t="str">
        <f>"9725-001-106678"</f>
        <v>9725-001-106678</v>
      </c>
      <c r="F22" t="str">
        <f t="shared" si="2"/>
        <v>ACCT#9725-001/REC BASE/PCT#2</v>
      </c>
      <c r="G22" s="2">
        <v>209.39</v>
      </c>
      <c r="H22" t="str">
        <f t="shared" si="3"/>
        <v>ACCT#9725-001/REC BASE/PCT#2</v>
      </c>
    </row>
    <row r="23" spans="1:8" x14ac:dyDescent="0.25">
      <c r="E23" t="str">
        <f>"9725-001-106716"</f>
        <v>9725-001-106716</v>
      </c>
      <c r="F23" t="str">
        <f t="shared" si="2"/>
        <v>ACCT#9725-001/REC BASE/PCT#2</v>
      </c>
      <c r="G23" s="2">
        <v>2669.56</v>
      </c>
      <c r="H23" t="str">
        <f t="shared" si="3"/>
        <v>ACCT#9725-001/REC BASE/PCT#2</v>
      </c>
    </row>
    <row r="24" spans="1:8" x14ac:dyDescent="0.25">
      <c r="E24" t="str">
        <f>"9725-001-106757"</f>
        <v>9725-001-106757</v>
      </c>
      <c r="F24" t="str">
        <f t="shared" si="2"/>
        <v>ACCT#9725-001/REC BASE/PCT#2</v>
      </c>
      <c r="G24" s="2">
        <v>638.04999999999995</v>
      </c>
      <c r="H24" t="str">
        <f t="shared" si="3"/>
        <v>ACCT#9725-001/REC BASE/PCT#2</v>
      </c>
    </row>
    <row r="25" spans="1:8" x14ac:dyDescent="0.25">
      <c r="E25" t="str">
        <f>"9725-001-106793"</f>
        <v>9725-001-106793</v>
      </c>
      <c r="F25" t="str">
        <f t="shared" si="2"/>
        <v>ACCT#9725-001/REC BASE/PCT#2</v>
      </c>
      <c r="G25" s="2">
        <v>5136.43</v>
      </c>
      <c r="H25" t="str">
        <f t="shared" si="3"/>
        <v>ACCT#9725-001/REC BASE/PCT#2</v>
      </c>
    </row>
    <row r="26" spans="1:8" x14ac:dyDescent="0.25">
      <c r="E26" t="str">
        <f>"9725-001-106823"</f>
        <v>9725-001-106823</v>
      </c>
      <c r="F26" t="str">
        <f t="shared" si="2"/>
        <v>ACCT#9725-001/REC BASE/PCT#2</v>
      </c>
      <c r="G26" s="2">
        <v>5765.76</v>
      </c>
      <c r="H26" t="str">
        <f t="shared" si="3"/>
        <v>ACCT#9725-001/REC BASE/PCT#2</v>
      </c>
    </row>
    <row r="27" spans="1:8" x14ac:dyDescent="0.25">
      <c r="E27" t="str">
        <f>"9725-001-106850"</f>
        <v>9725-001-106850</v>
      </c>
      <c r="F27" t="str">
        <f t="shared" si="2"/>
        <v>ACCT#9725-001/REC BASE/PCT#2</v>
      </c>
      <c r="G27" s="2">
        <v>214.55</v>
      </c>
      <c r="H27" t="str">
        <f t="shared" si="3"/>
        <v>ACCT#9725-001/REC BASE/PCT#2</v>
      </c>
    </row>
    <row r="28" spans="1:8" x14ac:dyDescent="0.25">
      <c r="E28" t="str">
        <f>"9725-004-106690"</f>
        <v>9725-004-106690</v>
      </c>
      <c r="F28" t="str">
        <f>"ACCT#9725-004/REC BASE/PCT#4"</f>
        <v>ACCT#9725-004/REC BASE/PCT#4</v>
      </c>
      <c r="G28" s="2">
        <v>491.23</v>
      </c>
      <c r="H28" t="str">
        <f>"ACCT#9725-004/REC BASE/PCT#4"</f>
        <v>ACCT#9725-004/REC BASE/PCT#4</v>
      </c>
    </row>
    <row r="29" spans="1:8" x14ac:dyDescent="0.25">
      <c r="E29" t="str">
        <f>"9725-004-106832"</f>
        <v>9725-004-106832</v>
      </c>
      <c r="F29" t="str">
        <f>"ACCT#9725-004/REC BASE/PCT#4"</f>
        <v>ACCT#9725-004/REC BASE/PCT#4</v>
      </c>
      <c r="G29" s="2">
        <v>727.66</v>
      </c>
      <c r="H29" t="str">
        <f>"ACCT#9725-004/REC BASE/PCT#4"</f>
        <v>ACCT#9725-004/REC BASE/PCT#4</v>
      </c>
    </row>
    <row r="30" spans="1:8" x14ac:dyDescent="0.25">
      <c r="E30" t="str">
        <f>"9725-007-106625"</f>
        <v>9725-007-106625</v>
      </c>
      <c r="F30" t="str">
        <f>"ACCT#9725-007/PCT#4"</f>
        <v>ACCT#9725-007/PCT#4</v>
      </c>
      <c r="G30" s="2">
        <v>359.81</v>
      </c>
      <c r="H30" t="str">
        <f>"ACCT#9725-007/PCT#4"</f>
        <v>ACCT#9725-007/PCT#4</v>
      </c>
    </row>
    <row r="31" spans="1:8" x14ac:dyDescent="0.25">
      <c r="E31" t="str">
        <f>"9725-007-106657"</f>
        <v>9725-007-106657</v>
      </c>
      <c r="F31" t="str">
        <f>"ACCT#9725-007/PCT#4"</f>
        <v>ACCT#9725-007/PCT#4</v>
      </c>
      <c r="G31" s="2">
        <v>570.76</v>
      </c>
      <c r="H31" t="str">
        <f>"ACCT#9725-007/PCT#4"</f>
        <v>ACCT#9725-007/PCT#4</v>
      </c>
    </row>
    <row r="32" spans="1:8" x14ac:dyDescent="0.25">
      <c r="E32" t="str">
        <f>"9725-007-106834"</f>
        <v>9725-007-106834</v>
      </c>
      <c r="F32" t="str">
        <f>"ACCT#9725-007/REC BASE/PCT#4"</f>
        <v>ACCT#9725-007/REC BASE/PCT#4</v>
      </c>
      <c r="G32" s="2">
        <v>966.18</v>
      </c>
      <c r="H32" t="str">
        <f>"ACCT#9725-007/REC BASE/PCT#4"</f>
        <v>ACCT#9725-007/REC BASE/PCT#4</v>
      </c>
    </row>
    <row r="33" spans="1:8" x14ac:dyDescent="0.25">
      <c r="A33" t="s">
        <v>10</v>
      </c>
      <c r="B33">
        <v>81468</v>
      </c>
      <c r="C33" s="2">
        <v>30</v>
      </c>
      <c r="D33" s="1">
        <v>43549</v>
      </c>
      <c r="E33" t="str">
        <f>"201903147905"</f>
        <v>201903147905</v>
      </c>
      <c r="F33" t="str">
        <f>"REFUND BAIL BOND COUPONS"</f>
        <v>REFUND BAIL BOND COUPONS</v>
      </c>
      <c r="G33" s="2">
        <v>30</v>
      </c>
      <c r="H33" t="str">
        <f>"REFUND BAIL BOND COUPONS"</f>
        <v>REFUND BAIL BOND COUPONS</v>
      </c>
    </row>
    <row r="34" spans="1:8" x14ac:dyDescent="0.25">
      <c r="A34" t="s">
        <v>11</v>
      </c>
      <c r="B34">
        <v>81236</v>
      </c>
      <c r="C34" s="2">
        <v>1154.6300000000001</v>
      </c>
      <c r="D34" s="1">
        <v>43535</v>
      </c>
      <c r="E34" t="str">
        <f>"201903057723"</f>
        <v>201903057723</v>
      </c>
      <c r="F34" t="str">
        <f>"CUST#16500/STMNT#338919/P4"</f>
        <v>CUST#16500/STMNT#338919/P4</v>
      </c>
      <c r="G34" s="2">
        <v>1154.6300000000001</v>
      </c>
      <c r="H34" t="str">
        <f>"CUST#16500/STMNT#338919/P4"</f>
        <v>CUST#16500/STMNT#338919/P4</v>
      </c>
    </row>
    <row r="35" spans="1:8" x14ac:dyDescent="0.25">
      <c r="A35" t="s">
        <v>12</v>
      </c>
      <c r="B35">
        <v>534</v>
      </c>
      <c r="C35" s="2">
        <v>31644.62</v>
      </c>
      <c r="D35" s="1">
        <v>43536</v>
      </c>
      <c r="E35" t="str">
        <f>"201903047598"</f>
        <v>201903047598</v>
      </c>
      <c r="F35" t="str">
        <f>"HAULING EXPS 02/15-03/01/PCT#4"</f>
        <v>HAULING EXPS 02/15-03/01/PCT#4</v>
      </c>
      <c r="G35" s="2">
        <v>29095.279999999999</v>
      </c>
      <c r="H35" t="str">
        <f>"HAULING EXPS 02/15-03/01/PCT#4"</f>
        <v>HAULING EXPS 02/15-03/01/PCT#4</v>
      </c>
    </row>
    <row r="36" spans="1:8" x14ac:dyDescent="0.25">
      <c r="E36" t="str">
        <f>"201903047602"</f>
        <v>201903047602</v>
      </c>
      <c r="F36" t="str">
        <f>"HAULING EXPS 02/19-02/21/PCT#1"</f>
        <v>HAULING EXPS 02/19-02/21/PCT#1</v>
      </c>
      <c r="G36" s="2">
        <v>2549.34</v>
      </c>
      <c r="H36" t="str">
        <f>"HAULING EXPS 02/19-02/21/PCT#1"</f>
        <v>HAULING EXPS 02/19-02/21/PCT#1</v>
      </c>
    </row>
    <row r="37" spans="1:8" x14ac:dyDescent="0.25">
      <c r="A37" t="s">
        <v>12</v>
      </c>
      <c r="B37">
        <v>586</v>
      </c>
      <c r="C37" s="2">
        <v>27750.14</v>
      </c>
      <c r="D37" s="1">
        <v>43550</v>
      </c>
      <c r="E37" t="str">
        <f>"201903187932"</f>
        <v>201903187932</v>
      </c>
      <c r="F37" t="str">
        <f>"HAULING EXPS 02/20-03/15/PCT#1"</f>
        <v>HAULING EXPS 02/20-03/15/PCT#1</v>
      </c>
      <c r="G37" s="2">
        <v>14320.62</v>
      </c>
      <c r="H37" t="str">
        <f>"HAULING EXPS 02/20-03/15/PCT#1"</f>
        <v>HAULING EXPS 02/20-03/15/PCT#1</v>
      </c>
    </row>
    <row r="38" spans="1:8" x14ac:dyDescent="0.25">
      <c r="E38" t="str">
        <f>"201903187934"</f>
        <v>201903187934</v>
      </c>
      <c r="F38" t="str">
        <f>"HAULING EXPS 03/04-03/14/PCT#4"</f>
        <v>HAULING EXPS 03/04-03/14/PCT#4</v>
      </c>
      <c r="G38" s="2">
        <v>13429.52</v>
      </c>
      <c r="H38" t="str">
        <f>"HAULING EXPS 03/04-03/14/PCT#4"</f>
        <v>HAULING EXPS 03/04-03/14/PCT#4</v>
      </c>
    </row>
    <row r="39" spans="1:8" x14ac:dyDescent="0.25">
      <c r="A39" t="s">
        <v>13</v>
      </c>
      <c r="B39">
        <v>531</v>
      </c>
      <c r="C39" s="2">
        <v>226.22</v>
      </c>
      <c r="D39" s="1">
        <v>43536</v>
      </c>
      <c r="E39" t="str">
        <f>"76500896"</f>
        <v>76500896</v>
      </c>
      <c r="F39" t="str">
        <f>"INV 76500896"</f>
        <v>INV 76500896</v>
      </c>
      <c r="G39" s="2">
        <v>226.22</v>
      </c>
      <c r="H39" t="str">
        <f>"INV 76500896"</f>
        <v>INV 76500896</v>
      </c>
    </row>
    <row r="40" spans="1:8" x14ac:dyDescent="0.25">
      <c r="A40" t="s">
        <v>14</v>
      </c>
      <c r="B40">
        <v>81237</v>
      </c>
      <c r="C40" s="2">
        <v>51</v>
      </c>
      <c r="D40" s="1">
        <v>43535</v>
      </c>
      <c r="E40" t="str">
        <f>"6078478"</f>
        <v>6078478</v>
      </c>
      <c r="F40" t="str">
        <f>"CUST#AB00500/COMPRESSOR/GEN SV"</f>
        <v>CUST#AB00500/COMPRESSOR/GEN SV</v>
      </c>
      <c r="G40" s="2">
        <v>51</v>
      </c>
      <c r="H40" t="str">
        <f>"CUST#AB00500/COMPRESSOR/GEN SV"</f>
        <v>CUST#AB00500/COMPRESSOR/GEN SV</v>
      </c>
    </row>
    <row r="41" spans="1:8" x14ac:dyDescent="0.25">
      <c r="A41" t="s">
        <v>15</v>
      </c>
      <c r="B41">
        <v>81238</v>
      </c>
      <c r="C41" s="2">
        <v>977.5</v>
      </c>
      <c r="D41" s="1">
        <v>43535</v>
      </c>
      <c r="E41" t="str">
        <f>"201903067824"</f>
        <v>201903067824</v>
      </c>
      <c r="F41" t="str">
        <f>"19-19443"</f>
        <v>19-19443</v>
      </c>
      <c r="G41" s="2">
        <v>527.5</v>
      </c>
      <c r="H41" t="str">
        <f>"19-19443"</f>
        <v>19-19443</v>
      </c>
    </row>
    <row r="42" spans="1:8" x14ac:dyDescent="0.25">
      <c r="E42" t="str">
        <f>"201903067825"</f>
        <v>201903067825</v>
      </c>
      <c r="F42" t="str">
        <f>"18-19093"</f>
        <v>18-19093</v>
      </c>
      <c r="G42" s="2">
        <v>100</v>
      </c>
      <c r="H42" t="str">
        <f>"18-19093"</f>
        <v>18-19093</v>
      </c>
    </row>
    <row r="43" spans="1:8" x14ac:dyDescent="0.25">
      <c r="E43" t="str">
        <f>"201903067826"</f>
        <v>201903067826</v>
      </c>
      <c r="F43" t="str">
        <f>"17-18765"</f>
        <v>17-18765</v>
      </c>
      <c r="G43" s="2">
        <v>67.5</v>
      </c>
      <c r="H43" t="str">
        <f>"17-18765"</f>
        <v>17-18765</v>
      </c>
    </row>
    <row r="44" spans="1:8" x14ac:dyDescent="0.25">
      <c r="E44" t="str">
        <f>"201903067827"</f>
        <v>201903067827</v>
      </c>
      <c r="F44" t="str">
        <f>"18-19182"</f>
        <v>18-19182</v>
      </c>
      <c r="G44" s="2">
        <v>107.5</v>
      </c>
      <c r="H44" t="str">
        <f>"18-19182"</f>
        <v>18-19182</v>
      </c>
    </row>
    <row r="45" spans="1:8" x14ac:dyDescent="0.25">
      <c r="E45" t="str">
        <f>"201903067828"</f>
        <v>201903067828</v>
      </c>
      <c r="F45" t="str">
        <f>"14-16404"</f>
        <v>14-16404</v>
      </c>
      <c r="G45" s="2">
        <v>175</v>
      </c>
      <c r="H45" t="str">
        <f>"14-16404"</f>
        <v>14-16404</v>
      </c>
    </row>
    <row r="46" spans="1:8" x14ac:dyDescent="0.25">
      <c r="A46" t="s">
        <v>16</v>
      </c>
      <c r="B46">
        <v>590</v>
      </c>
      <c r="C46" s="2">
        <v>1222.0999999999999</v>
      </c>
      <c r="D46" s="1">
        <v>43550</v>
      </c>
      <c r="E46" t="str">
        <f>"201903187919"</f>
        <v>201903187919</v>
      </c>
      <c r="F46" t="str">
        <f>"REIMBURSE PARKING/BOOTH ITEMS"</f>
        <v>REIMBURSE PARKING/BOOTH ITEMS</v>
      </c>
      <c r="G46" s="2">
        <v>143.61000000000001</v>
      </c>
      <c r="H46" t="str">
        <f>"REIMBURSE PARKING/BOOTH ITEMS"</f>
        <v>REIMBURSE PARKING/BOOTH ITEMS</v>
      </c>
    </row>
    <row r="47" spans="1:8" x14ac:dyDescent="0.25">
      <c r="E47" t="str">
        <f>"201903187922"</f>
        <v>201903187922</v>
      </c>
      <c r="F47" t="str">
        <f>"REIMBURSE REGISTRATION/AIRFARE"</f>
        <v>REIMBURSE REGISTRATION/AIRFARE</v>
      </c>
      <c r="G47" s="2">
        <v>698.49</v>
      </c>
      <c r="H47" t="str">
        <f>"REIMBURSE REGISTRATION/AIRFARE"</f>
        <v>REIMBURSE REGISTRATION/AIRFARE</v>
      </c>
    </row>
    <row r="48" spans="1:8" x14ac:dyDescent="0.25">
      <c r="E48" t="str">
        <f>"201903187931"</f>
        <v>201903187931</v>
      </c>
      <c r="F48" t="str">
        <f>"REGISTRATION-ARCIT LEGIS EVENT"</f>
        <v>REGISTRATION-ARCIT LEGIS EVENT</v>
      </c>
      <c r="G48" s="2">
        <v>240</v>
      </c>
      <c r="H48" t="str">
        <f>"REGISTRATION-ARCIT LEGIS EVENT"</f>
        <v>REGISTRATION-ARCIT LEGIS EVENT</v>
      </c>
    </row>
    <row r="49" spans="1:8" x14ac:dyDescent="0.25">
      <c r="E49" t="str">
        <f>"201903197942"</f>
        <v>201903197942</v>
      </c>
      <c r="F49" t="str">
        <f>"TRAVEL ADVANCE - PER DIEM"</f>
        <v>TRAVEL ADVANCE - PER DIEM</v>
      </c>
      <c r="G49" s="2">
        <v>30</v>
      </c>
      <c r="H49" t="str">
        <f>"TRAVEL ADVANCE - PER DIEM"</f>
        <v>TRAVEL ADVANCE - PER DIEM</v>
      </c>
    </row>
    <row r="50" spans="1:8" x14ac:dyDescent="0.25">
      <c r="E50" t="str">
        <f>"201903197943"</f>
        <v>201903197943</v>
      </c>
      <c r="F50" t="str">
        <f>"PER DIEM"</f>
        <v>PER DIEM</v>
      </c>
      <c r="G50" s="2">
        <v>35</v>
      </c>
      <c r="H50" t="str">
        <f>"PER DIEM"</f>
        <v>PER DIEM</v>
      </c>
    </row>
    <row r="51" spans="1:8" x14ac:dyDescent="0.25">
      <c r="E51" t="str">
        <f>"201903197944"</f>
        <v>201903197944</v>
      </c>
      <c r="F51" t="str">
        <f>"REIMBURSE-MAIL CHIMP MONTHLY"</f>
        <v>REIMBURSE-MAIL CHIMP MONTHLY</v>
      </c>
      <c r="G51" s="2">
        <v>75</v>
      </c>
      <c r="H51" t="str">
        <f>"REIMBURSE-MAIL CHIMP MONTHLY"</f>
        <v>REIMBURSE-MAIL CHIMP MONTHLY</v>
      </c>
    </row>
    <row r="52" spans="1:8" x14ac:dyDescent="0.25">
      <c r="A52" t="s">
        <v>17</v>
      </c>
      <c r="B52">
        <v>81239</v>
      </c>
      <c r="C52" s="2">
        <v>149.69</v>
      </c>
      <c r="D52" s="1">
        <v>43535</v>
      </c>
      <c r="E52" t="str">
        <f>"9086054398"</f>
        <v>9086054398</v>
      </c>
      <c r="F52" t="str">
        <f>"CUST#2278443/PCT#2"</f>
        <v>CUST#2278443/PCT#2</v>
      </c>
      <c r="G52" s="2">
        <v>149.69</v>
      </c>
      <c r="H52" t="str">
        <f>"CUST#2278443/PCT#2"</f>
        <v>CUST#2278443/PCT#2</v>
      </c>
    </row>
    <row r="53" spans="1:8" x14ac:dyDescent="0.25">
      <c r="A53" t="s">
        <v>18</v>
      </c>
      <c r="B53">
        <v>81469</v>
      </c>
      <c r="C53" s="2">
        <v>319.22000000000003</v>
      </c>
      <c r="D53" s="1">
        <v>43549</v>
      </c>
      <c r="E53" t="str">
        <f>"6489641"</f>
        <v>6489641</v>
      </c>
      <c r="F53" t="str">
        <f>"ACCT#775675/PCT#4"</f>
        <v>ACCT#775675/PCT#4</v>
      </c>
      <c r="G53" s="2">
        <v>319.22000000000003</v>
      </c>
      <c r="H53" t="str">
        <f>"ACCT#775675/PCT#4"</f>
        <v>ACCT#775675/PCT#4</v>
      </c>
    </row>
    <row r="54" spans="1:8" x14ac:dyDescent="0.25">
      <c r="A54" t="s">
        <v>19</v>
      </c>
      <c r="B54">
        <v>613</v>
      </c>
      <c r="C54" s="2">
        <v>400</v>
      </c>
      <c r="D54" s="1">
        <v>43550</v>
      </c>
      <c r="E54" t="str">
        <f>"201903117887"</f>
        <v>201903117887</v>
      </c>
      <c r="F54" t="str">
        <f>"410027-6"</f>
        <v>410027-6</v>
      </c>
      <c r="G54" s="2">
        <v>400</v>
      </c>
      <c r="H54" t="str">
        <f>"410027-6"</f>
        <v>410027-6</v>
      </c>
    </row>
    <row r="55" spans="1:8" x14ac:dyDescent="0.25">
      <c r="A55" t="s">
        <v>20</v>
      </c>
      <c r="B55">
        <v>81240</v>
      </c>
      <c r="C55" s="2">
        <v>894.55</v>
      </c>
      <c r="D55" s="1">
        <v>43535</v>
      </c>
      <c r="E55" t="str">
        <f>"201903057679"</f>
        <v>201903057679</v>
      </c>
      <c r="F55" t="str">
        <f>"18-19130  J-3160"</f>
        <v>18-19130  J-3160</v>
      </c>
      <c r="G55" s="2">
        <v>217.99</v>
      </c>
      <c r="H55" t="str">
        <f>"18-19130  J-3160"</f>
        <v>18-19130  J-3160</v>
      </c>
    </row>
    <row r="56" spans="1:8" x14ac:dyDescent="0.25">
      <c r="E56" t="str">
        <f>"201903057680"</f>
        <v>201903057680</v>
      </c>
      <c r="F56" t="str">
        <f>"CRIMINAL DOCKET"</f>
        <v>CRIMINAL DOCKET</v>
      </c>
      <c r="G56" s="2">
        <v>338.28</v>
      </c>
      <c r="H56" t="str">
        <f>"CRIMINAL DOCKET"</f>
        <v>CRIMINAL DOCKET</v>
      </c>
    </row>
    <row r="57" spans="1:8" x14ac:dyDescent="0.25">
      <c r="E57" t="str">
        <f>"201903057681"</f>
        <v>201903057681</v>
      </c>
      <c r="F57" t="str">
        <f>"CRIMINAL DOCKET"</f>
        <v>CRIMINAL DOCKET</v>
      </c>
      <c r="G57" s="2">
        <v>338.28</v>
      </c>
      <c r="H57" t="str">
        <f>"CRIMINAL DOCKET"</f>
        <v>CRIMINAL DOCKET</v>
      </c>
    </row>
    <row r="58" spans="1:8" x14ac:dyDescent="0.25">
      <c r="A58" t="s">
        <v>20</v>
      </c>
      <c r="B58">
        <v>81470</v>
      </c>
      <c r="C58" s="2">
        <v>338.28</v>
      </c>
      <c r="D58" s="1">
        <v>43549</v>
      </c>
      <c r="E58" t="str">
        <f>"201903197935"</f>
        <v>201903197935</v>
      </c>
      <c r="F58" t="str">
        <f>"423 5874"</f>
        <v>423 5874</v>
      </c>
      <c r="G58" s="2">
        <v>338.28</v>
      </c>
      <c r="H58" t="str">
        <f>"423 5874"</f>
        <v>423 5874</v>
      </c>
    </row>
    <row r="59" spans="1:8" x14ac:dyDescent="0.25">
      <c r="A59" t="s">
        <v>21</v>
      </c>
      <c r="B59">
        <v>81471</v>
      </c>
      <c r="C59" s="2">
        <v>474</v>
      </c>
      <c r="D59" s="1">
        <v>43549</v>
      </c>
      <c r="E59" t="str">
        <f>"36006"</f>
        <v>36006</v>
      </c>
      <c r="F59" t="str">
        <f>"RENTAL-COOL WATER"</f>
        <v>RENTAL-COOL WATER</v>
      </c>
      <c r="G59" s="2">
        <v>215</v>
      </c>
      <c r="H59" t="str">
        <f>"RENTAL-COOL WATER"</f>
        <v>RENTAL-COOL WATER</v>
      </c>
    </row>
    <row r="60" spans="1:8" x14ac:dyDescent="0.25">
      <c r="E60" t="str">
        <f>"36007"</f>
        <v>36007</v>
      </c>
      <c r="F60" t="str">
        <f>"RENTAL-375 RIVERSIDE"</f>
        <v>RENTAL-375 RIVERSIDE</v>
      </c>
      <c r="G60" s="2">
        <v>259</v>
      </c>
      <c r="H60" t="str">
        <f>"RENTAL-375 RIVERSIDE"</f>
        <v>RENTAL-375 RIVERSIDE</v>
      </c>
    </row>
    <row r="61" spans="1:8" x14ac:dyDescent="0.25">
      <c r="A61" t="s">
        <v>22</v>
      </c>
      <c r="B61">
        <v>545</v>
      </c>
      <c r="C61" s="2">
        <v>4574.1099999999997</v>
      </c>
      <c r="D61" s="1">
        <v>43536</v>
      </c>
      <c r="E61" t="str">
        <f>"1L49-RPTT-QVY9"</f>
        <v>1L49-RPTT-QVY9</v>
      </c>
      <c r="F61" t="str">
        <f>"New Throttle Control Cabl"</f>
        <v>New Throttle Control Cabl</v>
      </c>
      <c r="G61" s="2">
        <v>25.19</v>
      </c>
      <c r="H61" t="str">
        <f>"New Throttle Control Cabl"</f>
        <v>New Throttle Control Cabl</v>
      </c>
    </row>
    <row r="62" spans="1:8" x14ac:dyDescent="0.25">
      <c r="E62" t="str">
        <f>"1PGF-4VHN-91CW"</f>
        <v>1PGF-4VHN-91CW</v>
      </c>
      <c r="F62" t="str">
        <f>"USB DRIVES"</f>
        <v>USB DRIVES</v>
      </c>
      <c r="G62" s="2">
        <v>4334.97</v>
      </c>
      <c r="H62" t="str">
        <f>"16GB"</f>
        <v>16GB</v>
      </c>
    </row>
    <row r="63" spans="1:8" x14ac:dyDescent="0.25">
      <c r="E63" t="str">
        <f>""</f>
        <v/>
      </c>
      <c r="F63" t="str">
        <f>""</f>
        <v/>
      </c>
      <c r="H63" t="str">
        <f>"8GB"</f>
        <v>8GB</v>
      </c>
    </row>
    <row r="64" spans="1:8" x14ac:dyDescent="0.25">
      <c r="E64" t="str">
        <f>""</f>
        <v/>
      </c>
      <c r="F64" t="str">
        <f>""</f>
        <v/>
      </c>
      <c r="H64" t="str">
        <f>"32GB"</f>
        <v>32GB</v>
      </c>
    </row>
    <row r="65" spans="1:8" x14ac:dyDescent="0.25">
      <c r="E65" t="str">
        <f>""</f>
        <v/>
      </c>
      <c r="F65" t="str">
        <f>""</f>
        <v/>
      </c>
      <c r="H65" t="str">
        <f>"32GB"</f>
        <v>32GB</v>
      </c>
    </row>
    <row r="66" spans="1:8" x14ac:dyDescent="0.25">
      <c r="E66" t="str">
        <f>""</f>
        <v/>
      </c>
      <c r="F66" t="str">
        <f>""</f>
        <v/>
      </c>
      <c r="H66" t="str">
        <f>"ONE-DAY SHIPPING"</f>
        <v>ONE-DAY SHIPPING</v>
      </c>
    </row>
    <row r="67" spans="1:8" x14ac:dyDescent="0.25">
      <c r="E67" t="str">
        <f>"201903067810"</f>
        <v>201903067810</v>
      </c>
      <c r="F67" t="str">
        <f>"AMAZON CAPITAL SERVICES INC"</f>
        <v>AMAZON CAPITAL SERVICES INC</v>
      </c>
      <c r="G67" s="2">
        <v>213.95</v>
      </c>
      <c r="H67" t="str">
        <f>"WARN WINCH MOTOR"</f>
        <v>WARN WINCH MOTOR</v>
      </c>
    </row>
    <row r="68" spans="1:8" x14ac:dyDescent="0.25">
      <c r="A68" t="s">
        <v>22</v>
      </c>
      <c r="B68">
        <v>600</v>
      </c>
      <c r="C68" s="2">
        <v>662.76</v>
      </c>
      <c r="D68" s="1">
        <v>43550</v>
      </c>
      <c r="E68" t="str">
        <f>"111K-DDNC-F9K7"</f>
        <v>111K-DDNC-F9K7</v>
      </c>
      <c r="F68" t="str">
        <f>"Deposit box for Surgical"</f>
        <v>Deposit box for Surgical</v>
      </c>
      <c r="G68" s="2">
        <v>45.99</v>
      </c>
      <c r="H68" t="str">
        <f>"Deposit box"</f>
        <v>Deposit box</v>
      </c>
    </row>
    <row r="69" spans="1:8" x14ac:dyDescent="0.25">
      <c r="E69" t="str">
        <f>"1CX4-WT6D-NQQ9"</f>
        <v>1CX4-WT6D-NQQ9</v>
      </c>
      <c r="F69" t="str">
        <f>"Yost Vises"</f>
        <v>Yost Vises</v>
      </c>
      <c r="G69" s="2">
        <v>455.8</v>
      </c>
      <c r="H69" t="str">
        <f>"Yost Vises"</f>
        <v>Yost Vises</v>
      </c>
    </row>
    <row r="70" spans="1:8" x14ac:dyDescent="0.25">
      <c r="E70" t="str">
        <f>"1WY7-HXGN-XDPF"</f>
        <v>1WY7-HXGN-XDPF</v>
      </c>
      <c r="F70" t="str">
        <f>"Battery and Command Strip"</f>
        <v>Battery and Command Strip</v>
      </c>
      <c r="G70" s="2">
        <v>123.48</v>
      </c>
      <c r="H70" t="str">
        <f>"Battery backup"</f>
        <v>Battery backup</v>
      </c>
    </row>
    <row r="71" spans="1:8" x14ac:dyDescent="0.25">
      <c r="E71" t="str">
        <f>""</f>
        <v/>
      </c>
      <c r="F71" t="str">
        <f>""</f>
        <v/>
      </c>
      <c r="H71" t="str">
        <f>"Command Strip"</f>
        <v>Command Strip</v>
      </c>
    </row>
    <row r="72" spans="1:8" x14ac:dyDescent="0.25">
      <c r="E72" t="str">
        <f>"201903157914"</f>
        <v>201903157914</v>
      </c>
      <c r="F72" t="str">
        <f>"AMAZON CAPITAL SERVICES INC"</f>
        <v>AMAZON CAPITAL SERVICES INC</v>
      </c>
      <c r="G72" s="2">
        <v>37.49</v>
      </c>
      <c r="H72" t="str">
        <f>"COVER"</f>
        <v>COVER</v>
      </c>
    </row>
    <row r="73" spans="1:8" x14ac:dyDescent="0.25">
      <c r="A73" t="s">
        <v>23</v>
      </c>
      <c r="B73">
        <v>81241</v>
      </c>
      <c r="C73" s="2">
        <v>26.9</v>
      </c>
      <c r="D73" s="1">
        <v>43535</v>
      </c>
      <c r="E73" t="str">
        <f>"01-191114791"</f>
        <v>01-191114791</v>
      </c>
      <c r="F73" t="str">
        <f>"INV 01-191114791"</f>
        <v>INV 01-191114791</v>
      </c>
      <c r="G73" s="2">
        <v>26.9</v>
      </c>
      <c r="H73" t="str">
        <f>"INV 01-191114791"</f>
        <v>INV 01-191114791</v>
      </c>
    </row>
    <row r="74" spans="1:8" x14ac:dyDescent="0.25">
      <c r="A74" t="s">
        <v>24</v>
      </c>
      <c r="B74">
        <v>81472</v>
      </c>
      <c r="C74" s="2">
        <v>532</v>
      </c>
      <c r="D74" s="1">
        <v>43549</v>
      </c>
      <c r="E74" t="str">
        <f>"950267253 95026725"</f>
        <v>950267253 95026725</v>
      </c>
      <c r="F74" t="str">
        <f>"INV 950267253"</f>
        <v>INV 950267253</v>
      </c>
      <c r="G74" s="2">
        <v>284.06</v>
      </c>
      <c r="H74" t="str">
        <f>"INV 950267253"</f>
        <v>INV 950267253</v>
      </c>
    </row>
    <row r="75" spans="1:8" x14ac:dyDescent="0.25">
      <c r="E75" t="str">
        <f>""</f>
        <v/>
      </c>
      <c r="F75" t="str">
        <f>""</f>
        <v/>
      </c>
      <c r="H75" t="str">
        <f>"INV 950267254"</f>
        <v>INV 950267254</v>
      </c>
    </row>
    <row r="76" spans="1:8" x14ac:dyDescent="0.25">
      <c r="E76" t="str">
        <f>"950632858 95063285"</f>
        <v>950632858 95063285</v>
      </c>
      <c r="F76" t="str">
        <f>"INV 950632858"</f>
        <v>INV 950632858</v>
      </c>
      <c r="G76" s="2">
        <v>247.94</v>
      </c>
      <c r="H76" t="str">
        <f>"INV 950632858"</f>
        <v>INV 950632858</v>
      </c>
    </row>
    <row r="77" spans="1:8" x14ac:dyDescent="0.25">
      <c r="E77" t="str">
        <f>""</f>
        <v/>
      </c>
      <c r="F77" t="str">
        <f>""</f>
        <v/>
      </c>
      <c r="H77" t="str">
        <f>"INV 950632859"</f>
        <v>INV 950632859</v>
      </c>
    </row>
    <row r="78" spans="1:8" x14ac:dyDescent="0.25">
      <c r="A78" t="s">
        <v>25</v>
      </c>
      <c r="B78">
        <v>573</v>
      </c>
      <c r="C78" s="2">
        <v>2338.02</v>
      </c>
      <c r="D78" s="1">
        <v>43536</v>
      </c>
      <c r="E78" t="str">
        <f>"201903057629"</f>
        <v>201903057629</v>
      </c>
      <c r="F78" t="str">
        <f>"NO CAUSE # LISTED"</f>
        <v>NO CAUSE # LISTED</v>
      </c>
      <c r="G78" s="2">
        <v>100</v>
      </c>
      <c r="H78" t="str">
        <f>"NO CAUSE # LISTED"</f>
        <v>NO CAUSE # LISTED</v>
      </c>
    </row>
    <row r="79" spans="1:8" x14ac:dyDescent="0.25">
      <c r="E79" t="str">
        <f>"201903057630"</f>
        <v>201903057630</v>
      </c>
      <c r="F79" t="str">
        <f>"NO CAUSE # LISTED"</f>
        <v>NO CAUSE # LISTED</v>
      </c>
      <c r="G79" s="2">
        <v>100</v>
      </c>
      <c r="H79" t="str">
        <f>"NO CAUSE # LISTED"</f>
        <v>NO CAUSE # LISTED</v>
      </c>
    </row>
    <row r="80" spans="1:8" x14ac:dyDescent="0.25">
      <c r="E80" t="str">
        <f>"201903057631"</f>
        <v>201903057631</v>
      </c>
      <c r="F80" t="str">
        <f>"56 633"</f>
        <v>56 633</v>
      </c>
      <c r="G80" s="2">
        <v>250</v>
      </c>
      <c r="H80" t="str">
        <f>"56 633"</f>
        <v>56 633</v>
      </c>
    </row>
    <row r="81" spans="1:8" x14ac:dyDescent="0.25">
      <c r="E81" t="str">
        <f>"201903057632"</f>
        <v>201903057632</v>
      </c>
      <c r="F81" t="str">
        <f>"55 199   02-0206-2"</f>
        <v>55 199   02-0206-2</v>
      </c>
      <c r="G81" s="2">
        <v>375</v>
      </c>
      <c r="H81" t="str">
        <f>"55 199   02-0206-2"</f>
        <v>55 199   02-0206-2</v>
      </c>
    </row>
    <row r="82" spans="1:8" x14ac:dyDescent="0.25">
      <c r="E82" t="str">
        <f>"201903057633"</f>
        <v>201903057633</v>
      </c>
      <c r="F82" t="str">
        <f>"18-19071"</f>
        <v>18-19071</v>
      </c>
      <c r="G82" s="2">
        <v>1020.52</v>
      </c>
      <c r="H82" t="str">
        <f>"18-19071"</f>
        <v>18-19071</v>
      </c>
    </row>
    <row r="83" spans="1:8" x14ac:dyDescent="0.25">
      <c r="E83" t="str">
        <f>"201903057634"</f>
        <v>201903057634</v>
      </c>
      <c r="F83" t="str">
        <f>"18-19023"</f>
        <v>18-19023</v>
      </c>
      <c r="G83" s="2">
        <v>250</v>
      </c>
      <c r="H83" t="str">
        <f>"18-19023"</f>
        <v>18-19023</v>
      </c>
    </row>
    <row r="84" spans="1:8" x14ac:dyDescent="0.25">
      <c r="E84" t="str">
        <f>"201903057635"</f>
        <v>201903057635</v>
      </c>
      <c r="F84" t="str">
        <f>"18-18941"</f>
        <v>18-18941</v>
      </c>
      <c r="G84" s="2">
        <v>242.5</v>
      </c>
      <c r="H84" t="str">
        <f>"18-18941"</f>
        <v>18-18941</v>
      </c>
    </row>
    <row r="85" spans="1:8" x14ac:dyDescent="0.25">
      <c r="A85" t="s">
        <v>25</v>
      </c>
      <c r="B85">
        <v>623</v>
      </c>
      <c r="C85" s="2">
        <v>100</v>
      </c>
      <c r="D85" s="1">
        <v>43550</v>
      </c>
      <c r="E85" t="str">
        <f>"201903197941"</f>
        <v>201903197941</v>
      </c>
      <c r="F85" t="str">
        <f>"1058-21"</f>
        <v>1058-21</v>
      </c>
      <c r="G85" s="2">
        <v>100</v>
      </c>
      <c r="H85" t="str">
        <f>"1058-21"</f>
        <v>1058-21</v>
      </c>
    </row>
    <row r="86" spans="1:8" x14ac:dyDescent="0.25">
      <c r="A86" t="s">
        <v>26</v>
      </c>
      <c r="B86">
        <v>81473</v>
      </c>
      <c r="C86" s="2">
        <v>309</v>
      </c>
      <c r="D86" s="1">
        <v>43549</v>
      </c>
      <c r="E86" t="str">
        <f>"A46915"</f>
        <v>A46915</v>
      </c>
      <c r="F86" t="str">
        <f>"PARTS/FREIGHT"</f>
        <v>PARTS/FREIGHT</v>
      </c>
      <c r="G86" s="2">
        <v>309</v>
      </c>
      <c r="H86" t="str">
        <f>"PARTS/FREIGHT"</f>
        <v>PARTS/FREIGHT</v>
      </c>
    </row>
    <row r="87" spans="1:8" x14ac:dyDescent="0.25">
      <c r="A87" t="s">
        <v>27</v>
      </c>
      <c r="B87">
        <v>81242</v>
      </c>
      <c r="C87" s="2">
        <v>76.36</v>
      </c>
      <c r="D87" s="1">
        <v>43535</v>
      </c>
      <c r="E87" t="str">
        <f>"201902287549"</f>
        <v>201902287549</v>
      </c>
      <c r="F87" t="str">
        <f>"ACCT#3-3053"</f>
        <v>ACCT#3-3053</v>
      </c>
      <c r="G87" s="2">
        <v>15.92</v>
      </c>
      <c r="H87" t="str">
        <f>"ACCT#1902-430959"</f>
        <v>ACCT#1902-430959</v>
      </c>
    </row>
    <row r="88" spans="1:8" x14ac:dyDescent="0.25">
      <c r="E88" t="str">
        <f>"201902287550"</f>
        <v>201902287550</v>
      </c>
      <c r="F88" t="str">
        <f>"ACCT#3-3053/PCT#2"</f>
        <v>ACCT#3-3053/PCT#2</v>
      </c>
      <c r="G88" s="2">
        <v>60.44</v>
      </c>
      <c r="H88" t="str">
        <f>"ACCT#3-3053/PCT#2"</f>
        <v>ACCT#3-3053/PCT#2</v>
      </c>
    </row>
    <row r="89" spans="1:8" x14ac:dyDescent="0.25">
      <c r="A89" t="s">
        <v>28</v>
      </c>
      <c r="B89">
        <v>81243</v>
      </c>
      <c r="C89" s="2">
        <v>684.45</v>
      </c>
      <c r="D89" s="1">
        <v>43535</v>
      </c>
      <c r="E89" t="str">
        <f>"201903017577"</f>
        <v>201903017577</v>
      </c>
      <c r="F89" t="str">
        <f>"ACCT#010835/COMMISSIONER PCT#1"</f>
        <v>ACCT#010835/COMMISSIONER PCT#1</v>
      </c>
      <c r="G89" s="2">
        <v>26.99</v>
      </c>
      <c r="H89" t="str">
        <f>"ACCT#010835/COMMISSIONER PCT#1"</f>
        <v>ACCT#010835/COMMISSIONER PCT#1</v>
      </c>
    </row>
    <row r="90" spans="1:8" x14ac:dyDescent="0.25">
      <c r="E90" t="str">
        <f>"201903017586"</f>
        <v>201903017586</v>
      </c>
      <c r="F90" t="str">
        <f>"ACCT#010311/COUNTY CT AT LAW"</f>
        <v>ACCT#010311/COUNTY CT AT LAW</v>
      </c>
      <c r="G90" s="2">
        <v>12</v>
      </c>
      <c r="H90" t="str">
        <f>"ACCT#010311/COUNTY CT AT LAW"</f>
        <v>ACCT#010311/COUNTY CT AT LAW</v>
      </c>
    </row>
    <row r="91" spans="1:8" x14ac:dyDescent="0.25">
      <c r="E91" t="str">
        <f>"201903017587"</f>
        <v>201903017587</v>
      </c>
      <c r="F91" t="str">
        <f>"ACCT#015199/JP#1"</f>
        <v>ACCT#015199/JP#1</v>
      </c>
      <c r="G91" s="2">
        <v>26.99</v>
      </c>
      <c r="H91" t="str">
        <f>"ACCT#015199/JP#1"</f>
        <v>ACCT#015199/JP#1</v>
      </c>
    </row>
    <row r="92" spans="1:8" x14ac:dyDescent="0.25">
      <c r="E92" t="str">
        <f>"201903017588"</f>
        <v>201903017588</v>
      </c>
      <c r="F92" t="str">
        <f>"ACCT#010057/AUDITOR"</f>
        <v>ACCT#010057/AUDITOR</v>
      </c>
      <c r="G92" s="2">
        <v>39</v>
      </c>
      <c r="H92" t="str">
        <f>"ACCT#010057/AUDITOR"</f>
        <v>ACCT#010057/AUDITOR</v>
      </c>
    </row>
    <row r="93" spans="1:8" x14ac:dyDescent="0.25">
      <c r="E93" t="str">
        <f>"201903017589"</f>
        <v>201903017589</v>
      </c>
      <c r="F93" t="str">
        <f>"ACCT#011474/ELECTIONS"</f>
        <v>ACCT#011474/ELECTIONS</v>
      </c>
      <c r="G93" s="2">
        <v>32.5</v>
      </c>
      <c r="H93" t="str">
        <f>"ACCT#011474/ELECTIONS"</f>
        <v>ACCT#011474/ELECTIONS</v>
      </c>
    </row>
    <row r="94" spans="1:8" x14ac:dyDescent="0.25">
      <c r="E94" t="str">
        <f>"201903017590"</f>
        <v>201903017590</v>
      </c>
      <c r="F94" t="str">
        <f>"ACCT#010602/COMMISSIONER OFF"</f>
        <v>ACCT#010602/COMMISSIONER OFF</v>
      </c>
      <c r="G94" s="2">
        <v>33</v>
      </c>
      <c r="H94" t="str">
        <f>"ACCT#010602/COMMISSIONER OFF"</f>
        <v>ACCT#010602/COMMISSIONER OFF</v>
      </c>
    </row>
    <row r="95" spans="1:8" x14ac:dyDescent="0.25">
      <c r="E95" t="str">
        <f>"201903017592"</f>
        <v>201903017592</v>
      </c>
      <c r="F95" t="str">
        <f>"ACCT#015538/EMER.COMM."</f>
        <v>ACCT#015538/EMER.COMM.</v>
      </c>
      <c r="G95" s="2">
        <v>98.99</v>
      </c>
      <c r="H95" t="str">
        <f>"ACCT#015538/EMER.COMM."</f>
        <v>ACCT#015538/EMER.COMM.</v>
      </c>
    </row>
    <row r="96" spans="1:8" x14ac:dyDescent="0.25">
      <c r="E96" t="str">
        <f>"201903017593"</f>
        <v>201903017593</v>
      </c>
      <c r="F96" t="str">
        <f>"ACCT#011280/COUNTY CLERK"</f>
        <v>ACCT#011280/COUNTY CLERK</v>
      </c>
      <c r="G96" s="2">
        <v>54</v>
      </c>
      <c r="H96" t="str">
        <f>"ACCT#011280/COUNTY CLERK"</f>
        <v>ACCT#011280/COUNTY CLERK</v>
      </c>
    </row>
    <row r="97" spans="1:8" x14ac:dyDescent="0.25">
      <c r="E97" t="str">
        <f>"201903017594"</f>
        <v>201903017594</v>
      </c>
      <c r="F97" t="str">
        <f>"ACCT#012571/TREASURER"</f>
        <v>ACCT#012571/TREASURER</v>
      </c>
      <c r="G97" s="2">
        <v>30</v>
      </c>
      <c r="H97" t="str">
        <f>"ACCT#012571/TREASURER"</f>
        <v>ACCT#012571/TREASURER</v>
      </c>
    </row>
    <row r="98" spans="1:8" x14ac:dyDescent="0.25">
      <c r="E98" t="str">
        <f>"201903017595"</f>
        <v>201903017595</v>
      </c>
      <c r="F98" t="str">
        <f>"ACCT#011955/DISTRICT JUDGE"</f>
        <v>ACCT#011955/DISTRICT JUDGE</v>
      </c>
      <c r="G98" s="2">
        <v>54</v>
      </c>
      <c r="H98" t="str">
        <f>"ACCT#011955/DISTRICT JUDGE"</f>
        <v>ACCT#011955/DISTRICT JUDGE</v>
      </c>
    </row>
    <row r="99" spans="1:8" x14ac:dyDescent="0.25">
      <c r="E99" t="str">
        <f>"201903017596"</f>
        <v>201903017596</v>
      </c>
      <c r="F99" t="str">
        <f>"ACCT#011033/IT DEPT"</f>
        <v>ACCT#011033/IT DEPT</v>
      </c>
      <c r="G99" s="2">
        <v>31.5</v>
      </c>
      <c r="H99" t="str">
        <f>"ACCT#011033/IT DEPT"</f>
        <v>ACCT#011033/IT DEPT</v>
      </c>
    </row>
    <row r="100" spans="1:8" x14ac:dyDescent="0.25">
      <c r="E100" t="str">
        <f>"201903017597"</f>
        <v>201903017597</v>
      </c>
      <c r="F100" t="str">
        <f>"ACCT#012259/DIST CLERK"</f>
        <v>ACCT#012259/DIST CLERK</v>
      </c>
      <c r="G100" s="2">
        <v>69</v>
      </c>
      <c r="H100" t="str">
        <f>"ACCT#012259/DIST CLERK"</f>
        <v>ACCT#012259/DIST CLERK</v>
      </c>
    </row>
    <row r="101" spans="1:8" x14ac:dyDescent="0.25">
      <c r="E101" t="str">
        <f>"201903047601"</f>
        <v>201903047601</v>
      </c>
      <c r="F101" t="str">
        <f>"ACCT#013393/HUMAN RESOURCES"</f>
        <v>ACCT#013393/HUMAN RESOURCES</v>
      </c>
      <c r="G101" s="2">
        <v>17.5</v>
      </c>
      <c r="H101" t="str">
        <f>"ACCT#013393/HUMAN RESOURCES"</f>
        <v>ACCT#013393/HUMAN RESOURCES</v>
      </c>
    </row>
    <row r="102" spans="1:8" x14ac:dyDescent="0.25">
      <c r="E102" t="str">
        <f>"201903047603"</f>
        <v>201903047603</v>
      </c>
      <c r="F102" t="str">
        <f>"ACCT#014877/INDIGENT HEALTH"</f>
        <v>ACCT#014877/INDIGENT HEALTH</v>
      </c>
      <c r="G102" s="2">
        <v>19.489999999999998</v>
      </c>
      <c r="H102" t="str">
        <f>"ACCT#014877/INDIGENT HEALTH"</f>
        <v>ACCT#014877/INDIGENT HEALTH</v>
      </c>
    </row>
    <row r="103" spans="1:8" x14ac:dyDescent="0.25">
      <c r="E103" t="str">
        <f>"201903057611"</f>
        <v>201903057611</v>
      </c>
      <c r="F103" t="str">
        <f>"ACCT#012260/D.A.'S OFFICE"</f>
        <v>ACCT#012260/D.A.'S OFFICE</v>
      </c>
      <c r="G103" s="2">
        <v>67.5</v>
      </c>
      <c r="H103" t="str">
        <f>"ACCT#012260/D.A.'S OFFICE"</f>
        <v>ACCT#012260/D.A.'S OFFICE</v>
      </c>
    </row>
    <row r="104" spans="1:8" x14ac:dyDescent="0.25">
      <c r="E104" t="str">
        <f>"201903057626"</f>
        <v>201903057626</v>
      </c>
      <c r="F104" t="str">
        <f>"ACCT#012803/JUDGE"</f>
        <v>ACCT#012803/JUDGE</v>
      </c>
      <c r="G104" s="2">
        <v>31.5</v>
      </c>
      <c r="H104" t="str">
        <f>"ACCT#012803/JUDGE"</f>
        <v>ACCT#012803/JUDGE</v>
      </c>
    </row>
    <row r="105" spans="1:8" x14ac:dyDescent="0.25">
      <c r="E105" t="str">
        <f>"201903067833"</f>
        <v>201903067833</v>
      </c>
      <c r="F105" t="str">
        <f>"ACCT#014737/ANIMAL SERVICE"</f>
        <v>ACCT#014737/ANIMAL SERVICE</v>
      </c>
      <c r="G105" s="2">
        <v>40.49</v>
      </c>
      <c r="H105" t="str">
        <f>"ACCT#014737/ANIMAL SERVICE"</f>
        <v>ACCT#014737/ANIMAL SERVICE</v>
      </c>
    </row>
    <row r="106" spans="1:8" x14ac:dyDescent="0.25">
      <c r="A106" t="s">
        <v>28</v>
      </c>
      <c r="B106">
        <v>81474</v>
      </c>
      <c r="C106" s="2">
        <v>135.74</v>
      </c>
      <c r="D106" s="1">
        <v>43549</v>
      </c>
      <c r="E106" t="str">
        <f>"201903187929"</f>
        <v>201903187929</v>
      </c>
      <c r="F106" t="str">
        <f>"ACCT#010149/AGRI LIFE EXT"</f>
        <v>ACCT#010149/AGRI LIFE EXT</v>
      </c>
      <c r="G106" s="2">
        <v>35.49</v>
      </c>
      <c r="H106" t="str">
        <f>"ACCT#010149/AGRI LIFE EXT"</f>
        <v>ACCT#010149/AGRI LIFE EXT</v>
      </c>
    </row>
    <row r="107" spans="1:8" x14ac:dyDescent="0.25">
      <c r="E107" t="str">
        <f>"201903187930"</f>
        <v>201903187930</v>
      </c>
      <c r="F107" t="str">
        <f>"ACCT#012231/DIST JUDGE OFFICE"</f>
        <v>ACCT#012231/DIST JUDGE OFFICE</v>
      </c>
      <c r="G107" s="2">
        <v>10</v>
      </c>
      <c r="H107" t="str">
        <f>"ACCT#012231/DIST JUDGE OFFICE"</f>
        <v>ACCT#012231/DIST JUDGE OFFICE</v>
      </c>
    </row>
    <row r="108" spans="1:8" x14ac:dyDescent="0.25">
      <c r="E108" t="str">
        <f>"201903197947"</f>
        <v>201903197947</v>
      </c>
      <c r="F108" t="str">
        <f>"ACCT#010238/GEN SVCS"</f>
        <v>ACCT#010238/GEN SVCS</v>
      </c>
      <c r="G108" s="2">
        <v>90.25</v>
      </c>
      <c r="H108" t="str">
        <f>"ACCT#010238/GEN SVCS"</f>
        <v>ACCT#010238/GEN SVCS</v>
      </c>
    </row>
    <row r="109" spans="1:8" x14ac:dyDescent="0.25">
      <c r="A109" t="s">
        <v>29</v>
      </c>
      <c r="B109">
        <v>81227</v>
      </c>
      <c r="C109" s="2">
        <v>1280.45</v>
      </c>
      <c r="D109" s="1">
        <v>43531</v>
      </c>
      <c r="E109" t="str">
        <f>"201903067848"</f>
        <v>201903067848</v>
      </c>
      <c r="F109" t="str">
        <f>"ACCT#0102120801 / 03012019"</f>
        <v>ACCT#0102120801 / 03012019</v>
      </c>
      <c r="G109" s="2">
        <v>25.28</v>
      </c>
      <c r="H109" t="str">
        <f>"ACCT#0102120801 / 03012019"</f>
        <v>ACCT#0102120801 / 03012019</v>
      </c>
    </row>
    <row r="110" spans="1:8" x14ac:dyDescent="0.25">
      <c r="E110" t="str">
        <f>"201903067849"</f>
        <v>201903067849</v>
      </c>
      <c r="F110" t="str">
        <f>"ACCT#0201855301 / 03012019"</f>
        <v>ACCT#0201855301 / 03012019</v>
      </c>
      <c r="G110" s="2">
        <v>31.47</v>
      </c>
      <c r="H110" t="str">
        <f>"ACCT#0201855301 / 03012019"</f>
        <v>ACCT#0201855301 / 03012019</v>
      </c>
    </row>
    <row r="111" spans="1:8" x14ac:dyDescent="0.25">
      <c r="E111" t="str">
        <f>"201903067850"</f>
        <v>201903067850</v>
      </c>
      <c r="F111" t="str">
        <f>"ACCT#0201891401 / 03012019"</f>
        <v>ACCT#0201891401 / 03012019</v>
      </c>
      <c r="G111" s="2">
        <v>27.6</v>
      </c>
      <c r="H111" t="str">
        <f>"ACCT#0201891401 / 03012019"</f>
        <v>ACCT#0201891401 / 03012019</v>
      </c>
    </row>
    <row r="112" spans="1:8" x14ac:dyDescent="0.25">
      <c r="E112" t="str">
        <f>"201903067851"</f>
        <v>201903067851</v>
      </c>
      <c r="F112" t="str">
        <f>"ACCT#0400785803 / 03012019"</f>
        <v>ACCT#0400785803 / 03012019</v>
      </c>
      <c r="G112" s="2">
        <v>463.31</v>
      </c>
      <c r="H112" t="str">
        <f>"ACCT#0400785803 / 03012019"</f>
        <v>ACCT#0400785803 / 03012019</v>
      </c>
    </row>
    <row r="113" spans="1:8" x14ac:dyDescent="0.25">
      <c r="E113" t="str">
        <f>"201903067852"</f>
        <v>201903067852</v>
      </c>
      <c r="F113" t="str">
        <f>"ACCT#0401408501 / 03012019"</f>
        <v>ACCT#0401408501 / 03012019</v>
      </c>
      <c r="G113" s="2">
        <v>694.74</v>
      </c>
      <c r="H113" t="str">
        <f>"ACCT#0401408501 / 03012019"</f>
        <v>ACCT#0401408501 / 03012019</v>
      </c>
    </row>
    <row r="114" spans="1:8" x14ac:dyDescent="0.25">
      <c r="E114" t="str">
        <f>"201903067853"</f>
        <v>201903067853</v>
      </c>
      <c r="F114" t="str">
        <f>"ACCT#0800042801 / 03012019"</f>
        <v>ACCT#0800042801 / 03012019</v>
      </c>
      <c r="G114" s="2">
        <v>38.049999999999997</v>
      </c>
      <c r="H114" t="str">
        <f>"ACCT#0800042801 / 03012019"</f>
        <v>ACCT#0800042801 / 03012019</v>
      </c>
    </row>
    <row r="115" spans="1:8" x14ac:dyDescent="0.25">
      <c r="A115" t="s">
        <v>29</v>
      </c>
      <c r="B115">
        <v>81475</v>
      </c>
      <c r="C115" s="2">
        <v>215.25</v>
      </c>
      <c r="D115" s="1">
        <v>43549</v>
      </c>
      <c r="E115" t="str">
        <f>"201903197950"</f>
        <v>201903197950</v>
      </c>
      <c r="F115" t="str">
        <f>"ACCT#7700010024/JAN &amp; FEB 2019"</f>
        <v>ACCT#7700010024/JAN &amp; FEB 2019</v>
      </c>
      <c r="G115" s="2">
        <v>143.5</v>
      </c>
      <c r="H115" t="str">
        <f>"ACCT#7700010024/JAN &amp; FEB 2019"</f>
        <v>ACCT#7700010024/JAN &amp; FEB 2019</v>
      </c>
    </row>
    <row r="116" spans="1:8" x14ac:dyDescent="0.25">
      <c r="E116" t="str">
        <f>"201903197951"</f>
        <v>201903197951</v>
      </c>
      <c r="F116" t="str">
        <f>"ACCT#7700010025/OCT &amp; NOV 2018"</f>
        <v>ACCT#7700010025/OCT &amp; NOV 2018</v>
      </c>
      <c r="G116" s="2">
        <v>71.75</v>
      </c>
      <c r="H116" t="str">
        <f>"ACCT#7700010025/OCT &amp; NOV 2018"</f>
        <v>ACCT#7700010025/OCT &amp; NOV 2018</v>
      </c>
    </row>
    <row r="117" spans="1:8" x14ac:dyDescent="0.25">
      <c r="A117" t="s">
        <v>30</v>
      </c>
      <c r="B117">
        <v>81244</v>
      </c>
      <c r="C117" s="2">
        <v>14750</v>
      </c>
      <c r="D117" s="1">
        <v>43535</v>
      </c>
      <c r="E117" t="str">
        <f>"1814.06  1814.07"</f>
        <v>1814.06  1814.07</v>
      </c>
      <c r="F117" t="str">
        <f>"inv# 1814.06 &amp; 1814.07"</f>
        <v>inv# 1814.06 &amp; 1814.07</v>
      </c>
      <c r="G117" s="2">
        <v>14750</v>
      </c>
      <c r="H117" t="str">
        <f>"inv# 1814.06"</f>
        <v>inv# 1814.06</v>
      </c>
    </row>
    <row r="118" spans="1:8" x14ac:dyDescent="0.25">
      <c r="E118" t="str">
        <f>""</f>
        <v/>
      </c>
      <c r="F118" t="str">
        <f>""</f>
        <v/>
      </c>
      <c r="H118" t="str">
        <f>"inv# 1814.07"</f>
        <v>inv# 1814.07</v>
      </c>
    </row>
    <row r="119" spans="1:8" x14ac:dyDescent="0.25">
      <c r="A119" t="s">
        <v>31</v>
      </c>
      <c r="B119">
        <v>81245</v>
      </c>
      <c r="C119" s="2">
        <v>5249.24</v>
      </c>
      <c r="D119" s="1">
        <v>43535</v>
      </c>
      <c r="E119" t="str">
        <f>"201902287555"</f>
        <v>201902287555</v>
      </c>
      <c r="F119" t="str">
        <f>"ACCT#512A49-0048 193 3"</f>
        <v>ACCT#512A49-0048 193 3</v>
      </c>
      <c r="G119" s="2">
        <v>5249.24</v>
      </c>
      <c r="H119" t="str">
        <f>"ACCT#512A49-0048 193 3"</f>
        <v>ACCT#512A49-0048 193 3</v>
      </c>
    </row>
    <row r="120" spans="1:8" x14ac:dyDescent="0.25">
      <c r="E120" t="str">
        <f>""</f>
        <v/>
      </c>
      <c r="F120" t="str">
        <f>""</f>
        <v/>
      </c>
      <c r="H120" t="str">
        <f>"ACCT#512A49-0048 193 3"</f>
        <v>ACCT#512A49-0048 193 3</v>
      </c>
    </row>
    <row r="121" spans="1:8" x14ac:dyDescent="0.25">
      <c r="E121" t="str">
        <f>""</f>
        <v/>
      </c>
      <c r="F121" t="str">
        <f>""</f>
        <v/>
      </c>
      <c r="H121" t="str">
        <f>"ACCT#512A49-0048 193 3"</f>
        <v>ACCT#512A49-0048 193 3</v>
      </c>
    </row>
    <row r="122" spans="1:8" x14ac:dyDescent="0.25">
      <c r="E122" t="str">
        <f>""</f>
        <v/>
      </c>
      <c r="F122" t="str">
        <f>""</f>
        <v/>
      </c>
      <c r="H122" t="str">
        <f>"ACCT#512A49-0048 193 3"</f>
        <v>ACCT#512A49-0048 193 3</v>
      </c>
    </row>
    <row r="123" spans="1:8" x14ac:dyDescent="0.25">
      <c r="A123" t="s">
        <v>32</v>
      </c>
      <c r="B123">
        <v>81246</v>
      </c>
      <c r="C123" s="2">
        <v>4559.32</v>
      </c>
      <c r="D123" s="1">
        <v>43535</v>
      </c>
      <c r="E123" t="str">
        <f>"201903057615"</f>
        <v>201903057615</v>
      </c>
      <c r="F123" t="str">
        <f>"ACCT#831-000-7218 923"</f>
        <v>ACCT#831-000-7218 923</v>
      </c>
      <c r="G123" s="2">
        <v>874.25</v>
      </c>
      <c r="H123" t="str">
        <f>"ACCT#831-000-7218 923"</f>
        <v>ACCT#831-000-7218 923</v>
      </c>
    </row>
    <row r="124" spans="1:8" x14ac:dyDescent="0.25">
      <c r="E124" t="str">
        <f>"201903057616"</f>
        <v>201903057616</v>
      </c>
      <c r="F124" t="str">
        <f>"ACCT#831-000-6084 095"</f>
        <v>ACCT#831-000-6084 095</v>
      </c>
      <c r="G124" s="2">
        <v>1684.69</v>
      </c>
      <c r="H124" t="str">
        <f>"ACCT#831-000-6084 095"</f>
        <v>ACCT#831-000-6084 095</v>
      </c>
    </row>
    <row r="125" spans="1:8" x14ac:dyDescent="0.25">
      <c r="E125" t="str">
        <f>"201903057617"</f>
        <v>201903057617</v>
      </c>
      <c r="F125" t="str">
        <f>"ACCT#831-000-7919 623"</f>
        <v>ACCT#831-000-7919 623</v>
      </c>
      <c r="G125" s="2">
        <v>2000.38</v>
      </c>
      <c r="H125" t="str">
        <f>"ACCT#831-000-7919 623"</f>
        <v>ACCT#831-000-7919 623</v>
      </c>
    </row>
    <row r="126" spans="1:8" x14ac:dyDescent="0.25">
      <c r="A126" t="s">
        <v>32</v>
      </c>
      <c r="B126">
        <v>81476</v>
      </c>
      <c r="C126" s="2">
        <v>1802.47</v>
      </c>
      <c r="D126" s="1">
        <v>43549</v>
      </c>
      <c r="E126" t="str">
        <f>"201903197995"</f>
        <v>201903197995</v>
      </c>
      <c r="F126" t="str">
        <f>"MARCH 512 303-1080 238 5"</f>
        <v>MARCH 512 303-1080 238 5</v>
      </c>
      <c r="G126" s="2">
        <v>1802.47</v>
      </c>
      <c r="H126" t="str">
        <f>"MARCH 512 303-1080 238 5"</f>
        <v>MARCH 512 303-1080 238 5</v>
      </c>
    </row>
    <row r="127" spans="1:8" x14ac:dyDescent="0.25">
      <c r="E127" t="str">
        <f>""</f>
        <v/>
      </c>
      <c r="F127" t="str">
        <f>""</f>
        <v/>
      </c>
      <c r="H127" t="str">
        <f>"MARCH 512 303-1080 238 5"</f>
        <v>MARCH 512 303-1080 238 5</v>
      </c>
    </row>
    <row r="128" spans="1:8" x14ac:dyDescent="0.25">
      <c r="A128" t="s">
        <v>33</v>
      </c>
      <c r="B128">
        <v>81477</v>
      </c>
      <c r="C128" s="2">
        <v>4576.57</v>
      </c>
      <c r="D128" s="1">
        <v>43549</v>
      </c>
      <c r="E128" t="str">
        <f>"14352910"</f>
        <v>14352910</v>
      </c>
      <c r="F128" t="str">
        <f>"FAN ACCT#BES07964068"</f>
        <v>FAN ACCT#BES07964068</v>
      </c>
      <c r="G128" s="2">
        <v>1667.64</v>
      </c>
      <c r="H128" t="str">
        <f t="shared" ref="H128:H133" si="4">"FAN ACCT#BES07964068"</f>
        <v>FAN ACCT#BES07964068</v>
      </c>
    </row>
    <row r="129" spans="1:8" x14ac:dyDescent="0.25">
      <c r="E129" t="str">
        <f>""</f>
        <v/>
      </c>
      <c r="F129" t="str">
        <f>""</f>
        <v/>
      </c>
      <c r="H129" t="str">
        <f t="shared" si="4"/>
        <v>FAN ACCT#BES07964068</v>
      </c>
    </row>
    <row r="130" spans="1:8" x14ac:dyDescent="0.25">
      <c r="E130" t="str">
        <f>""</f>
        <v/>
      </c>
      <c r="F130" t="str">
        <f>""</f>
        <v/>
      </c>
      <c r="H130" t="str">
        <f t="shared" si="4"/>
        <v>FAN ACCT#BES07964068</v>
      </c>
    </row>
    <row r="131" spans="1:8" x14ac:dyDescent="0.25">
      <c r="E131" t="str">
        <f>""</f>
        <v/>
      </c>
      <c r="F131" t="str">
        <f>""</f>
        <v/>
      </c>
      <c r="H131" t="str">
        <f t="shared" si="4"/>
        <v>FAN ACCT#BES07964068</v>
      </c>
    </row>
    <row r="132" spans="1:8" x14ac:dyDescent="0.25">
      <c r="E132" t="str">
        <f>""</f>
        <v/>
      </c>
      <c r="F132" t="str">
        <f>""</f>
        <v/>
      </c>
      <c r="H132" t="str">
        <f t="shared" si="4"/>
        <v>FAN ACCT#BES07964068</v>
      </c>
    </row>
    <row r="133" spans="1:8" x14ac:dyDescent="0.25">
      <c r="E133" t="str">
        <f>""</f>
        <v/>
      </c>
      <c r="F133" t="str">
        <f>""</f>
        <v/>
      </c>
      <c r="H133" t="str">
        <f t="shared" si="4"/>
        <v>FAN ACCT#BES07964068</v>
      </c>
    </row>
    <row r="134" spans="1:8" x14ac:dyDescent="0.25">
      <c r="E134" t="str">
        <f>"14461648"</f>
        <v>14461648</v>
      </c>
      <c r="F134" t="str">
        <f>"FAN#BES07964068"</f>
        <v>FAN#BES07964068</v>
      </c>
      <c r="G134" s="2">
        <v>2908.93</v>
      </c>
      <c r="H134" t="str">
        <f t="shared" ref="H134:H139" si="5">"FAN#BES07964068"</f>
        <v>FAN#BES07964068</v>
      </c>
    </row>
    <row r="135" spans="1:8" x14ac:dyDescent="0.25">
      <c r="E135" t="str">
        <f>""</f>
        <v/>
      </c>
      <c r="F135" t="str">
        <f>""</f>
        <v/>
      </c>
      <c r="H135" t="str">
        <f t="shared" si="5"/>
        <v>FAN#BES07964068</v>
      </c>
    </row>
    <row r="136" spans="1:8" x14ac:dyDescent="0.25">
      <c r="E136" t="str">
        <f>""</f>
        <v/>
      </c>
      <c r="F136" t="str">
        <f>""</f>
        <v/>
      </c>
      <c r="H136" t="str">
        <f t="shared" si="5"/>
        <v>FAN#BES07964068</v>
      </c>
    </row>
    <row r="137" spans="1:8" x14ac:dyDescent="0.25">
      <c r="E137" t="str">
        <f>""</f>
        <v/>
      </c>
      <c r="F137" t="str">
        <f>""</f>
        <v/>
      </c>
      <c r="H137" t="str">
        <f t="shared" si="5"/>
        <v>FAN#BES07964068</v>
      </c>
    </row>
    <row r="138" spans="1:8" x14ac:dyDescent="0.25">
      <c r="E138" t="str">
        <f>""</f>
        <v/>
      </c>
      <c r="F138" t="str">
        <f>""</f>
        <v/>
      </c>
      <c r="H138" t="str">
        <f t="shared" si="5"/>
        <v>FAN#BES07964068</v>
      </c>
    </row>
    <row r="139" spans="1:8" x14ac:dyDescent="0.25">
      <c r="E139" t="str">
        <f>""</f>
        <v/>
      </c>
      <c r="F139" t="str">
        <f>""</f>
        <v/>
      </c>
      <c r="H139" t="str">
        <f t="shared" si="5"/>
        <v>FAN#BES07964068</v>
      </c>
    </row>
    <row r="140" spans="1:8" x14ac:dyDescent="0.25">
      <c r="A140" t="s">
        <v>34</v>
      </c>
      <c r="B140">
        <v>81247</v>
      </c>
      <c r="C140" s="2">
        <v>94.15</v>
      </c>
      <c r="D140" s="1">
        <v>43535</v>
      </c>
      <c r="E140" t="str">
        <f>"201902287556"</f>
        <v>201902287556</v>
      </c>
      <c r="F140" t="str">
        <f>"ACCT#826392401/DPS"</f>
        <v>ACCT#826392401/DPS</v>
      </c>
      <c r="G140" s="2">
        <v>94.15</v>
      </c>
      <c r="H140" t="str">
        <f>"ACCT#826392401/DPS"</f>
        <v>ACCT#826392401/DPS</v>
      </c>
    </row>
    <row r="141" spans="1:8" x14ac:dyDescent="0.25">
      <c r="A141" t="s">
        <v>34</v>
      </c>
      <c r="B141">
        <v>81478</v>
      </c>
      <c r="C141" s="2">
        <v>81.66</v>
      </c>
      <c r="D141" s="1">
        <v>43549</v>
      </c>
      <c r="E141" t="str">
        <f>"201903147908"</f>
        <v>201903147908</v>
      </c>
      <c r="F141" t="str">
        <f>"ACCT#826392401/DPS"</f>
        <v>ACCT#826392401/DPS</v>
      </c>
      <c r="G141" s="2">
        <v>81.66</v>
      </c>
      <c r="H141" t="str">
        <f>"ACCT#826392401/DPS"</f>
        <v>ACCT#826392401/DPS</v>
      </c>
    </row>
    <row r="142" spans="1:8" x14ac:dyDescent="0.25">
      <c r="A142" t="s">
        <v>35</v>
      </c>
      <c r="B142">
        <v>81479</v>
      </c>
      <c r="C142" s="2">
        <v>1412.36</v>
      </c>
      <c r="D142" s="1">
        <v>43549</v>
      </c>
      <c r="E142" t="str">
        <f>"0000457151"</f>
        <v>0000457151</v>
      </c>
      <c r="F142" t="str">
        <f>"Auction"</f>
        <v>Auction</v>
      </c>
      <c r="G142" s="2">
        <v>127.44</v>
      </c>
      <c r="H142" t="str">
        <f>"Auction"</f>
        <v>Auction</v>
      </c>
    </row>
    <row r="143" spans="1:8" x14ac:dyDescent="0.25">
      <c r="E143" t="str">
        <f>"201903157915"</f>
        <v>201903157915</v>
      </c>
      <c r="F143" t="str">
        <f>"HR Director advertisment"</f>
        <v>HR Director advertisment</v>
      </c>
      <c r="G143" s="2">
        <v>493.76</v>
      </c>
      <c r="H143" t="str">
        <f>"Ad#"</f>
        <v>Ad#</v>
      </c>
    </row>
    <row r="144" spans="1:8" x14ac:dyDescent="0.25">
      <c r="E144" t="str">
        <f>"455963"</f>
        <v>455963</v>
      </c>
      <c r="F144" t="str">
        <f>"AD# 455963"</f>
        <v>AD# 455963</v>
      </c>
      <c r="G144" s="2">
        <v>545.04999999999995</v>
      </c>
      <c r="H144" t="str">
        <f>"AD# 455963"</f>
        <v>AD# 455963</v>
      </c>
    </row>
    <row r="145" spans="1:8" x14ac:dyDescent="0.25">
      <c r="E145" t="str">
        <f>"456700"</f>
        <v>456700</v>
      </c>
      <c r="F145" t="str">
        <f>"Public Notice"</f>
        <v>Public Notice</v>
      </c>
      <c r="G145" s="2">
        <v>56.03</v>
      </c>
      <c r="H145" t="str">
        <f>"AD 456700"</f>
        <v>AD 456700</v>
      </c>
    </row>
    <row r="146" spans="1:8" x14ac:dyDescent="0.25">
      <c r="E146" t="str">
        <f>"461868"</f>
        <v>461868</v>
      </c>
      <c r="F146" t="str">
        <f>"Ad# 461868"</f>
        <v>Ad# 461868</v>
      </c>
      <c r="G146" s="2">
        <v>56.16</v>
      </c>
      <c r="H146" t="str">
        <f>"Ad# 461868"</f>
        <v>Ad# 461868</v>
      </c>
    </row>
    <row r="147" spans="1:8" x14ac:dyDescent="0.25">
      <c r="E147" t="str">
        <f>"461903"</f>
        <v>461903</v>
      </c>
      <c r="F147" t="str">
        <f>"ad# 461903"</f>
        <v>ad# 461903</v>
      </c>
      <c r="G147" s="2">
        <v>133.91999999999999</v>
      </c>
      <c r="H147" t="str">
        <f>"ad# 461903"</f>
        <v>ad# 461903</v>
      </c>
    </row>
    <row r="148" spans="1:8" x14ac:dyDescent="0.25">
      <c r="A148" t="s">
        <v>36</v>
      </c>
      <c r="B148">
        <v>81480</v>
      </c>
      <c r="C148" s="2">
        <v>798.53</v>
      </c>
      <c r="D148" s="1">
        <v>43549</v>
      </c>
      <c r="E148" t="str">
        <f>"201903197961"</f>
        <v>201903197961</v>
      </c>
      <c r="F148" t="str">
        <f>"INDIGENT HEALTH"</f>
        <v>INDIGENT HEALTH</v>
      </c>
      <c r="G148" s="2">
        <v>798.53</v>
      </c>
      <c r="H148" t="str">
        <f>"INDIGENT HEALTH"</f>
        <v>INDIGENT HEALTH</v>
      </c>
    </row>
    <row r="149" spans="1:8" x14ac:dyDescent="0.25">
      <c r="E149" t="str">
        <f>""</f>
        <v/>
      </c>
      <c r="F149" t="str">
        <f>""</f>
        <v/>
      </c>
      <c r="H149" t="str">
        <f>"INDIGENT HEALTH"</f>
        <v>INDIGENT HEALTH</v>
      </c>
    </row>
    <row r="150" spans="1:8" x14ac:dyDescent="0.25">
      <c r="A150" t="s">
        <v>37</v>
      </c>
      <c r="B150">
        <v>81248</v>
      </c>
      <c r="C150" s="2">
        <v>2248.63</v>
      </c>
      <c r="D150" s="1">
        <v>43535</v>
      </c>
      <c r="E150" t="str">
        <f>"108887"</f>
        <v>108887</v>
      </c>
      <c r="F150" t="str">
        <f>"TEST &amp; ADVISE INJECTORS/PCT#3"</f>
        <v>TEST &amp; ADVISE INJECTORS/PCT#3</v>
      </c>
      <c r="G150" s="2">
        <v>2248.63</v>
      </c>
      <c r="H150" t="str">
        <f>"TEST &amp; ADVISE INJECTORS/PCT#3"</f>
        <v>TEST &amp; ADVISE INJECTORS/PCT#3</v>
      </c>
    </row>
    <row r="151" spans="1:8" x14ac:dyDescent="0.25">
      <c r="A151" t="s">
        <v>38</v>
      </c>
      <c r="B151">
        <v>81481</v>
      </c>
      <c r="C151" s="2">
        <v>57.47</v>
      </c>
      <c r="D151" s="1">
        <v>43549</v>
      </c>
      <c r="E151" t="str">
        <f>"201903197962"</f>
        <v>201903197962</v>
      </c>
      <c r="F151" t="str">
        <f>"INDIGENT HEALTH"</f>
        <v>INDIGENT HEALTH</v>
      </c>
      <c r="G151" s="2">
        <v>57.47</v>
      </c>
      <c r="H151" t="str">
        <f>"INDIGENT HEALTH"</f>
        <v>INDIGENT HEALTH</v>
      </c>
    </row>
    <row r="152" spans="1:8" x14ac:dyDescent="0.25">
      <c r="A152" t="s">
        <v>39</v>
      </c>
      <c r="B152">
        <v>81482</v>
      </c>
      <c r="C152" s="2">
        <v>169.47</v>
      </c>
      <c r="D152" s="1">
        <v>43549</v>
      </c>
      <c r="E152" t="str">
        <f>"201903197963"</f>
        <v>201903197963</v>
      </c>
      <c r="F152" t="str">
        <f>"INDIGENT HEALTH"</f>
        <v>INDIGENT HEALTH</v>
      </c>
      <c r="G152" s="2">
        <v>169.47</v>
      </c>
      <c r="H152" t="str">
        <f>"INDIGENT HEALTH"</f>
        <v>INDIGENT HEALTH</v>
      </c>
    </row>
    <row r="153" spans="1:8" x14ac:dyDescent="0.25">
      <c r="E153" t="str">
        <f>""</f>
        <v/>
      </c>
      <c r="F153" t="str">
        <f>""</f>
        <v/>
      </c>
      <c r="H153" t="str">
        <f>"INDIGENT HEALTH"</f>
        <v>INDIGENT HEALTH</v>
      </c>
    </row>
    <row r="154" spans="1:8" x14ac:dyDescent="0.25">
      <c r="A154" t="s">
        <v>40</v>
      </c>
      <c r="B154">
        <v>81249</v>
      </c>
      <c r="C154" s="2">
        <v>389.94</v>
      </c>
      <c r="D154" s="1">
        <v>43535</v>
      </c>
      <c r="E154" t="str">
        <f>"043256 045343 0460"</f>
        <v>043256 045343 0460</v>
      </c>
      <c r="F154" t="str">
        <f>"INV 043256"</f>
        <v>INV 043256</v>
      </c>
      <c r="G154" s="2">
        <v>389.94</v>
      </c>
      <c r="H154" t="str">
        <f>"INV 043256"</f>
        <v>INV 043256</v>
      </c>
    </row>
    <row r="155" spans="1:8" x14ac:dyDescent="0.25">
      <c r="E155" t="str">
        <f>""</f>
        <v/>
      </c>
      <c r="F155" t="str">
        <f>""</f>
        <v/>
      </c>
      <c r="H155" t="str">
        <f>"INV 045343"</f>
        <v>INV 045343</v>
      </c>
    </row>
    <row r="156" spans="1:8" x14ac:dyDescent="0.25">
      <c r="E156" t="str">
        <f>""</f>
        <v/>
      </c>
      <c r="F156" t="str">
        <f>""</f>
        <v/>
      </c>
      <c r="H156" t="str">
        <f>"INV 046031"</f>
        <v>INV 046031</v>
      </c>
    </row>
    <row r="157" spans="1:8" x14ac:dyDescent="0.25">
      <c r="A157" t="s">
        <v>41</v>
      </c>
      <c r="B157">
        <v>553</v>
      </c>
      <c r="C157" s="2">
        <v>1396.96</v>
      </c>
      <c r="D157" s="1">
        <v>43536</v>
      </c>
      <c r="E157" t="str">
        <f>"201903017578"</f>
        <v>201903017578</v>
      </c>
      <c r="F157" t="str">
        <f>"CUST ID:0010/PCT#2"</f>
        <v>CUST ID:0010/PCT#2</v>
      </c>
      <c r="G157" s="2">
        <v>310</v>
      </c>
      <c r="H157" t="str">
        <f>"CUST ID:0010/PCT#2"</f>
        <v>CUST ID:0010/PCT#2</v>
      </c>
    </row>
    <row r="158" spans="1:8" x14ac:dyDescent="0.25">
      <c r="E158" t="str">
        <f>"201903017579"</f>
        <v>201903017579</v>
      </c>
      <c r="F158" t="str">
        <f>"CUST ID:0011/PCT#3"</f>
        <v>CUST ID:0011/PCT#3</v>
      </c>
      <c r="G158" s="2">
        <v>1051.96</v>
      </c>
      <c r="H158" t="str">
        <f>"CUST ID:0011/PCT#3"</f>
        <v>CUST ID:0011/PCT#3</v>
      </c>
    </row>
    <row r="159" spans="1:8" x14ac:dyDescent="0.25">
      <c r="E159" t="str">
        <f>"357977"</f>
        <v>357977</v>
      </c>
      <c r="F159" t="str">
        <f>"CUST ID:0009/PCT#1"</f>
        <v>CUST ID:0009/PCT#1</v>
      </c>
      <c r="G159" s="2">
        <v>35</v>
      </c>
      <c r="H159" t="str">
        <f>"CUST ID:0009/PCT#1"</f>
        <v>CUST ID:0009/PCT#1</v>
      </c>
    </row>
    <row r="160" spans="1:8" x14ac:dyDescent="0.25">
      <c r="A160" t="s">
        <v>42</v>
      </c>
      <c r="B160">
        <v>81483</v>
      </c>
      <c r="C160" s="2">
        <v>221.13</v>
      </c>
      <c r="D160" s="1">
        <v>43549</v>
      </c>
      <c r="E160" t="str">
        <f>"201903187921"</f>
        <v>201903187921</v>
      </c>
      <c r="F160" t="str">
        <f>"HOTEL-HOUSTON RODEO BOOTH"</f>
        <v>HOTEL-HOUSTON RODEO BOOTH</v>
      </c>
      <c r="G160" s="2">
        <v>221.13</v>
      </c>
      <c r="H160" t="str">
        <f>"HOTEL-HOUSTON RODEO BOOTH"</f>
        <v>HOTEL-HOUSTON RODEO BOOTH</v>
      </c>
    </row>
    <row r="161" spans="1:9" x14ac:dyDescent="0.25">
      <c r="A161" t="s">
        <v>43</v>
      </c>
      <c r="B161">
        <v>81250</v>
      </c>
      <c r="C161" s="2">
        <v>175</v>
      </c>
      <c r="D161" s="1">
        <v>43535</v>
      </c>
      <c r="E161" t="s">
        <v>44</v>
      </c>
      <c r="F161" t="s">
        <v>45</v>
      </c>
      <c r="G161" s="2" t="str">
        <f>"RESTITUTION-BOBBY HAYWOOD"</f>
        <v>RESTITUTION-BOBBY HAYWOOD</v>
      </c>
      <c r="H161" t="str">
        <f>"210-0000"</f>
        <v>210-0000</v>
      </c>
      <c r="I161" t="str">
        <f>""</f>
        <v/>
      </c>
    </row>
    <row r="162" spans="1:9" x14ac:dyDescent="0.25">
      <c r="E162" t="str">
        <f>"8052"</f>
        <v>8052</v>
      </c>
      <c r="F162" t="str">
        <f>"SERVICE"</f>
        <v>SERVICE</v>
      </c>
      <c r="G162" s="2">
        <v>75</v>
      </c>
      <c r="H162" t="str">
        <f>"SERVICE"</f>
        <v>SERVICE</v>
      </c>
    </row>
    <row r="163" spans="1:9" x14ac:dyDescent="0.25">
      <c r="A163" t="s">
        <v>43</v>
      </c>
      <c r="B163">
        <v>81484</v>
      </c>
      <c r="C163" s="2">
        <v>690</v>
      </c>
      <c r="D163" s="1">
        <v>43549</v>
      </c>
      <c r="E163" t="str">
        <f>"12010  01/16/19"</f>
        <v>12010  01/16/19</v>
      </c>
      <c r="F163" t="str">
        <f>"SERVICE"</f>
        <v>SERVICE</v>
      </c>
      <c r="G163" s="2">
        <v>75</v>
      </c>
      <c r="H163" t="str">
        <f>"SERVICE"</f>
        <v>SERVICE</v>
      </c>
    </row>
    <row r="164" spans="1:9" x14ac:dyDescent="0.25">
      <c r="E164" t="str">
        <f>"12205  01/31/19"</f>
        <v>12205  01/31/19</v>
      </c>
      <c r="F164" t="str">
        <f>"SERVICE  01/31/19"</f>
        <v>SERVICE  01/31/19</v>
      </c>
      <c r="G164" s="2">
        <v>100</v>
      </c>
      <c r="H164" t="str">
        <f>"SERVICE  01/31/19"</f>
        <v>SERVICE  01/31/19</v>
      </c>
    </row>
    <row r="165" spans="1:9" x14ac:dyDescent="0.25">
      <c r="E165" t="str">
        <f>"12249"</f>
        <v>12249</v>
      </c>
      <c r="F165" t="str">
        <f>"SERVICE  01/22/19"</f>
        <v>SERVICE  01/22/19</v>
      </c>
      <c r="G165" s="2">
        <v>75</v>
      </c>
      <c r="H165" t="str">
        <f>"SERVICE  01/22/19"</f>
        <v>SERVICE  01/22/19</v>
      </c>
    </row>
    <row r="166" spans="1:9" x14ac:dyDescent="0.25">
      <c r="E166" t="str">
        <f>"12741"</f>
        <v>12741</v>
      </c>
      <c r="F166" t="str">
        <f>"SERVICE  01/11/19"</f>
        <v>SERVICE  01/11/19</v>
      </c>
      <c r="G166" s="2">
        <v>225</v>
      </c>
      <c r="H166" t="str">
        <f>"SERVICE  01/11/19"</f>
        <v>SERVICE  01/11/19</v>
      </c>
    </row>
    <row r="167" spans="1:9" x14ac:dyDescent="0.25">
      <c r="E167" t="str">
        <f>"12815"</f>
        <v>12815</v>
      </c>
      <c r="F167" t="str">
        <f>"SERVICE  01/14/19"</f>
        <v>SERVICE  01/14/19</v>
      </c>
      <c r="G167" s="2">
        <v>110</v>
      </c>
      <c r="H167" t="str">
        <f>"SERVICE  01/14/19"</f>
        <v>SERVICE  01/14/19</v>
      </c>
    </row>
    <row r="168" spans="1:9" x14ac:dyDescent="0.25">
      <c r="E168" t="str">
        <f>"12878"</f>
        <v>12878</v>
      </c>
      <c r="F168" t="str">
        <f>"SERVICE  01/22/19"</f>
        <v>SERVICE  01/22/19</v>
      </c>
      <c r="G168" s="2">
        <v>75</v>
      </c>
      <c r="H168" t="str">
        <f>"SERVICE  01/22/19"</f>
        <v>SERVICE  01/22/19</v>
      </c>
    </row>
    <row r="169" spans="1:9" x14ac:dyDescent="0.25">
      <c r="E169" t="str">
        <f>"12993  01/22/19"</f>
        <v>12993  01/22/19</v>
      </c>
      <c r="F169" t="str">
        <f>"SERVICE  01/22/19"</f>
        <v>SERVICE  01/22/19</v>
      </c>
      <c r="G169" s="2">
        <v>30</v>
      </c>
      <c r="H169" t="str">
        <f>"SERVICE  01/22/19"</f>
        <v>SERVICE  01/22/19</v>
      </c>
    </row>
    <row r="170" spans="1:9" x14ac:dyDescent="0.25">
      <c r="A170" t="s">
        <v>46</v>
      </c>
      <c r="B170">
        <v>81251</v>
      </c>
      <c r="C170" s="2">
        <v>1638.45</v>
      </c>
      <c r="D170" s="1">
        <v>43535</v>
      </c>
      <c r="E170" t="str">
        <f>"201903067839"</f>
        <v>201903067839</v>
      </c>
      <c r="F170" t="str">
        <f>"ACCT#BC01"</f>
        <v>ACCT#BC01</v>
      </c>
      <c r="G170" s="2">
        <v>1638.45</v>
      </c>
      <c r="H170" t="str">
        <f t="shared" ref="H170:H181" si="6">"ACCT#BC01"</f>
        <v>ACCT#BC01</v>
      </c>
    </row>
    <row r="171" spans="1:9" x14ac:dyDescent="0.25">
      <c r="E171" t="str">
        <f>""</f>
        <v/>
      </c>
      <c r="F171" t="str">
        <f>""</f>
        <v/>
      </c>
      <c r="H171" t="str">
        <f t="shared" si="6"/>
        <v>ACCT#BC01</v>
      </c>
    </row>
    <row r="172" spans="1:9" x14ac:dyDescent="0.25">
      <c r="E172" t="str">
        <f>""</f>
        <v/>
      </c>
      <c r="F172" t="str">
        <f>""</f>
        <v/>
      </c>
      <c r="H172" t="str">
        <f t="shared" si="6"/>
        <v>ACCT#BC01</v>
      </c>
    </row>
    <row r="173" spans="1:9" x14ac:dyDescent="0.25">
      <c r="E173" t="str">
        <f>""</f>
        <v/>
      </c>
      <c r="F173" t="str">
        <f>""</f>
        <v/>
      </c>
      <c r="H173" t="str">
        <f t="shared" si="6"/>
        <v>ACCT#BC01</v>
      </c>
    </row>
    <row r="174" spans="1:9" x14ac:dyDescent="0.25">
      <c r="E174" t="str">
        <f>""</f>
        <v/>
      </c>
      <c r="F174" t="str">
        <f>""</f>
        <v/>
      </c>
      <c r="H174" t="str">
        <f t="shared" si="6"/>
        <v>ACCT#BC01</v>
      </c>
    </row>
    <row r="175" spans="1:9" x14ac:dyDescent="0.25">
      <c r="E175" t="str">
        <f>""</f>
        <v/>
      </c>
      <c r="F175" t="str">
        <f>""</f>
        <v/>
      </c>
      <c r="H175" t="str">
        <f t="shared" si="6"/>
        <v>ACCT#BC01</v>
      </c>
    </row>
    <row r="176" spans="1:9" x14ac:dyDescent="0.25">
      <c r="E176" t="str">
        <f>""</f>
        <v/>
      </c>
      <c r="F176" t="str">
        <f>""</f>
        <v/>
      </c>
      <c r="H176" t="str">
        <f t="shared" si="6"/>
        <v>ACCT#BC01</v>
      </c>
    </row>
    <row r="177" spans="1:8" x14ac:dyDescent="0.25">
      <c r="E177" t="str">
        <f>""</f>
        <v/>
      </c>
      <c r="F177" t="str">
        <f>""</f>
        <v/>
      </c>
      <c r="H177" t="str">
        <f t="shared" si="6"/>
        <v>ACCT#BC01</v>
      </c>
    </row>
    <row r="178" spans="1:8" x14ac:dyDescent="0.25">
      <c r="E178" t="str">
        <f>""</f>
        <v/>
      </c>
      <c r="F178" t="str">
        <f>""</f>
        <v/>
      </c>
      <c r="H178" t="str">
        <f t="shared" si="6"/>
        <v>ACCT#BC01</v>
      </c>
    </row>
    <row r="179" spans="1:8" x14ac:dyDescent="0.25">
      <c r="E179" t="str">
        <f>""</f>
        <v/>
      </c>
      <c r="F179" t="str">
        <f>""</f>
        <v/>
      </c>
      <c r="H179" t="str">
        <f t="shared" si="6"/>
        <v>ACCT#BC01</v>
      </c>
    </row>
    <row r="180" spans="1:8" x14ac:dyDescent="0.25">
      <c r="E180" t="str">
        <f>""</f>
        <v/>
      </c>
      <c r="F180" t="str">
        <f>""</f>
        <v/>
      </c>
      <c r="H180" t="str">
        <f t="shared" si="6"/>
        <v>ACCT#BC01</v>
      </c>
    </row>
    <row r="181" spans="1:8" x14ac:dyDescent="0.25">
      <c r="E181" t="str">
        <f>""</f>
        <v/>
      </c>
      <c r="F181" t="str">
        <f>""</f>
        <v/>
      </c>
      <c r="H181" t="str">
        <f t="shared" si="6"/>
        <v>ACCT#BC01</v>
      </c>
    </row>
    <row r="182" spans="1:8" x14ac:dyDescent="0.25">
      <c r="A182" t="s">
        <v>47</v>
      </c>
      <c r="B182">
        <v>548</v>
      </c>
      <c r="C182" s="2">
        <v>20080.080000000002</v>
      </c>
      <c r="D182" s="1">
        <v>43536</v>
      </c>
      <c r="E182" t="str">
        <f>"201903057717"</f>
        <v>201903057717</v>
      </c>
      <c r="F182" t="str">
        <f>"GRANT REIMBURSEMENT"</f>
        <v>GRANT REIMBURSEMENT</v>
      </c>
      <c r="G182" s="2">
        <v>9897.67</v>
      </c>
      <c r="H182" t="str">
        <f>"GRANT REIMBURSEMENT"</f>
        <v>GRANT REIMBURSEMENT</v>
      </c>
    </row>
    <row r="183" spans="1:8" x14ac:dyDescent="0.25">
      <c r="E183" t="str">
        <f>"201903067841"</f>
        <v>201903067841</v>
      </c>
      <c r="F183" t="str">
        <f>"GRANT REIMBURSEMENT"</f>
        <v>GRANT REIMBURSEMENT</v>
      </c>
      <c r="G183" s="2">
        <v>10182.41</v>
      </c>
      <c r="H183" t="str">
        <f>"GRANT REIMBURSEMENT"</f>
        <v>GRANT REIMBURSEMENT</v>
      </c>
    </row>
    <row r="184" spans="1:8" x14ac:dyDescent="0.25">
      <c r="A184" t="s">
        <v>48</v>
      </c>
      <c r="B184">
        <v>624</v>
      </c>
      <c r="C184" s="2">
        <v>25</v>
      </c>
      <c r="D184" s="1">
        <v>43550</v>
      </c>
      <c r="E184" t="str">
        <f>"201903197964"</f>
        <v>201903197964</v>
      </c>
      <c r="F184" t="str">
        <f>"INDIGENT HEALTH"</f>
        <v>INDIGENT HEALTH</v>
      </c>
      <c r="G184" s="2">
        <v>25</v>
      </c>
      <c r="H184" t="str">
        <f>"INDIGENT HEALTH"</f>
        <v>INDIGENT HEALTH</v>
      </c>
    </row>
    <row r="185" spans="1:8" x14ac:dyDescent="0.25">
      <c r="A185" t="s">
        <v>49</v>
      </c>
      <c r="B185">
        <v>81252</v>
      </c>
      <c r="C185" s="2">
        <v>98153</v>
      </c>
      <c r="D185" s="1">
        <v>43535</v>
      </c>
      <c r="E185" t="str">
        <f>"MK22619"</f>
        <v>MK22619</v>
      </c>
      <c r="F185" t="str">
        <f>"BOOTCAMP FIXED RATE FEE FY18-1"</f>
        <v>BOOTCAMP FIXED RATE FEE FY18-1</v>
      </c>
      <c r="G185" s="2">
        <v>98153</v>
      </c>
      <c r="H185" t="str">
        <f>"BOOTCAMP FIXED RATE FEE FY18-1"</f>
        <v>BOOTCAMP FIXED RATE FEE FY18-1</v>
      </c>
    </row>
    <row r="186" spans="1:8" x14ac:dyDescent="0.25">
      <c r="A186" t="s">
        <v>50</v>
      </c>
      <c r="B186">
        <v>617</v>
      </c>
      <c r="C186" s="2">
        <v>170.07</v>
      </c>
      <c r="D186" s="1">
        <v>43550</v>
      </c>
      <c r="E186" t="str">
        <f>"201903197965"</f>
        <v>201903197965</v>
      </c>
      <c r="F186" t="str">
        <f>"INDIGENT HEALTH"</f>
        <v>INDIGENT HEALTH</v>
      </c>
      <c r="G186" s="2">
        <v>170.07</v>
      </c>
      <c r="H186" t="str">
        <f>"INDIGENT HEALTH"</f>
        <v>INDIGENT HEALTH</v>
      </c>
    </row>
    <row r="187" spans="1:8" x14ac:dyDescent="0.25">
      <c r="E187" t="str">
        <f>""</f>
        <v/>
      </c>
      <c r="F187" t="str">
        <f>""</f>
        <v/>
      </c>
      <c r="H187" t="str">
        <f>"INDIGENT HEALTH"</f>
        <v>INDIGENT HEALTH</v>
      </c>
    </row>
    <row r="188" spans="1:8" x14ac:dyDescent="0.25">
      <c r="A188" t="s">
        <v>51</v>
      </c>
      <c r="B188">
        <v>585</v>
      </c>
      <c r="C188" s="2">
        <v>1970</v>
      </c>
      <c r="D188" s="1">
        <v>43550</v>
      </c>
      <c r="E188" t="str">
        <f>"2019016"</f>
        <v>2019016</v>
      </c>
      <c r="F188" t="str">
        <f>"TRANSPORT-F. GONZALES"</f>
        <v>TRANSPORT-F. GONZALES</v>
      </c>
      <c r="G188" s="2">
        <v>295</v>
      </c>
      <c r="H188" t="str">
        <f>"TRANSPORT-F. GONZALES"</f>
        <v>TRANSPORT-F. GONZALES</v>
      </c>
    </row>
    <row r="189" spans="1:8" x14ac:dyDescent="0.25">
      <c r="E189" t="str">
        <f>"2019018"</f>
        <v>2019018</v>
      </c>
      <c r="F189" t="str">
        <f>"TRANSPORT-M. BLOMQUIST"</f>
        <v>TRANSPORT-M. BLOMQUIST</v>
      </c>
      <c r="G189" s="2">
        <v>390</v>
      </c>
      <c r="H189" t="str">
        <f>"TRANSPORT-M. BLOMQUIST"</f>
        <v>TRANSPORT-M. BLOMQUIST</v>
      </c>
    </row>
    <row r="190" spans="1:8" x14ac:dyDescent="0.25">
      <c r="E190" t="str">
        <f>"2019021"</f>
        <v>2019021</v>
      </c>
      <c r="F190" t="str">
        <f>"TRANSPORT-T.W. DARST"</f>
        <v>TRANSPORT-T.W. DARST</v>
      </c>
      <c r="G190" s="2">
        <v>495</v>
      </c>
      <c r="H190" t="str">
        <f>"TRANSPORT-T.W. DARST"</f>
        <v>TRANSPORT-T.W. DARST</v>
      </c>
    </row>
    <row r="191" spans="1:8" x14ac:dyDescent="0.25">
      <c r="E191" t="str">
        <f>"2019022"</f>
        <v>2019022</v>
      </c>
      <c r="F191" t="str">
        <f>"TRANSPORT-E. MANOR"</f>
        <v>TRANSPORT-E. MANOR</v>
      </c>
      <c r="G191" s="2">
        <v>295</v>
      </c>
      <c r="H191" t="str">
        <f>"TRANSPORT-E. MANOR"</f>
        <v>TRANSPORT-E. MANOR</v>
      </c>
    </row>
    <row r="192" spans="1:8" x14ac:dyDescent="0.25">
      <c r="E192" t="str">
        <f>"2019024"</f>
        <v>2019024</v>
      </c>
      <c r="F192" t="str">
        <f>"TRANSPORT-A LOPEZ-BARRIENTOS"</f>
        <v>TRANSPORT-A LOPEZ-BARRIENTOS</v>
      </c>
      <c r="G192" s="2">
        <v>495</v>
      </c>
      <c r="H192" t="str">
        <f>"TRANSPORT-A LOPEZ-BARRIENTOS"</f>
        <v>TRANSPORT-A LOPEZ-BARRIENTOS</v>
      </c>
    </row>
    <row r="193" spans="1:8" x14ac:dyDescent="0.25">
      <c r="A193" t="s">
        <v>52</v>
      </c>
      <c r="B193">
        <v>81485</v>
      </c>
      <c r="C193" s="2">
        <v>1200</v>
      </c>
      <c r="D193" s="1">
        <v>43549</v>
      </c>
      <c r="E193" t="str">
        <f>"5436R"</f>
        <v>5436R</v>
      </c>
      <c r="F193" t="str">
        <f>"inv# 5436R"</f>
        <v>inv# 5436R</v>
      </c>
      <c r="G193" s="2">
        <v>1200</v>
      </c>
      <c r="H193" t="str">
        <f>"payment"</f>
        <v>payment</v>
      </c>
    </row>
    <row r="194" spans="1:8" x14ac:dyDescent="0.25">
      <c r="A194" t="s">
        <v>53</v>
      </c>
      <c r="B194">
        <v>528</v>
      </c>
      <c r="C194" s="2">
        <v>982.02</v>
      </c>
      <c r="D194" s="1">
        <v>43536</v>
      </c>
      <c r="E194" t="str">
        <f>"201903017591"</f>
        <v>201903017591</v>
      </c>
      <c r="F194" t="str">
        <f>"INVESTIGATIVE SVCS-FEB 2019"</f>
        <v>INVESTIGATIVE SVCS-FEB 2019</v>
      </c>
      <c r="G194" s="2">
        <v>297.5</v>
      </c>
      <c r="H194" t="str">
        <f>"INVESTIGATIVE SVCS-FEB 2019"</f>
        <v>INVESTIGATIVE SVCS-FEB 2019</v>
      </c>
    </row>
    <row r="195" spans="1:8" x14ac:dyDescent="0.25">
      <c r="E195" t="str">
        <f>"201903067817"</f>
        <v>201903067817</v>
      </c>
      <c r="F195" t="str">
        <f>"FEBRUARY INVOICE"</f>
        <v>FEBRUARY INVOICE</v>
      </c>
      <c r="G195" s="2">
        <v>684.52</v>
      </c>
      <c r="H195" t="str">
        <f>"JAIL APPLICANTS"</f>
        <v>JAIL APPLICANTS</v>
      </c>
    </row>
    <row r="196" spans="1:8" x14ac:dyDescent="0.25">
      <c r="A196" t="s">
        <v>54</v>
      </c>
      <c r="B196">
        <v>81253</v>
      </c>
      <c r="C196" s="2">
        <v>70</v>
      </c>
      <c r="D196" s="1">
        <v>43535</v>
      </c>
      <c r="E196" t="str">
        <f>"8052"</f>
        <v>8052</v>
      </c>
      <c r="F196" t="str">
        <f>"SERVICE"</f>
        <v>SERVICE</v>
      </c>
      <c r="G196" s="2">
        <v>70</v>
      </c>
      <c r="H196" t="str">
        <f>"SERVICE"</f>
        <v>SERVICE</v>
      </c>
    </row>
    <row r="197" spans="1:8" x14ac:dyDescent="0.25">
      <c r="A197" t="s">
        <v>54</v>
      </c>
      <c r="B197">
        <v>81486</v>
      </c>
      <c r="C197" s="2">
        <v>70</v>
      </c>
      <c r="D197" s="1">
        <v>43549</v>
      </c>
      <c r="E197" t="str">
        <f>"13108"</f>
        <v>13108</v>
      </c>
      <c r="F197" t="str">
        <f>"SERVICE  01/17/19"</f>
        <v>SERVICE  01/17/19</v>
      </c>
      <c r="G197" s="2">
        <v>70</v>
      </c>
      <c r="H197" t="str">
        <f>"SERVICE  01/17/19"</f>
        <v>SERVICE  01/17/19</v>
      </c>
    </row>
    <row r="198" spans="1:8" x14ac:dyDescent="0.25">
      <c r="A198" t="s">
        <v>55</v>
      </c>
      <c r="B198">
        <v>81254</v>
      </c>
      <c r="C198" s="2">
        <v>1715.01</v>
      </c>
      <c r="D198" s="1">
        <v>43535</v>
      </c>
      <c r="E198" t="str">
        <f>"74988086  74997351"</f>
        <v>74988086  74997351</v>
      </c>
      <c r="F198" t="str">
        <f>"INV 74988086"</f>
        <v>INV 74988086</v>
      </c>
      <c r="G198" s="2">
        <v>1715.01</v>
      </c>
      <c r="H198" t="str">
        <f>"INV 74988086"</f>
        <v>INV 74988086</v>
      </c>
    </row>
    <row r="199" spans="1:8" x14ac:dyDescent="0.25">
      <c r="E199" t="str">
        <f>""</f>
        <v/>
      </c>
      <c r="F199" t="str">
        <f>""</f>
        <v/>
      </c>
      <c r="H199" t="str">
        <f>"INV 74997351"</f>
        <v>INV 74997351</v>
      </c>
    </row>
    <row r="200" spans="1:8" x14ac:dyDescent="0.25">
      <c r="A200" t="s">
        <v>55</v>
      </c>
      <c r="B200">
        <v>81487</v>
      </c>
      <c r="C200" s="2">
        <v>1581.58</v>
      </c>
      <c r="D200" s="1">
        <v>43549</v>
      </c>
      <c r="E200" t="str">
        <f>"75005543 75014193"</f>
        <v>75005543 75014193</v>
      </c>
      <c r="F200" t="str">
        <f>"INV 75005543"</f>
        <v>INV 75005543</v>
      </c>
      <c r="G200" s="2">
        <v>1581.58</v>
      </c>
      <c r="H200" t="str">
        <f>"INV 75005543"</f>
        <v>INV 75005543</v>
      </c>
    </row>
    <row r="201" spans="1:8" x14ac:dyDescent="0.25">
      <c r="E201" t="str">
        <f>""</f>
        <v/>
      </c>
      <c r="F201" t="str">
        <f>""</f>
        <v/>
      </c>
      <c r="H201" t="str">
        <f>"INV 75014193"</f>
        <v>INV 75014193</v>
      </c>
    </row>
    <row r="202" spans="1:8" x14ac:dyDescent="0.25">
      <c r="A202" t="s">
        <v>56</v>
      </c>
      <c r="B202">
        <v>81255</v>
      </c>
      <c r="C202" s="2">
        <v>333.76</v>
      </c>
      <c r="D202" s="1">
        <v>43535</v>
      </c>
      <c r="E202" t="str">
        <f>"3730355  3732793"</f>
        <v>3730355  3732793</v>
      </c>
      <c r="F202" t="str">
        <f>"customer# 14659"</f>
        <v>customer# 14659</v>
      </c>
      <c r="G202" s="2">
        <v>333.76</v>
      </c>
      <c r="H202" t="str">
        <f>"inv# 3730355"</f>
        <v>inv# 3730355</v>
      </c>
    </row>
    <row r="203" spans="1:8" x14ac:dyDescent="0.25">
      <c r="E203" t="str">
        <f>""</f>
        <v/>
      </c>
      <c r="F203" t="str">
        <f>""</f>
        <v/>
      </c>
      <c r="H203" t="str">
        <f>"inv# 3732793"</f>
        <v>inv# 3732793</v>
      </c>
    </row>
    <row r="204" spans="1:8" x14ac:dyDescent="0.25">
      <c r="A204" t="s">
        <v>56</v>
      </c>
      <c r="B204">
        <v>81488</v>
      </c>
      <c r="C204" s="2">
        <v>149.97</v>
      </c>
      <c r="D204" s="1">
        <v>43549</v>
      </c>
      <c r="E204" t="str">
        <f>"3745466"</f>
        <v>3745466</v>
      </c>
      <c r="F204" t="str">
        <f>"inv# 3745466"</f>
        <v>inv# 3745466</v>
      </c>
      <c r="G204" s="2">
        <v>149.97</v>
      </c>
      <c r="H204" t="str">
        <f>"inv# 3745466"</f>
        <v>inv# 3745466</v>
      </c>
    </row>
    <row r="205" spans="1:8" x14ac:dyDescent="0.25">
      <c r="A205" t="s">
        <v>57</v>
      </c>
      <c r="B205">
        <v>81256</v>
      </c>
      <c r="C205" s="2">
        <v>3518.26</v>
      </c>
      <c r="D205" s="1">
        <v>43535</v>
      </c>
      <c r="E205" t="str">
        <f>"INV24132"</f>
        <v>INV24132</v>
      </c>
      <c r="F205" t="str">
        <f>"INV24132"</f>
        <v>INV24132</v>
      </c>
      <c r="G205" s="2">
        <v>3518.26</v>
      </c>
      <c r="H205" t="str">
        <f>"INV24132"</f>
        <v>INV24132</v>
      </c>
    </row>
    <row r="206" spans="1:8" x14ac:dyDescent="0.25">
      <c r="A206" t="s">
        <v>57</v>
      </c>
      <c r="B206">
        <v>81489</v>
      </c>
      <c r="C206" s="2">
        <v>2667.15</v>
      </c>
      <c r="D206" s="1">
        <v>43549</v>
      </c>
      <c r="E206" t="str">
        <f>"24160"</f>
        <v>24160</v>
      </c>
      <c r="F206" t="str">
        <f>"INV 24160"</f>
        <v>INV 24160</v>
      </c>
      <c r="G206" s="2">
        <v>2667.15</v>
      </c>
      <c r="H206" t="str">
        <f>"INV 24160"</f>
        <v>INV 24160</v>
      </c>
    </row>
    <row r="207" spans="1:8" x14ac:dyDescent="0.25">
      <c r="A207" t="s">
        <v>58</v>
      </c>
      <c r="B207">
        <v>620</v>
      </c>
      <c r="C207" s="2">
        <v>1220</v>
      </c>
      <c r="D207" s="1">
        <v>43550</v>
      </c>
      <c r="E207" t="str">
        <f>"108821"</f>
        <v>108821</v>
      </c>
      <c r="F207" t="str">
        <f>"CLIENT#001309/PROF SVCS 2/15"</f>
        <v>CLIENT#001309/PROF SVCS 2/15</v>
      </c>
      <c r="G207" s="2">
        <v>1220</v>
      </c>
      <c r="H207" t="str">
        <f>"CLIENT#001309/PROF SVCS 2/15"</f>
        <v>CLIENT#001309/PROF SVCS 2/15</v>
      </c>
    </row>
    <row r="208" spans="1:8" x14ac:dyDescent="0.25">
      <c r="E208" t="str">
        <f>""</f>
        <v/>
      </c>
      <c r="F208" t="str">
        <f>""</f>
        <v/>
      </c>
      <c r="H208" t="str">
        <f>"CLIENT#001309/PROF SVCS 2/15"</f>
        <v>CLIENT#001309/PROF SVCS 2/15</v>
      </c>
    </row>
    <row r="209" spans="1:8" x14ac:dyDescent="0.25">
      <c r="A209" t="s">
        <v>59</v>
      </c>
      <c r="B209">
        <v>529</v>
      </c>
      <c r="C209" s="2">
        <v>543.21</v>
      </c>
      <c r="D209" s="1">
        <v>43536</v>
      </c>
      <c r="E209" t="str">
        <f>"201903057701"</f>
        <v>201903057701</v>
      </c>
      <c r="F209" t="str">
        <f>"MORNING DOCKET 11/26/18"</f>
        <v>MORNING DOCKET 11/26/18</v>
      </c>
      <c r="G209" s="2">
        <v>181.07</v>
      </c>
      <c r="H209" t="str">
        <f>"MORNING DOCKET"</f>
        <v>MORNING DOCKET</v>
      </c>
    </row>
    <row r="210" spans="1:8" x14ac:dyDescent="0.25">
      <c r="E210" t="str">
        <f>"201903057702"</f>
        <v>201903057702</v>
      </c>
      <c r="F210" t="str">
        <f>"MORNING DOCKET 11/29/18"</f>
        <v>MORNING DOCKET 11/29/18</v>
      </c>
      <c r="G210" s="2">
        <v>181.07</v>
      </c>
      <c r="H210" t="str">
        <f>"MORNING DOCKET 11/29/18"</f>
        <v>MORNING DOCKET 11/29/18</v>
      </c>
    </row>
    <row r="211" spans="1:8" x14ac:dyDescent="0.25">
      <c r="E211" t="str">
        <f>"201903057703"</f>
        <v>201903057703</v>
      </c>
      <c r="F211" t="str">
        <f>"MORNING DOCKET  12/19/18"</f>
        <v>MORNING DOCKET  12/19/18</v>
      </c>
      <c r="G211" s="2">
        <v>181.07</v>
      </c>
      <c r="H211" t="str">
        <f>"MORNING DOCKET  12/19/18"</f>
        <v>MORNING DOCKET  12/19/18</v>
      </c>
    </row>
    <row r="212" spans="1:8" x14ac:dyDescent="0.25">
      <c r="A212" t="s">
        <v>59</v>
      </c>
      <c r="B212">
        <v>582</v>
      </c>
      <c r="C212" s="2">
        <v>181.07</v>
      </c>
      <c r="D212" s="1">
        <v>43550</v>
      </c>
      <c r="E212" t="str">
        <f>"201903117878"</f>
        <v>201903117878</v>
      </c>
      <c r="F212" t="str">
        <f>"INTERPRETING/MILEAGE"</f>
        <v>INTERPRETING/MILEAGE</v>
      </c>
      <c r="G212" s="2">
        <v>181.07</v>
      </c>
      <c r="H212" t="str">
        <f>"INTERPRETING/MILEAGE"</f>
        <v>INTERPRETING/MILEAGE</v>
      </c>
    </row>
    <row r="213" spans="1:8" x14ac:dyDescent="0.25">
      <c r="A213" t="s">
        <v>60</v>
      </c>
      <c r="B213">
        <v>81257</v>
      </c>
      <c r="C213" s="2">
        <v>415.92</v>
      </c>
      <c r="D213" s="1">
        <v>43535</v>
      </c>
      <c r="E213" t="str">
        <f>"84078900552/645"</f>
        <v>84078900552/645</v>
      </c>
      <c r="F213" t="str">
        <f>"INV 84078900552"</f>
        <v>INV 84078900552</v>
      </c>
      <c r="G213" s="2">
        <v>415.92</v>
      </c>
      <c r="H213" t="str">
        <f>"INV 84078900552"</f>
        <v>INV 84078900552</v>
      </c>
    </row>
    <row r="214" spans="1:8" x14ac:dyDescent="0.25">
      <c r="E214" t="str">
        <f>""</f>
        <v/>
      </c>
      <c r="F214" t="str">
        <f>""</f>
        <v/>
      </c>
      <c r="H214" t="str">
        <f>"INV 84078900645"</f>
        <v>INV 84078900645</v>
      </c>
    </row>
    <row r="215" spans="1:8" x14ac:dyDescent="0.25">
      <c r="A215" t="s">
        <v>60</v>
      </c>
      <c r="B215">
        <v>81491</v>
      </c>
      <c r="C215" s="2">
        <v>535.52</v>
      </c>
      <c r="D215" s="1">
        <v>43549</v>
      </c>
      <c r="E215" t="str">
        <f>"84078900742 / 833"</f>
        <v>84078900742 / 833</v>
      </c>
      <c r="F215" t="str">
        <f>"INV 84078900742"</f>
        <v>INV 84078900742</v>
      </c>
      <c r="G215" s="2">
        <v>535.52</v>
      </c>
      <c r="H215" t="str">
        <f>"INV 84078900742"</f>
        <v>INV 84078900742</v>
      </c>
    </row>
    <row r="216" spans="1:8" x14ac:dyDescent="0.25">
      <c r="E216" t="str">
        <f>""</f>
        <v/>
      </c>
      <c r="F216" t="str">
        <f>""</f>
        <v/>
      </c>
      <c r="H216" t="str">
        <f>"INV 84078900833"</f>
        <v>INV 84078900833</v>
      </c>
    </row>
    <row r="217" spans="1:8" x14ac:dyDescent="0.25">
      <c r="A217" t="s">
        <v>61</v>
      </c>
      <c r="B217">
        <v>81492</v>
      </c>
      <c r="C217" s="2">
        <v>151.5</v>
      </c>
      <c r="D217" s="1">
        <v>43549</v>
      </c>
      <c r="E217" t="str">
        <f>"201903207999"</f>
        <v>201903207999</v>
      </c>
      <c r="F217" t="str">
        <f>"REIMBURSEMENT-JEANS/PCT#3"</f>
        <v>REIMBURSEMENT-JEANS/PCT#3</v>
      </c>
      <c r="G217" s="2">
        <v>151.5</v>
      </c>
      <c r="H217" t="str">
        <f>"REIMBURSEMENT-JEANS/PCT#3"</f>
        <v>REIMBURSEMENT-JEANS/PCT#3</v>
      </c>
    </row>
    <row r="218" spans="1:8" x14ac:dyDescent="0.25">
      <c r="A218" t="s">
        <v>62</v>
      </c>
      <c r="B218">
        <v>540</v>
      </c>
      <c r="C218" s="2">
        <v>250</v>
      </c>
      <c r="D218" s="1">
        <v>43536</v>
      </c>
      <c r="E218" t="str">
        <f>"201903057636"</f>
        <v>201903057636</v>
      </c>
      <c r="F218" t="str">
        <f>"56 354"</f>
        <v>56 354</v>
      </c>
      <c r="G218" s="2">
        <v>250</v>
      </c>
      <c r="H218" t="str">
        <f>"56 354"</f>
        <v>56 354</v>
      </c>
    </row>
    <row r="219" spans="1:8" x14ac:dyDescent="0.25">
      <c r="A219" t="s">
        <v>63</v>
      </c>
      <c r="B219">
        <v>81493</v>
      </c>
      <c r="C219" s="2">
        <v>428.98</v>
      </c>
      <c r="D219" s="1">
        <v>43549</v>
      </c>
      <c r="E219" t="str">
        <f>"201903147911"</f>
        <v>201903147911</v>
      </c>
      <c r="F219" t="str">
        <f>"CRIME STOPPERS FEES FEB 2019"</f>
        <v>CRIME STOPPERS FEES FEB 2019</v>
      </c>
      <c r="G219" s="2">
        <v>428.98</v>
      </c>
      <c r="H219" t="str">
        <f>"CRIME STOPPERS FEES FEB 2019"</f>
        <v>CRIME STOPPERS FEES FEB 2019</v>
      </c>
    </row>
    <row r="220" spans="1:8" x14ac:dyDescent="0.25">
      <c r="A220" t="s">
        <v>64</v>
      </c>
      <c r="B220">
        <v>81386</v>
      </c>
      <c r="C220" s="2">
        <v>3007.9</v>
      </c>
      <c r="D220" s="1">
        <v>43537</v>
      </c>
      <c r="E220" t="str">
        <f>"201903137898"</f>
        <v>201903137898</v>
      </c>
      <c r="F220" t="str">
        <f>"ACCT#5000057374 / 03052019"</f>
        <v>ACCT#5000057374 / 03052019</v>
      </c>
      <c r="G220" s="2">
        <v>3007.9</v>
      </c>
      <c r="H220" t="str">
        <f>"ACCT#5000057374 / 03052019"</f>
        <v>ACCT#5000057374 / 03052019</v>
      </c>
    </row>
    <row r="221" spans="1:8" x14ac:dyDescent="0.25">
      <c r="E221" t="str">
        <f>""</f>
        <v/>
      </c>
      <c r="F221" t="str">
        <f>""</f>
        <v/>
      </c>
      <c r="H221" t="str">
        <f>"ACCT#5000057374 / 03052019"</f>
        <v>ACCT#5000057374 / 03052019</v>
      </c>
    </row>
    <row r="222" spans="1:8" x14ac:dyDescent="0.25">
      <c r="E222" t="str">
        <f>""</f>
        <v/>
      </c>
      <c r="F222" t="str">
        <f>""</f>
        <v/>
      </c>
      <c r="H222" t="str">
        <f>"ACCT#5000057374 / 03052019"</f>
        <v>ACCT#5000057374 / 03052019</v>
      </c>
    </row>
    <row r="223" spans="1:8" x14ac:dyDescent="0.25">
      <c r="E223" t="str">
        <f>""</f>
        <v/>
      </c>
      <c r="F223" t="str">
        <f>""</f>
        <v/>
      </c>
      <c r="H223" t="str">
        <f>"ACCT#5000057374 / 03052019"</f>
        <v>ACCT#5000057374 / 03052019</v>
      </c>
    </row>
    <row r="224" spans="1:8" x14ac:dyDescent="0.25">
      <c r="A224" t="s">
        <v>65</v>
      </c>
      <c r="B224">
        <v>571</v>
      </c>
      <c r="C224" s="2">
        <v>15779.37</v>
      </c>
      <c r="D224" s="1">
        <v>43536</v>
      </c>
      <c r="E224" t="str">
        <f>"201903057718"</f>
        <v>201903057718</v>
      </c>
      <c r="F224" t="str">
        <f>"GRANT REIMBURSEMENT"</f>
        <v>GRANT REIMBURSEMENT</v>
      </c>
      <c r="G224" s="2">
        <v>14679.37</v>
      </c>
      <c r="H224" t="str">
        <f>"GRANT REIMBURSEMENT"</f>
        <v>GRANT REIMBURSEMENT</v>
      </c>
    </row>
    <row r="225" spans="1:8" x14ac:dyDescent="0.25">
      <c r="E225" t="str">
        <f>"25-02-2019"</f>
        <v>25-02-2019</v>
      </c>
      <c r="F225" t="str">
        <f>"INV 25-02-2019"</f>
        <v>INV 25-02-2019</v>
      </c>
      <c r="G225" s="2">
        <v>1100</v>
      </c>
      <c r="H225" t="str">
        <f>"INV 25-02-2019"</f>
        <v>INV 25-02-2019</v>
      </c>
    </row>
    <row r="226" spans="1:8" x14ac:dyDescent="0.25">
      <c r="A226" t="s">
        <v>66</v>
      </c>
      <c r="B226">
        <v>81494</v>
      </c>
      <c r="C226" s="2">
        <v>2514</v>
      </c>
      <c r="D226" s="1">
        <v>43549</v>
      </c>
      <c r="E226" t="str">
        <f>"UT1000490028"</f>
        <v>UT1000490028</v>
      </c>
      <c r="F226" t="str">
        <f>"INV UT1000490028"</f>
        <v>INV UT1000490028</v>
      </c>
      <c r="G226" s="2">
        <v>2514</v>
      </c>
      <c r="H226" t="str">
        <f>"INV UT1000490028"</f>
        <v>INV UT1000490028</v>
      </c>
    </row>
    <row r="227" spans="1:8" x14ac:dyDescent="0.25">
      <c r="A227" t="s">
        <v>67</v>
      </c>
      <c r="B227">
        <v>81495</v>
      </c>
      <c r="C227" s="2">
        <v>55</v>
      </c>
      <c r="D227" s="1">
        <v>43549</v>
      </c>
      <c r="E227" t="str">
        <f>"201903208014"</f>
        <v>201903208014</v>
      </c>
      <c r="F227" t="str">
        <f>"FERAL HOGS"</f>
        <v>FERAL HOGS</v>
      </c>
      <c r="G227" s="2">
        <v>55</v>
      </c>
      <c r="H227" t="str">
        <f>"FERAL HOGS"</f>
        <v>FERAL HOGS</v>
      </c>
    </row>
    <row r="228" spans="1:8" x14ac:dyDescent="0.25">
      <c r="A228" t="s">
        <v>68</v>
      </c>
      <c r="B228">
        <v>81496</v>
      </c>
      <c r="C228" s="2">
        <v>70</v>
      </c>
      <c r="D228" s="1">
        <v>43549</v>
      </c>
      <c r="E228" t="str">
        <f>"201903208041"</f>
        <v>201903208041</v>
      </c>
      <c r="F228" t="str">
        <f>"FERAL HOGS"</f>
        <v>FERAL HOGS</v>
      </c>
      <c r="G228" s="2">
        <v>70</v>
      </c>
      <c r="H228" t="str">
        <f>"FERAL HOGS"</f>
        <v>FERAL HOGS</v>
      </c>
    </row>
    <row r="229" spans="1:8" x14ac:dyDescent="0.25">
      <c r="A229" t="s">
        <v>69</v>
      </c>
      <c r="B229">
        <v>81258</v>
      </c>
      <c r="C229" s="2">
        <v>4466.7299999999996</v>
      </c>
      <c r="D229" s="1">
        <v>43535</v>
      </c>
      <c r="E229" t="str">
        <f>"99715"</f>
        <v>99715</v>
      </c>
      <c r="F229" t="str">
        <f>"ACCT#1268/PCT#3"</f>
        <v>ACCT#1268/PCT#3</v>
      </c>
      <c r="G229" s="2">
        <v>2235.2600000000002</v>
      </c>
      <c r="H229" t="str">
        <f>"ACCT#1268/PCT#3"</f>
        <v>ACCT#1268/PCT#3</v>
      </c>
    </row>
    <row r="230" spans="1:8" x14ac:dyDescent="0.25">
      <c r="E230" t="str">
        <f>"99881"</f>
        <v>99881</v>
      </c>
      <c r="F230" t="str">
        <f>"ACCT#1268/PCT#3"</f>
        <v>ACCT#1268/PCT#3</v>
      </c>
      <c r="G230" s="2">
        <v>2231.4699999999998</v>
      </c>
      <c r="H230" t="str">
        <f>"ACCT#1268/PCT#3"</f>
        <v>ACCT#1268/PCT#3</v>
      </c>
    </row>
    <row r="231" spans="1:8" x14ac:dyDescent="0.25">
      <c r="A231" t="s">
        <v>69</v>
      </c>
      <c r="B231">
        <v>81497</v>
      </c>
      <c r="C231" s="2">
        <v>1662.89</v>
      </c>
      <c r="D231" s="1">
        <v>43549</v>
      </c>
      <c r="E231" t="str">
        <f>"100038"</f>
        <v>100038</v>
      </c>
      <c r="F231" t="str">
        <f>"ACCT#1268/PCT#3"</f>
        <v>ACCT#1268/PCT#3</v>
      </c>
      <c r="G231" s="2">
        <v>1662.89</v>
      </c>
      <c r="H231" t="str">
        <f>"ACCT#1268/PCT#3"</f>
        <v>ACCT#1268/PCT#3</v>
      </c>
    </row>
    <row r="232" spans="1:8" x14ac:dyDescent="0.25">
      <c r="A232" t="s">
        <v>70</v>
      </c>
      <c r="B232">
        <v>566</v>
      </c>
      <c r="C232" s="2">
        <v>155</v>
      </c>
      <c r="D232" s="1">
        <v>43536</v>
      </c>
      <c r="E232" t="str">
        <f>"201903047608"</f>
        <v>201903047608</v>
      </c>
      <c r="F232" t="str">
        <f>"PER DIEM"</f>
        <v>PER DIEM</v>
      </c>
      <c r="G232" s="2">
        <v>155</v>
      </c>
      <c r="H232" t="str">
        <f>"PER DIEM"</f>
        <v>PER DIEM</v>
      </c>
    </row>
    <row r="233" spans="1:8" x14ac:dyDescent="0.25">
      <c r="A233" t="s">
        <v>71</v>
      </c>
      <c r="B233">
        <v>81259</v>
      </c>
      <c r="C233" s="2">
        <v>250</v>
      </c>
      <c r="D233" s="1">
        <v>43535</v>
      </c>
      <c r="E233" t="str">
        <f>"201903057686"</f>
        <v>201903057686</v>
      </c>
      <c r="F233" t="str">
        <f>"JP1-112607.11"</f>
        <v>JP1-112607.11</v>
      </c>
      <c r="G233" s="2">
        <v>250</v>
      </c>
      <c r="H233" t="str">
        <f>"JP1-112607.11"</f>
        <v>JP1-112607.11</v>
      </c>
    </row>
    <row r="234" spans="1:8" x14ac:dyDescent="0.25">
      <c r="A234" t="s">
        <v>72</v>
      </c>
      <c r="B234">
        <v>81260</v>
      </c>
      <c r="C234" s="2">
        <v>15</v>
      </c>
      <c r="D234" s="1">
        <v>43535</v>
      </c>
      <c r="E234" t="str">
        <f>"19-19493"</f>
        <v>19-19493</v>
      </c>
      <c r="F234" t="str">
        <f>"CENTRAL ADOPTION REGISTRY FUND"</f>
        <v>CENTRAL ADOPTION REGISTRY FUND</v>
      </c>
      <c r="G234" s="2">
        <v>15</v>
      </c>
      <c r="H234" t="str">
        <f>"CENTRAL ADOPTION REGISTRY FUND"</f>
        <v>CENTRAL ADOPTION REGISTRY FUND</v>
      </c>
    </row>
    <row r="235" spans="1:8" x14ac:dyDescent="0.25">
      <c r="A235" t="s">
        <v>72</v>
      </c>
      <c r="B235">
        <v>81498</v>
      </c>
      <c r="C235" s="2">
        <v>15</v>
      </c>
      <c r="D235" s="1">
        <v>43549</v>
      </c>
      <c r="E235" t="str">
        <f>"423-6357"</f>
        <v>423-6357</v>
      </c>
      <c r="F235" t="str">
        <f>"CENTRAL ADOPTION REGISTRY FUND"</f>
        <v>CENTRAL ADOPTION REGISTRY FUND</v>
      </c>
      <c r="G235" s="2">
        <v>15</v>
      </c>
      <c r="H235" t="str">
        <f>"CENTRAL ADOPTION REGISTRY FUND"</f>
        <v>CENTRAL ADOPTION REGISTRY FUND</v>
      </c>
    </row>
    <row r="236" spans="1:8" x14ac:dyDescent="0.25">
      <c r="A236" t="s">
        <v>73</v>
      </c>
      <c r="B236">
        <v>81499</v>
      </c>
      <c r="C236" s="2">
        <v>360</v>
      </c>
      <c r="D236" s="1">
        <v>43549</v>
      </c>
      <c r="E236" t="str">
        <f>"201903197991"</f>
        <v>201903197991</v>
      </c>
      <c r="F236" t="str">
        <f>"TRAINING - A. CAWTHON"</f>
        <v>TRAINING - A. CAWTHON</v>
      </c>
      <c r="G236" s="2">
        <v>360</v>
      </c>
      <c r="H236" t="str">
        <f>"TRAINING - A. CAWTHON"</f>
        <v>TRAINING - A. CAWTHON</v>
      </c>
    </row>
    <row r="237" spans="1:8" x14ac:dyDescent="0.25">
      <c r="A237" t="s">
        <v>74</v>
      </c>
      <c r="B237">
        <v>81261</v>
      </c>
      <c r="C237" s="2">
        <v>762.27</v>
      </c>
      <c r="D237" s="1">
        <v>43535</v>
      </c>
      <c r="E237" t="str">
        <f>"499991"</f>
        <v>499991</v>
      </c>
      <c r="F237" t="str">
        <f>"ACCT#000690/PCT#2"</f>
        <v>ACCT#000690/PCT#2</v>
      </c>
      <c r="G237" s="2">
        <v>762.27</v>
      </c>
      <c r="H237" t="str">
        <f>"ACCT#000690/PCT#2"</f>
        <v>ACCT#000690/PCT#2</v>
      </c>
    </row>
    <row r="238" spans="1:8" x14ac:dyDescent="0.25">
      <c r="A238" t="s">
        <v>74</v>
      </c>
      <c r="B238">
        <v>81500</v>
      </c>
      <c r="C238" s="2">
        <v>169.74</v>
      </c>
      <c r="D238" s="1">
        <v>43549</v>
      </c>
      <c r="E238" t="str">
        <f>"1629091"</f>
        <v>1629091</v>
      </c>
      <c r="F238" t="str">
        <f>"ACCT#000690/ORD#01382769/PCT#4"</f>
        <v>ACCT#000690/ORD#01382769/PCT#4</v>
      </c>
      <c r="G238" s="2">
        <v>169.74</v>
      </c>
      <c r="H238" t="str">
        <f>"ACCT#000690/ORD#01382769/PCT#4"</f>
        <v>ACCT#000690/ORD#01382769/PCT#4</v>
      </c>
    </row>
    <row r="239" spans="1:8" x14ac:dyDescent="0.25">
      <c r="A239" t="s">
        <v>75</v>
      </c>
      <c r="B239">
        <v>85</v>
      </c>
      <c r="C239" s="2">
        <v>5332.75</v>
      </c>
      <c r="D239" s="1">
        <v>43535</v>
      </c>
      <c r="E239" t="str">
        <f>"201903017584"</f>
        <v>201903017584</v>
      </c>
      <c r="F239" t="str">
        <f>"Acct# 0058"</f>
        <v>Acct# 0058</v>
      </c>
      <c r="G239" s="2">
        <v>5332.75</v>
      </c>
      <c r="H239" t="str">
        <f>"TDEM"</f>
        <v>TDEM</v>
      </c>
    </row>
    <row r="240" spans="1:8" x14ac:dyDescent="0.25">
      <c r="E240" t="str">
        <f>""</f>
        <v/>
      </c>
      <c r="F240" t="str">
        <f>""</f>
        <v/>
      </c>
      <c r="H240" t="str">
        <f>"skillpath"</f>
        <v>skillpath</v>
      </c>
    </row>
    <row r="241" spans="5:8" x14ac:dyDescent="0.25">
      <c r="E241" t="str">
        <f>""</f>
        <v/>
      </c>
      <c r="F241" t="str">
        <f>""</f>
        <v/>
      </c>
      <c r="H241" t="str">
        <f>"Active911"</f>
        <v>Active911</v>
      </c>
    </row>
    <row r="242" spans="5:8" x14ac:dyDescent="0.25">
      <c r="E242" t="str">
        <f>""</f>
        <v/>
      </c>
      <c r="F242" t="str">
        <f>""</f>
        <v/>
      </c>
      <c r="H242" t="str">
        <f>"Teex"</f>
        <v>Teex</v>
      </c>
    </row>
    <row r="243" spans="5:8" x14ac:dyDescent="0.25">
      <c r="E243" t="str">
        <f>""</f>
        <v/>
      </c>
      <c r="F243" t="str">
        <f>""</f>
        <v/>
      </c>
      <c r="H243" t="str">
        <f>"WPY Juvinile"</f>
        <v>WPY Juvinile</v>
      </c>
    </row>
    <row r="244" spans="5:8" x14ac:dyDescent="0.25">
      <c r="E244" t="str">
        <f>""</f>
        <v/>
      </c>
      <c r="F244" t="str">
        <f>""</f>
        <v/>
      </c>
      <c r="H244" t="str">
        <f>"WPY Juvenile"</f>
        <v>WPY Juvenile</v>
      </c>
    </row>
    <row r="245" spans="5:8" x14ac:dyDescent="0.25">
      <c r="E245" t="str">
        <f>""</f>
        <v/>
      </c>
      <c r="F245" t="str">
        <f>""</f>
        <v/>
      </c>
      <c r="H245" t="str">
        <f>"UT"</f>
        <v>UT</v>
      </c>
    </row>
    <row r="246" spans="5:8" x14ac:dyDescent="0.25">
      <c r="E246" t="str">
        <f>""</f>
        <v/>
      </c>
      <c r="F246" t="str">
        <f>""</f>
        <v/>
      </c>
      <c r="H246" t="str">
        <f>"UT"</f>
        <v>UT</v>
      </c>
    </row>
    <row r="247" spans="5:8" x14ac:dyDescent="0.25">
      <c r="E247" t="str">
        <f>""</f>
        <v/>
      </c>
      <c r="F247" t="str">
        <f>""</f>
        <v/>
      </c>
      <c r="H247" t="str">
        <f>"gOOGLE"</f>
        <v>gOOGLE</v>
      </c>
    </row>
    <row r="248" spans="5:8" x14ac:dyDescent="0.25">
      <c r="E248" t="str">
        <f>""</f>
        <v/>
      </c>
      <c r="F248" t="str">
        <f>""</f>
        <v/>
      </c>
      <c r="H248" t="str">
        <f>"WebEx"</f>
        <v>WebEx</v>
      </c>
    </row>
    <row r="249" spans="5:8" x14ac:dyDescent="0.25">
      <c r="E249" t="str">
        <f>""</f>
        <v/>
      </c>
      <c r="F249" t="str">
        <f>""</f>
        <v/>
      </c>
      <c r="H249" t="str">
        <f>"TxTag"</f>
        <v>TxTag</v>
      </c>
    </row>
    <row r="250" spans="5:8" x14ac:dyDescent="0.25">
      <c r="E250" t="str">
        <f>""</f>
        <v/>
      </c>
      <c r="F250" t="str">
        <f>""</f>
        <v/>
      </c>
      <c r="H250" t="str">
        <f>"Vista Print Credit"</f>
        <v>Vista Print Credit</v>
      </c>
    </row>
    <row r="251" spans="5:8" x14ac:dyDescent="0.25">
      <c r="E251" t="str">
        <f>""</f>
        <v/>
      </c>
      <c r="F251" t="str">
        <f>""</f>
        <v/>
      </c>
      <c r="H251" t="str">
        <f>"VistaPrint"</f>
        <v>VistaPrint</v>
      </c>
    </row>
    <row r="252" spans="5:8" x14ac:dyDescent="0.25">
      <c r="E252" t="str">
        <f>""</f>
        <v/>
      </c>
      <c r="F252" t="str">
        <f>""</f>
        <v/>
      </c>
      <c r="H252" t="str">
        <f>"crawford"</f>
        <v>crawford</v>
      </c>
    </row>
    <row r="253" spans="5:8" x14ac:dyDescent="0.25">
      <c r="E253" t="str">
        <f>""</f>
        <v/>
      </c>
      <c r="F253" t="str">
        <f>""</f>
        <v/>
      </c>
      <c r="H253" t="str">
        <f>"TxTag"</f>
        <v>TxTag</v>
      </c>
    </row>
    <row r="254" spans="5:8" x14ac:dyDescent="0.25">
      <c r="E254" t="str">
        <f>""</f>
        <v/>
      </c>
      <c r="F254" t="str">
        <f>""</f>
        <v/>
      </c>
      <c r="H254" t="str">
        <f>"TxDot"</f>
        <v>TxDot</v>
      </c>
    </row>
    <row r="255" spans="5:8" x14ac:dyDescent="0.25">
      <c r="E255" t="str">
        <f>""</f>
        <v/>
      </c>
      <c r="F255" t="str">
        <f>""</f>
        <v/>
      </c>
      <c r="H255" t="str">
        <f>"TxTag"</f>
        <v>TxTag</v>
      </c>
    </row>
    <row r="256" spans="5:8" x14ac:dyDescent="0.25">
      <c r="E256" t="str">
        <f>""</f>
        <v/>
      </c>
      <c r="F256" t="str">
        <f>""</f>
        <v/>
      </c>
      <c r="H256" t="str">
        <f>"Att"</f>
        <v>Att</v>
      </c>
    </row>
    <row r="257" spans="1:8" x14ac:dyDescent="0.25">
      <c r="E257" t="str">
        <f>""</f>
        <v/>
      </c>
      <c r="F257" t="str">
        <f>""</f>
        <v/>
      </c>
      <c r="H257" t="str">
        <f>"Charles Adams"</f>
        <v>Charles Adams</v>
      </c>
    </row>
    <row r="258" spans="1:8" x14ac:dyDescent="0.25">
      <c r="E258" t="str">
        <f>""</f>
        <v/>
      </c>
      <c r="F258" t="str">
        <f>""</f>
        <v/>
      </c>
      <c r="H258" t="str">
        <f>"Erika DeJesus"</f>
        <v>Erika DeJesus</v>
      </c>
    </row>
    <row r="259" spans="1:8" x14ac:dyDescent="0.25">
      <c r="E259" t="str">
        <f>""</f>
        <v/>
      </c>
      <c r="F259" t="str">
        <f>""</f>
        <v/>
      </c>
      <c r="H259" t="str">
        <f>"Rosanna Garza"</f>
        <v>Rosanna Garza</v>
      </c>
    </row>
    <row r="260" spans="1:8" x14ac:dyDescent="0.25">
      <c r="E260" t="str">
        <f>""</f>
        <v/>
      </c>
      <c r="F260" t="str">
        <f>""</f>
        <v/>
      </c>
      <c r="H260" t="str">
        <f>"Robert Bennett"</f>
        <v>Robert Bennett</v>
      </c>
    </row>
    <row r="261" spans="1:8" x14ac:dyDescent="0.25">
      <c r="E261" t="str">
        <f>""</f>
        <v/>
      </c>
      <c r="F261" t="str">
        <f>""</f>
        <v/>
      </c>
      <c r="H261" t="str">
        <f>"Annette Murley"</f>
        <v>Annette Murley</v>
      </c>
    </row>
    <row r="262" spans="1:8" x14ac:dyDescent="0.25">
      <c r="E262" t="str">
        <f>""</f>
        <v/>
      </c>
      <c r="F262" t="str">
        <f>""</f>
        <v/>
      </c>
      <c r="H262" t="str">
        <f>"Transport"</f>
        <v>Transport</v>
      </c>
    </row>
    <row r="263" spans="1:8" x14ac:dyDescent="0.25">
      <c r="E263" t="str">
        <f>""</f>
        <v/>
      </c>
      <c r="F263" t="str">
        <f>""</f>
        <v/>
      </c>
      <c r="H263" t="str">
        <f>"HSUS"</f>
        <v>HSUS</v>
      </c>
    </row>
    <row r="264" spans="1:8" x14ac:dyDescent="0.25">
      <c r="E264" t="str">
        <f>""</f>
        <v/>
      </c>
      <c r="F264" t="str">
        <f>""</f>
        <v/>
      </c>
      <c r="H264" t="str">
        <f>"TxTag"</f>
        <v>TxTag</v>
      </c>
    </row>
    <row r="265" spans="1:8" x14ac:dyDescent="0.25">
      <c r="E265" t="str">
        <f>""</f>
        <v/>
      </c>
      <c r="F265" t="str">
        <f>""</f>
        <v/>
      </c>
      <c r="H265" t="str">
        <f>"TxTag"</f>
        <v>TxTag</v>
      </c>
    </row>
    <row r="266" spans="1:8" x14ac:dyDescent="0.25">
      <c r="E266" t="str">
        <f>""</f>
        <v/>
      </c>
      <c r="F266" t="str">
        <f>""</f>
        <v/>
      </c>
      <c r="H266" t="str">
        <f>"HEB"</f>
        <v>HEB</v>
      </c>
    </row>
    <row r="267" spans="1:8" x14ac:dyDescent="0.25">
      <c r="E267" t="str">
        <f>""</f>
        <v/>
      </c>
      <c r="F267" t="str">
        <f>""</f>
        <v/>
      </c>
      <c r="H267" t="str">
        <f>"TxTag"</f>
        <v>TxTag</v>
      </c>
    </row>
    <row r="268" spans="1:8" x14ac:dyDescent="0.25">
      <c r="E268" t="str">
        <f>""</f>
        <v/>
      </c>
      <c r="F268" t="str">
        <f>""</f>
        <v/>
      </c>
      <c r="H268" t="str">
        <f>"TxTag"</f>
        <v>TxTag</v>
      </c>
    </row>
    <row r="269" spans="1:8" x14ac:dyDescent="0.25">
      <c r="E269" t="str">
        <f>""</f>
        <v/>
      </c>
      <c r="F269" t="str">
        <f>""</f>
        <v/>
      </c>
      <c r="H269" t="str">
        <f>"TxTag"</f>
        <v>TxTag</v>
      </c>
    </row>
    <row r="270" spans="1:8" x14ac:dyDescent="0.25">
      <c r="E270" t="str">
        <f>""</f>
        <v/>
      </c>
      <c r="F270" t="str">
        <f>""</f>
        <v/>
      </c>
      <c r="H270" t="str">
        <f>"hotel"</f>
        <v>hotel</v>
      </c>
    </row>
    <row r="271" spans="1:8" x14ac:dyDescent="0.25">
      <c r="E271" t="str">
        <f>""</f>
        <v/>
      </c>
      <c r="F271" t="str">
        <f>""</f>
        <v/>
      </c>
      <c r="H271" t="str">
        <f>"Hotel"</f>
        <v>Hotel</v>
      </c>
    </row>
    <row r="272" spans="1:8" x14ac:dyDescent="0.25">
      <c r="A272" t="s">
        <v>75</v>
      </c>
      <c r="B272">
        <v>86</v>
      </c>
      <c r="C272" s="2">
        <v>559.71</v>
      </c>
      <c r="D272" s="1">
        <v>43535</v>
      </c>
      <c r="E272" t="str">
        <f>"201903067819"</f>
        <v>201903067819</v>
      </c>
      <c r="F272" t="str">
        <f>"STATEMENT 0574"</f>
        <v>STATEMENT 0574</v>
      </c>
      <c r="G272" s="2">
        <v>559.71</v>
      </c>
      <c r="H272" t="str">
        <f>"HILTON  - S. MARTIN"</f>
        <v>HILTON  - S. MARTIN</v>
      </c>
    </row>
    <row r="273" spans="1:8" x14ac:dyDescent="0.25">
      <c r="E273" t="str">
        <f>""</f>
        <v/>
      </c>
      <c r="F273" t="str">
        <f>""</f>
        <v/>
      </c>
      <c r="H273" t="str">
        <f>"HILTON - J. MICKELSO"</f>
        <v>HILTON - J. MICKELSO</v>
      </c>
    </row>
    <row r="274" spans="1:8" x14ac:dyDescent="0.25">
      <c r="E274" t="str">
        <f>""</f>
        <v/>
      </c>
      <c r="F274" t="str">
        <f>""</f>
        <v/>
      </c>
      <c r="H274" t="str">
        <f>"INTEREST"</f>
        <v>INTEREST</v>
      </c>
    </row>
    <row r="275" spans="1:8" x14ac:dyDescent="0.25">
      <c r="E275" t="str">
        <f>""</f>
        <v/>
      </c>
      <c r="F275" t="str">
        <f>""</f>
        <v/>
      </c>
      <c r="H275" t="str">
        <f>"WALMART - JAIL"</f>
        <v>WALMART - JAIL</v>
      </c>
    </row>
    <row r="276" spans="1:8" x14ac:dyDescent="0.25">
      <c r="E276" t="str">
        <f>""</f>
        <v/>
      </c>
      <c r="F276" t="str">
        <f>""</f>
        <v/>
      </c>
      <c r="H276" t="str">
        <f>"TXGANG - J. BATES"</f>
        <v>TXGANG - J. BATES</v>
      </c>
    </row>
    <row r="277" spans="1:8" x14ac:dyDescent="0.25">
      <c r="E277" t="str">
        <f>""</f>
        <v/>
      </c>
      <c r="F277" t="str">
        <f>""</f>
        <v/>
      </c>
      <c r="H277" t="str">
        <f>"TXGANG - V. HORSLEY"</f>
        <v>TXGANG - V. HORSLEY</v>
      </c>
    </row>
    <row r="278" spans="1:8" x14ac:dyDescent="0.25">
      <c r="A278" t="s">
        <v>76</v>
      </c>
      <c r="B278">
        <v>81501</v>
      </c>
      <c r="C278" s="2">
        <v>79.62</v>
      </c>
      <c r="D278" s="1">
        <v>43549</v>
      </c>
      <c r="E278" t="str">
        <f>"201903197966"</f>
        <v>201903197966</v>
      </c>
      <c r="F278" t="str">
        <f>"INDIGENT HEALTH"</f>
        <v>INDIGENT HEALTH</v>
      </c>
      <c r="G278" s="2">
        <v>79.62</v>
      </c>
    </row>
    <row r="279" spans="1:8" x14ac:dyDescent="0.25">
      <c r="A279" t="s">
        <v>77</v>
      </c>
      <c r="B279">
        <v>81502</v>
      </c>
      <c r="C279" s="2">
        <v>10</v>
      </c>
      <c r="D279" s="1">
        <v>43549</v>
      </c>
      <c r="E279" t="str">
        <f>"201903208015"</f>
        <v>201903208015</v>
      </c>
      <c r="F279" t="str">
        <f>"FERAL HOGS"</f>
        <v>FERAL HOGS</v>
      </c>
      <c r="G279" s="2">
        <v>10</v>
      </c>
      <c r="H279" t="str">
        <f>"FERAL HOGS"</f>
        <v>FERAL HOGS</v>
      </c>
    </row>
    <row r="280" spans="1:8" x14ac:dyDescent="0.25">
      <c r="A280" t="s">
        <v>78</v>
      </c>
      <c r="B280">
        <v>81262</v>
      </c>
      <c r="C280" s="2">
        <v>422.5</v>
      </c>
      <c r="D280" s="1">
        <v>43535</v>
      </c>
      <c r="E280" t="str">
        <f>"1781"</f>
        <v>1781</v>
      </c>
      <c r="F280" t="str">
        <f>"INTERPRETATION"</f>
        <v>INTERPRETATION</v>
      </c>
      <c r="G280" s="2">
        <v>422.5</v>
      </c>
      <c r="H280" t="str">
        <f>"INTERPRETATION"</f>
        <v>INTERPRETATION</v>
      </c>
    </row>
    <row r="281" spans="1:8" x14ac:dyDescent="0.25">
      <c r="A281" t="s">
        <v>79</v>
      </c>
      <c r="B281">
        <v>621</v>
      </c>
      <c r="C281" s="2">
        <v>295.62</v>
      </c>
      <c r="D281" s="1">
        <v>43550</v>
      </c>
      <c r="E281" t="str">
        <f>"RJT7452"</f>
        <v>RJT7452</v>
      </c>
      <c r="F281" t="str">
        <f>"Zebra Receipt Paper"</f>
        <v>Zebra Receipt Paper</v>
      </c>
      <c r="G281" s="2">
        <v>295.62</v>
      </c>
      <c r="H281" t="str">
        <f>"part 1011425"</f>
        <v>part 1011425</v>
      </c>
    </row>
    <row r="282" spans="1:8" x14ac:dyDescent="0.25">
      <c r="A282" t="s">
        <v>80</v>
      </c>
      <c r="B282">
        <v>580</v>
      </c>
      <c r="C282" s="2">
        <v>15</v>
      </c>
      <c r="D282" s="1">
        <v>43536</v>
      </c>
      <c r="E282" t="str">
        <f>"23038"</f>
        <v>23038</v>
      </c>
      <c r="F282" t="str">
        <f>"SUPPLIES / PCT #2"</f>
        <v>SUPPLIES / PCT #2</v>
      </c>
      <c r="G282" s="2">
        <v>15</v>
      </c>
      <c r="H282" t="str">
        <f>"SUPPLIES / PCT #2"</f>
        <v>SUPPLIES / PCT #2</v>
      </c>
    </row>
    <row r="283" spans="1:8" x14ac:dyDescent="0.25">
      <c r="A283" t="s">
        <v>81</v>
      </c>
      <c r="B283">
        <v>81640</v>
      </c>
      <c r="C283" s="2">
        <v>2638.62</v>
      </c>
      <c r="D283" s="1">
        <v>43550</v>
      </c>
      <c r="E283" t="str">
        <f>"201903268128"</f>
        <v>201903268128</v>
      </c>
      <c r="F283" t="str">
        <f>"ACCT#8000081165-5 / 03202019"</f>
        <v>ACCT#8000081165-5 / 03202019</v>
      </c>
      <c r="G283" s="2">
        <v>2638.62</v>
      </c>
      <c r="H283" t="str">
        <f>"ACCT#8000081165-5 / 03202019"</f>
        <v>ACCT#8000081165-5 / 03202019</v>
      </c>
    </row>
    <row r="284" spans="1:8" x14ac:dyDescent="0.25">
      <c r="E284" t="str">
        <f>""</f>
        <v/>
      </c>
      <c r="F284" t="str">
        <f>""</f>
        <v/>
      </c>
      <c r="H284" t="str">
        <f>"ACCT#8000081165-5 / 03202019"</f>
        <v>ACCT#8000081165-5 / 03202019</v>
      </c>
    </row>
    <row r="285" spans="1:8" x14ac:dyDescent="0.25">
      <c r="A285" t="s">
        <v>82</v>
      </c>
      <c r="B285">
        <v>81503</v>
      </c>
      <c r="C285" s="2">
        <v>2905.37</v>
      </c>
      <c r="D285" s="1">
        <v>43549</v>
      </c>
      <c r="E285" t="str">
        <f>"CID2405536"</f>
        <v>CID2405536</v>
      </c>
      <c r="F285" t="str">
        <f>"ACCT#238567/FOLD UP TOTE BAG"</f>
        <v>ACCT#238567/FOLD UP TOTE BAG</v>
      </c>
      <c r="G285" s="2">
        <v>2905.37</v>
      </c>
      <c r="H285" t="str">
        <f>"ACCT#238567/FOLD UP TOTE BAG"</f>
        <v>ACCT#238567/FOLD UP TOTE BAG</v>
      </c>
    </row>
    <row r="286" spans="1:8" x14ac:dyDescent="0.25">
      <c r="A286" t="s">
        <v>83</v>
      </c>
      <c r="B286">
        <v>81263</v>
      </c>
      <c r="C286" s="2">
        <v>15</v>
      </c>
      <c r="D286" s="1">
        <v>43535</v>
      </c>
      <c r="E286" t="str">
        <f>"23038"</f>
        <v>23038</v>
      </c>
      <c r="F286" t="str">
        <f>"SUPPLIES/PCT#2"</f>
        <v>SUPPLIES/PCT#2</v>
      </c>
      <c r="G286" s="2">
        <v>15</v>
      </c>
    </row>
    <row r="287" spans="1:8" x14ac:dyDescent="0.25">
      <c r="A287" t="s">
        <v>83</v>
      </c>
      <c r="B287">
        <v>81263</v>
      </c>
      <c r="C287" s="2">
        <v>15</v>
      </c>
      <c r="D287" s="1">
        <v>43535</v>
      </c>
      <c r="E287" t="str">
        <f>"CHECK"</f>
        <v>CHECK</v>
      </c>
      <c r="F287" t="str">
        <f>""</f>
        <v/>
      </c>
      <c r="G287" s="2">
        <v>15</v>
      </c>
    </row>
    <row r="288" spans="1:8" x14ac:dyDescent="0.25">
      <c r="A288" t="s">
        <v>84</v>
      </c>
      <c r="B288">
        <v>81264</v>
      </c>
      <c r="C288" s="2">
        <v>4480</v>
      </c>
      <c r="D288" s="1">
        <v>43535</v>
      </c>
      <c r="E288" t="str">
        <f>"12687"</f>
        <v>12687</v>
      </c>
      <c r="F288" t="str">
        <f>"CTA 411-18"</f>
        <v>CTA 411-18</v>
      </c>
      <c r="G288" s="2">
        <v>2380</v>
      </c>
      <c r="H288" t="str">
        <f>"CTA 411-18"</f>
        <v>CTA 411-18</v>
      </c>
    </row>
    <row r="289" spans="1:8" x14ac:dyDescent="0.25">
      <c r="E289" t="str">
        <f>"12688"</f>
        <v>12688</v>
      </c>
      <c r="F289" t="str">
        <f>"FULL AUTOPSY/CTA 479-18"</f>
        <v>FULL AUTOPSY/CTA 479-18</v>
      </c>
      <c r="G289" s="2">
        <v>2100</v>
      </c>
      <c r="H289" t="str">
        <f>"FULL AUTOPSY/CTA 479-18"</f>
        <v>FULL AUTOPSY/CTA 479-18</v>
      </c>
    </row>
    <row r="290" spans="1:8" x14ac:dyDescent="0.25">
      <c r="A290" t="s">
        <v>85</v>
      </c>
      <c r="B290">
        <v>81265</v>
      </c>
      <c r="C290" s="2">
        <v>200</v>
      </c>
      <c r="D290" s="1">
        <v>43535</v>
      </c>
      <c r="E290" t="str">
        <f>"201903057637"</f>
        <v>201903057637</v>
      </c>
      <c r="F290" t="str">
        <f>"18-18885"</f>
        <v>18-18885</v>
      </c>
      <c r="G290" s="2">
        <v>100</v>
      </c>
      <c r="H290" t="str">
        <f>"18-18885"</f>
        <v>18-18885</v>
      </c>
    </row>
    <row r="291" spans="1:8" x14ac:dyDescent="0.25">
      <c r="E291" t="str">
        <f>"201903057638"</f>
        <v>201903057638</v>
      </c>
      <c r="F291" t="str">
        <f>"17-18764"</f>
        <v>17-18764</v>
      </c>
      <c r="G291" s="2">
        <v>100</v>
      </c>
      <c r="H291" t="str">
        <f>"17-18764"</f>
        <v>17-18764</v>
      </c>
    </row>
    <row r="292" spans="1:8" x14ac:dyDescent="0.25">
      <c r="A292" t="s">
        <v>86</v>
      </c>
      <c r="B292">
        <v>575</v>
      </c>
      <c r="C292" s="2">
        <v>2775</v>
      </c>
      <c r="D292" s="1">
        <v>43536</v>
      </c>
      <c r="E292" t="str">
        <f>"201903057620"</f>
        <v>201903057620</v>
      </c>
      <c r="F292" t="str">
        <f>"405078-1"</f>
        <v>405078-1</v>
      </c>
      <c r="G292" s="2">
        <v>400</v>
      </c>
      <c r="H292" t="str">
        <f>"405078-1"</f>
        <v>405078-1</v>
      </c>
    </row>
    <row r="293" spans="1:8" x14ac:dyDescent="0.25">
      <c r="E293" t="str">
        <f>"201903057621"</f>
        <v>201903057621</v>
      </c>
      <c r="F293" t="str">
        <f>"18-S-06005"</f>
        <v>18-S-06005</v>
      </c>
      <c r="G293" s="2">
        <v>400</v>
      </c>
      <c r="H293" t="str">
        <f>"18-S-06005"</f>
        <v>18-S-06005</v>
      </c>
    </row>
    <row r="294" spans="1:8" x14ac:dyDescent="0.25">
      <c r="E294" t="str">
        <f>"201903057622"</f>
        <v>201903057622</v>
      </c>
      <c r="F294" t="str">
        <f>"1802416"</f>
        <v>1802416</v>
      </c>
      <c r="G294" s="2">
        <v>400</v>
      </c>
      <c r="H294" t="str">
        <f>"1802416"</f>
        <v>1802416</v>
      </c>
    </row>
    <row r="295" spans="1:8" x14ac:dyDescent="0.25">
      <c r="E295" t="str">
        <f>"201903057623"</f>
        <v>201903057623</v>
      </c>
      <c r="F295" t="str">
        <f>"311212012C"</f>
        <v>311212012C</v>
      </c>
      <c r="G295" s="2">
        <v>400</v>
      </c>
      <c r="H295" t="str">
        <f>"311212012C"</f>
        <v>311212012C</v>
      </c>
    </row>
    <row r="296" spans="1:8" x14ac:dyDescent="0.25">
      <c r="E296" t="str">
        <f>"201903057624"</f>
        <v>201903057624</v>
      </c>
      <c r="F296" t="str">
        <f>"AC20180924"</f>
        <v>AC20180924</v>
      </c>
      <c r="G296" s="2">
        <v>400</v>
      </c>
      <c r="H296" t="str">
        <f>"AC20180924"</f>
        <v>AC20180924</v>
      </c>
    </row>
    <row r="297" spans="1:8" x14ac:dyDescent="0.25">
      <c r="E297" t="str">
        <f>"201903057687"</f>
        <v>201903057687</v>
      </c>
      <c r="F297" t="str">
        <f>"55 900"</f>
        <v>55 900</v>
      </c>
      <c r="G297" s="2">
        <v>250</v>
      </c>
      <c r="H297" t="str">
        <f>"55 900"</f>
        <v>55 900</v>
      </c>
    </row>
    <row r="298" spans="1:8" x14ac:dyDescent="0.25">
      <c r="E298" t="str">
        <f>"201903057688"</f>
        <v>201903057688</v>
      </c>
      <c r="F298" t="str">
        <f>"405078-2"</f>
        <v>405078-2</v>
      </c>
      <c r="G298" s="2">
        <v>250</v>
      </c>
      <c r="H298" t="str">
        <f>"405078-2"</f>
        <v>405078-2</v>
      </c>
    </row>
    <row r="299" spans="1:8" x14ac:dyDescent="0.25">
      <c r="E299" t="str">
        <f>"201903057689"</f>
        <v>201903057689</v>
      </c>
      <c r="F299" t="str">
        <f>"17-18764"</f>
        <v>17-18764</v>
      </c>
      <c r="G299" s="2">
        <v>175</v>
      </c>
      <c r="H299" t="str">
        <f>"17-18764"</f>
        <v>17-18764</v>
      </c>
    </row>
    <row r="300" spans="1:8" x14ac:dyDescent="0.25">
      <c r="E300" t="str">
        <f>"201903057690"</f>
        <v>201903057690</v>
      </c>
      <c r="F300" t="str">
        <f>"J"</f>
        <v>J</v>
      </c>
      <c r="G300" s="2">
        <v>100</v>
      </c>
      <c r="H300" t="str">
        <f>"J"</f>
        <v>J</v>
      </c>
    </row>
    <row r="301" spans="1:8" x14ac:dyDescent="0.25">
      <c r="A301" t="s">
        <v>87</v>
      </c>
      <c r="B301">
        <v>81504</v>
      </c>
      <c r="C301" s="2">
        <v>58.55</v>
      </c>
      <c r="D301" s="1">
        <v>43549</v>
      </c>
      <c r="E301" t="str">
        <f>"5013233427"</f>
        <v>5013233427</v>
      </c>
      <c r="F301" t="str">
        <f>"CUST#0011167190/PCT#1"</f>
        <v>CUST#0011167190/PCT#1</v>
      </c>
      <c r="G301" s="2">
        <v>58.55</v>
      </c>
      <c r="H301" t="str">
        <f>"CUST#0011167190/PCT#1"</f>
        <v>CUST#0011167190/PCT#1</v>
      </c>
    </row>
    <row r="302" spans="1:8" x14ac:dyDescent="0.25">
      <c r="A302" t="s">
        <v>88</v>
      </c>
      <c r="B302">
        <v>81266</v>
      </c>
      <c r="C302" s="2">
        <v>212.53</v>
      </c>
      <c r="D302" s="1">
        <v>43535</v>
      </c>
      <c r="E302" t="str">
        <f>"201903067836"</f>
        <v>201903067836</v>
      </c>
      <c r="F302" t="str">
        <f>"PAYER#14108463/ANIMAL SHELTER"</f>
        <v>PAYER#14108463/ANIMAL SHELTER</v>
      </c>
      <c r="G302" s="2">
        <v>212.53</v>
      </c>
      <c r="H302" t="str">
        <f>"PAYER#14108463/ANIMAL SHELTER"</f>
        <v>PAYER#14108463/ANIMAL SHELTER</v>
      </c>
    </row>
    <row r="303" spans="1:8" x14ac:dyDescent="0.25">
      <c r="A303" t="s">
        <v>89</v>
      </c>
      <c r="B303">
        <v>81505</v>
      </c>
      <c r="C303" s="2">
        <v>273.02</v>
      </c>
      <c r="D303" s="1">
        <v>43549</v>
      </c>
      <c r="E303" t="str">
        <f>"8404044740"</f>
        <v>8404044740</v>
      </c>
      <c r="F303" t="str">
        <f>"CUST#10377368/PCT#3"</f>
        <v>CUST#10377368/PCT#3</v>
      </c>
      <c r="G303" s="2">
        <v>273.02</v>
      </c>
      <c r="H303" t="str">
        <f>"CUST#10377368/PCT#3"</f>
        <v>CUST#10377368/PCT#3</v>
      </c>
    </row>
    <row r="304" spans="1:8" x14ac:dyDescent="0.25">
      <c r="A304" t="s">
        <v>88</v>
      </c>
      <c r="B304">
        <v>81506</v>
      </c>
      <c r="C304" s="2">
        <v>3738.54</v>
      </c>
      <c r="D304" s="1">
        <v>43549</v>
      </c>
      <c r="E304" t="str">
        <f>"201903147901"</f>
        <v>201903147901</v>
      </c>
      <c r="F304" t="str">
        <f>"PAYER#14108431/SIGN SHOP"</f>
        <v>PAYER#14108431/SIGN SHOP</v>
      </c>
      <c r="G304" s="2">
        <v>48.68</v>
      </c>
      <c r="H304" t="str">
        <f>"PAYER#14108431/SIGN SHOP"</f>
        <v>PAYER#14108431/SIGN SHOP</v>
      </c>
    </row>
    <row r="305" spans="1:9" x14ac:dyDescent="0.25">
      <c r="E305" t="str">
        <f>"201903147904"</f>
        <v>201903147904</v>
      </c>
      <c r="F305" t="str">
        <f>"PAYER#13229945/GEN SVCS"</f>
        <v>PAYER#13229945/GEN SVCS</v>
      </c>
      <c r="G305" s="2">
        <v>1074.8599999999999</v>
      </c>
      <c r="H305" t="str">
        <f>"PAYER#13229945/GEN SVCS"</f>
        <v>PAYER#13229945/GEN SVCS</v>
      </c>
    </row>
    <row r="306" spans="1:9" x14ac:dyDescent="0.25">
      <c r="E306" t="str">
        <f>"201903147906"</f>
        <v>201903147906</v>
      </c>
      <c r="F306" t="str">
        <f>"PAYER#14108431/PCT#1"</f>
        <v>PAYER#14108431/PCT#1</v>
      </c>
      <c r="G306" s="2">
        <v>648.48</v>
      </c>
      <c r="H306" t="str">
        <f>"PAYER#14108431/PCT#1"</f>
        <v>PAYER#14108431/PCT#1</v>
      </c>
    </row>
    <row r="307" spans="1:9" x14ac:dyDescent="0.25">
      <c r="E307" t="str">
        <f>"201903147907"</f>
        <v>201903147907</v>
      </c>
      <c r="F307" t="str">
        <f>"PAYER#14108367/PCT#2"</f>
        <v>PAYER#14108367/PCT#2</v>
      </c>
      <c r="G307" s="2">
        <v>672.24</v>
      </c>
      <c r="H307" t="str">
        <f>"PAYER#14108367/PCT#2"</f>
        <v>PAYER#14108367/PCT#2</v>
      </c>
    </row>
    <row r="308" spans="1:9" x14ac:dyDescent="0.25">
      <c r="E308" t="str">
        <f>"201903147909"</f>
        <v>201903147909</v>
      </c>
      <c r="F308" t="str">
        <f>"PAYER#14108430/PCT#4"</f>
        <v>PAYER#14108430/PCT#4</v>
      </c>
      <c r="G308" s="2">
        <v>1294.28</v>
      </c>
      <c r="H308" t="str">
        <f>"PAYER#14108430/PCT#4"</f>
        <v>PAYER#14108430/PCT#4</v>
      </c>
    </row>
    <row r="309" spans="1:9" x14ac:dyDescent="0.25">
      <c r="A309" t="s">
        <v>90</v>
      </c>
      <c r="B309">
        <v>81228</v>
      </c>
      <c r="C309" s="2">
        <v>34034.01</v>
      </c>
      <c r="D309" s="1">
        <v>43531</v>
      </c>
      <c r="E309" t="str">
        <f>"201903067854"</f>
        <v>201903067854</v>
      </c>
      <c r="F309" t="str">
        <f>"ACCT#02-2083-04 / 02282019"</f>
        <v>ACCT#02-2083-04 / 02282019</v>
      </c>
      <c r="G309" s="2">
        <v>592.74</v>
      </c>
      <c r="H309" t="str">
        <f>"ACCT#02-2083-04 / 02282019"</f>
        <v>ACCT#02-2083-04 / 02282019</v>
      </c>
    </row>
    <row r="310" spans="1:9" x14ac:dyDescent="0.25">
      <c r="E310" t="str">
        <f>"201903067855"</f>
        <v>201903067855</v>
      </c>
      <c r="F310" t="str">
        <f>"CTY DEV CR / 02282019"</f>
        <v>CTY DEV CR / 02282019</v>
      </c>
      <c r="G310" s="2">
        <v>1696.91</v>
      </c>
      <c r="H310" t="str">
        <f>"CTY DEV CR / 02282019"</f>
        <v>CTY DEV CR / 02282019</v>
      </c>
    </row>
    <row r="311" spans="1:9" x14ac:dyDescent="0.25">
      <c r="E311" t="str">
        <f>"201903067856"</f>
        <v>201903067856</v>
      </c>
      <c r="F311" t="str">
        <f>"LAW CENTER / 02282019"</f>
        <v>LAW CENTER / 02282019</v>
      </c>
      <c r="G311" s="2">
        <v>19068.71</v>
      </c>
      <c r="H311" t="str">
        <f>"LAW CENTER / 02282019"</f>
        <v>LAW CENTER / 02282019</v>
      </c>
    </row>
    <row r="312" spans="1:9" x14ac:dyDescent="0.25">
      <c r="E312" t="str">
        <f>"201903067857"</f>
        <v>201903067857</v>
      </c>
      <c r="F312" t="str">
        <f>"COUNTY COURTHOUSE / 02282019"</f>
        <v>COUNTY COURTHOUSE / 02282019</v>
      </c>
      <c r="G312" s="2">
        <v>12675.65</v>
      </c>
      <c r="H312" t="str">
        <f>"COUNTY COURTHOUSE / 02282019"</f>
        <v>COUNTY COURTHOUSE / 02282019</v>
      </c>
    </row>
    <row r="313" spans="1:9" x14ac:dyDescent="0.25">
      <c r="A313" t="s">
        <v>90</v>
      </c>
      <c r="B313">
        <v>81267</v>
      </c>
      <c r="C313" s="2">
        <v>150</v>
      </c>
      <c r="D313" s="1">
        <v>43535</v>
      </c>
      <c r="E313" t="s">
        <v>91</v>
      </c>
      <c r="F313" t="s">
        <v>92</v>
      </c>
      <c r="G313" s="2" t="str">
        <f>"RESTITUTION-A.M. LAWRENCE"</f>
        <v>RESTITUTION-A.M. LAWRENCE</v>
      </c>
      <c r="H313" t="str">
        <f>"210-0000"</f>
        <v>210-0000</v>
      </c>
      <c r="I313" t="str">
        <f>""</f>
        <v/>
      </c>
    </row>
    <row r="314" spans="1:9" x14ac:dyDescent="0.25">
      <c r="A314" t="s">
        <v>90</v>
      </c>
      <c r="B314">
        <v>81507</v>
      </c>
      <c r="C314" s="2">
        <v>750</v>
      </c>
      <c r="D314" s="1">
        <v>43549</v>
      </c>
      <c r="E314" t="str">
        <f>"201903147900"</f>
        <v>201903147900</v>
      </c>
      <c r="F314" t="str">
        <f>"RENTAL-PARKING LOT"</f>
        <v>RENTAL-PARKING LOT</v>
      </c>
      <c r="G314" s="2">
        <v>750</v>
      </c>
      <c r="H314" t="str">
        <f>"RENTAL-PARKING LOT"</f>
        <v>RENTAL-PARKING LOT</v>
      </c>
    </row>
    <row r="315" spans="1:9" x14ac:dyDescent="0.25">
      <c r="A315" t="s">
        <v>93</v>
      </c>
      <c r="B315">
        <v>81229</v>
      </c>
      <c r="C315" s="2">
        <v>1037.75</v>
      </c>
      <c r="D315" s="1">
        <v>43531</v>
      </c>
      <c r="E315" t="str">
        <f>"201903067866"</f>
        <v>201903067866</v>
      </c>
      <c r="F315" t="str">
        <f>"ACCT#007-0000388-000/02222019"</f>
        <v>ACCT#007-0000388-000/02222019</v>
      </c>
      <c r="G315" s="2">
        <v>457.86</v>
      </c>
      <c r="H315" t="str">
        <f>"ACCT#007-0000388-000/02222019"</f>
        <v>ACCT#007-0000388-000/02222019</v>
      </c>
    </row>
    <row r="316" spans="1:9" x14ac:dyDescent="0.25">
      <c r="E316" t="str">
        <f>"201903067867"</f>
        <v>201903067867</v>
      </c>
      <c r="F316" t="str">
        <f>"ACCT#007-0000389-000/02222019"</f>
        <v>ACCT#007-0000389-000/02222019</v>
      </c>
      <c r="G316" s="2">
        <v>22.86</v>
      </c>
      <c r="H316" t="str">
        <f>"ACCT#007-0000389-000/02222019"</f>
        <v>ACCT#007-0000389-000/02222019</v>
      </c>
    </row>
    <row r="317" spans="1:9" x14ac:dyDescent="0.25">
      <c r="E317" t="str">
        <f>"201903067868"</f>
        <v>201903067868</v>
      </c>
      <c r="F317" t="str">
        <f>"ACCT#044-0001240-000/02222019"</f>
        <v>ACCT#044-0001240-000/02222019</v>
      </c>
      <c r="G317" s="2">
        <v>297.89</v>
      </c>
      <c r="H317" t="str">
        <f>"ACCT#044-0001240-000/02222019"</f>
        <v>ACCT#044-0001240-000/02222019</v>
      </c>
    </row>
    <row r="318" spans="1:9" x14ac:dyDescent="0.25">
      <c r="E318" t="str">
        <f>"201903067869"</f>
        <v>201903067869</v>
      </c>
      <c r="F318" t="str">
        <f>"ACCT#044-0001250-000/02222019"</f>
        <v>ACCT#044-0001250-000/02222019</v>
      </c>
      <c r="G318" s="2">
        <v>95.07</v>
      </c>
      <c r="H318" t="str">
        <f>"ACCT#044-0001250-000/02222019"</f>
        <v>ACCT#044-0001250-000/02222019</v>
      </c>
    </row>
    <row r="319" spans="1:9" x14ac:dyDescent="0.25">
      <c r="E319" t="str">
        <f>"201903067870"</f>
        <v>201903067870</v>
      </c>
      <c r="F319" t="str">
        <f>"ACCT#044-0001252-000/02222019"</f>
        <v>ACCT#044-0001252-000/02222019</v>
      </c>
      <c r="G319" s="2">
        <v>13.57</v>
      </c>
      <c r="H319" t="str">
        <f>"ACCT#044-0001252-000/02222019"</f>
        <v>ACCT#044-0001252-000/02222019</v>
      </c>
    </row>
    <row r="320" spans="1:9" x14ac:dyDescent="0.25">
      <c r="E320" t="str">
        <f>"201903067871"</f>
        <v>201903067871</v>
      </c>
      <c r="F320" t="str">
        <f>"ACCT#044-0001253-000/02222019"</f>
        <v>ACCT#044-0001253-000/02222019</v>
      </c>
      <c r="G320" s="2">
        <v>150.5</v>
      </c>
      <c r="H320" t="str">
        <f>"ACCT#044-0001253-000/02222019"</f>
        <v>ACCT#044-0001253-000/02222019</v>
      </c>
    </row>
    <row r="321" spans="1:8" x14ac:dyDescent="0.25">
      <c r="A321" t="s">
        <v>94</v>
      </c>
      <c r="B321">
        <v>587</v>
      </c>
      <c r="C321" s="2">
        <v>829.98</v>
      </c>
      <c r="D321" s="1">
        <v>43550</v>
      </c>
      <c r="E321" t="str">
        <f>"PMA-0049275"</f>
        <v>PMA-0049275</v>
      </c>
      <c r="F321" t="str">
        <f>"AGREEMENT#PMA-010647/#0020272"</f>
        <v>AGREEMENT#PMA-010647/#0020272</v>
      </c>
      <c r="G321" s="2">
        <v>100</v>
      </c>
      <c r="H321" t="str">
        <f>"AGREEMENT#PMA-010647/#0020272"</f>
        <v>AGREEMENT#PMA-010647/#0020272</v>
      </c>
    </row>
    <row r="322" spans="1:8" x14ac:dyDescent="0.25">
      <c r="E322" t="str">
        <f>"PMA-0049276"</f>
        <v>PMA-0049276</v>
      </c>
      <c r="F322" t="str">
        <f>"AGREEMENT#PMA-010644"</f>
        <v>AGREEMENT#PMA-010644</v>
      </c>
      <c r="G322" s="2">
        <v>100</v>
      </c>
      <c r="H322" t="str">
        <f>"AGREEMENT#PMA-010644"</f>
        <v>AGREEMENT#PMA-010644</v>
      </c>
    </row>
    <row r="323" spans="1:8" x14ac:dyDescent="0.25">
      <c r="E323" t="str">
        <f>"PMA-0049277"</f>
        <v>PMA-0049277</v>
      </c>
      <c r="F323" t="str">
        <f>"AGREEMENT#PMA-010648/#0020272"</f>
        <v>AGREEMENT#PMA-010648/#0020272</v>
      </c>
      <c r="G323" s="2">
        <v>115</v>
      </c>
      <c r="H323" t="str">
        <f>"AGREEMENT#PMA-010648/#0020272"</f>
        <v>AGREEMENT#PMA-010648/#0020272</v>
      </c>
    </row>
    <row r="324" spans="1:8" x14ac:dyDescent="0.25">
      <c r="E324" t="str">
        <f>"SVC-0083773"</f>
        <v>SVC-0083773</v>
      </c>
      <c r="F324" t="str">
        <f>"CUST#0020272/INSPECTION"</f>
        <v>CUST#0020272/INSPECTION</v>
      </c>
      <c r="G324" s="2">
        <v>514.98</v>
      </c>
      <c r="H324" t="str">
        <f>"CUST#0020272/INSPECTION"</f>
        <v>CUST#0020272/INSPECTION</v>
      </c>
    </row>
    <row r="325" spans="1:8" x14ac:dyDescent="0.25">
      <c r="A325" t="s">
        <v>95</v>
      </c>
      <c r="B325">
        <v>607</v>
      </c>
      <c r="C325" s="2">
        <v>864.58</v>
      </c>
      <c r="D325" s="1">
        <v>43550</v>
      </c>
      <c r="E325" t="str">
        <f>"201902-0"</f>
        <v>201902-0</v>
      </c>
      <c r="F325" t="str">
        <f>"INV 201902-0"</f>
        <v>INV 201902-0</v>
      </c>
      <c r="G325" s="2">
        <v>121.51</v>
      </c>
      <c r="H325" t="str">
        <f>"INV 201902-0"</f>
        <v>INV 201902-0</v>
      </c>
    </row>
    <row r="326" spans="1:8" x14ac:dyDescent="0.25">
      <c r="E326" t="str">
        <f>"201903197968"</f>
        <v>201903197968</v>
      </c>
      <c r="F326" t="str">
        <f>"INDIGENT HEALTH"</f>
        <v>INDIGENT HEALTH</v>
      </c>
      <c r="G326" s="2">
        <v>670.27</v>
      </c>
      <c r="H326" t="str">
        <f>"INDIGENT HEALTH"</f>
        <v>INDIGENT HEALTH</v>
      </c>
    </row>
    <row r="327" spans="1:8" x14ac:dyDescent="0.25">
      <c r="E327" t="str">
        <f>""</f>
        <v/>
      </c>
      <c r="F327" t="str">
        <f>""</f>
        <v/>
      </c>
      <c r="H327" t="str">
        <f>"INDIGENT HEALTH"</f>
        <v>INDIGENT HEALTH</v>
      </c>
    </row>
    <row r="328" spans="1:8" x14ac:dyDescent="0.25">
      <c r="E328" t="str">
        <f>"4512*98062*1"</f>
        <v>4512*98062*1</v>
      </c>
      <c r="F328" t="str">
        <f>"JAIL MEDICAL"</f>
        <v>JAIL MEDICAL</v>
      </c>
      <c r="G328" s="2">
        <v>72.8</v>
      </c>
      <c r="H328" t="str">
        <f>"JAIL MEDICAL"</f>
        <v>JAIL MEDICAL</v>
      </c>
    </row>
    <row r="329" spans="1:8" x14ac:dyDescent="0.25">
      <c r="A329" t="s">
        <v>96</v>
      </c>
      <c r="B329">
        <v>81268</v>
      </c>
      <c r="C329" s="2">
        <v>14.2</v>
      </c>
      <c r="D329" s="1">
        <v>43535</v>
      </c>
      <c r="E329" t="str">
        <f>"201903067831"</f>
        <v>201903067831</v>
      </c>
      <c r="F329" t="str">
        <f>"SANE EXAM - CASE#19-S-00243"</f>
        <v>SANE EXAM - CASE#19-S-00243</v>
      </c>
      <c r="G329" s="2">
        <v>14.2</v>
      </c>
      <c r="H329" t="str">
        <f>"SANE EXAM - CASE#19-S-00243"</f>
        <v>SANE EXAM - CASE#19-S-00243</v>
      </c>
    </row>
    <row r="330" spans="1:8" x14ac:dyDescent="0.25">
      <c r="A330" t="s">
        <v>96</v>
      </c>
      <c r="B330">
        <v>81508</v>
      </c>
      <c r="C330" s="2">
        <v>11.22</v>
      </c>
      <c r="D330" s="1">
        <v>43549</v>
      </c>
      <c r="E330" t="str">
        <f>"201903197967"</f>
        <v>201903197967</v>
      </c>
      <c r="F330" t="str">
        <f>"INDIGENT HEALTH"</f>
        <v>INDIGENT HEALTH</v>
      </c>
      <c r="G330" s="2">
        <v>11.22</v>
      </c>
      <c r="H330" t="str">
        <f>"INDIGENT HEALTH"</f>
        <v>INDIGENT HEALTH</v>
      </c>
    </row>
    <row r="331" spans="1:8" x14ac:dyDescent="0.25">
      <c r="A331" t="s">
        <v>97</v>
      </c>
      <c r="B331">
        <v>81509</v>
      </c>
      <c r="C331" s="2">
        <v>65</v>
      </c>
      <c r="D331" s="1">
        <v>43549</v>
      </c>
      <c r="E331" t="str">
        <f>"201903208042"</f>
        <v>201903208042</v>
      </c>
      <c r="F331" t="str">
        <f>"FERAL HOGS"</f>
        <v>FERAL HOGS</v>
      </c>
      <c r="G331" s="2">
        <v>65</v>
      </c>
      <c r="H331" t="str">
        <f>"FERAL HOGS"</f>
        <v>FERAL HOGS</v>
      </c>
    </row>
    <row r="332" spans="1:8" x14ac:dyDescent="0.25">
      <c r="A332" t="s">
        <v>98</v>
      </c>
      <c r="B332">
        <v>81269</v>
      </c>
      <c r="C332" s="2">
        <v>105</v>
      </c>
      <c r="D332" s="1">
        <v>43535</v>
      </c>
      <c r="E332" t="str">
        <f>"201902277544"</f>
        <v>201902277544</v>
      </c>
      <c r="F332" t="str">
        <f>"PER DIEM"</f>
        <v>PER DIEM</v>
      </c>
      <c r="G332" s="2">
        <v>105</v>
      </c>
      <c r="H332" t="str">
        <f>"PER DIEM"</f>
        <v>PER DIEM</v>
      </c>
    </row>
    <row r="333" spans="1:8" x14ac:dyDescent="0.25">
      <c r="A333" t="s">
        <v>99</v>
      </c>
      <c r="B333">
        <v>81510</v>
      </c>
      <c r="C333" s="2">
        <v>38225.699999999997</v>
      </c>
      <c r="D333" s="1">
        <v>43549</v>
      </c>
      <c r="E333" t="str">
        <f>"2030"</f>
        <v>2030</v>
      </c>
      <c r="F333" t="str">
        <f>"BLK360SoftwareandTraining"</f>
        <v>BLK360SoftwareandTraining</v>
      </c>
      <c r="G333" s="2">
        <v>38225.699999999997</v>
      </c>
      <c r="H333" t="str">
        <f>"850000"</f>
        <v>850000</v>
      </c>
    </row>
    <row r="334" spans="1:8" x14ac:dyDescent="0.25">
      <c r="E334" t="str">
        <f>""</f>
        <v/>
      </c>
      <c r="F334" t="str">
        <f>""</f>
        <v/>
      </c>
      <c r="H334" t="str">
        <f>"5307773"</f>
        <v>5307773</v>
      </c>
    </row>
    <row r="335" spans="1:8" x14ac:dyDescent="0.25">
      <c r="E335" t="str">
        <f>""</f>
        <v/>
      </c>
      <c r="F335" t="str">
        <f>""</f>
        <v/>
      </c>
      <c r="H335" t="str">
        <f>"853639"</f>
        <v>853639</v>
      </c>
    </row>
    <row r="336" spans="1:8" x14ac:dyDescent="0.25">
      <c r="E336" t="str">
        <f>""</f>
        <v/>
      </c>
      <c r="F336" t="str">
        <f>""</f>
        <v/>
      </c>
      <c r="H336" t="str">
        <f>"670227"</f>
        <v>670227</v>
      </c>
    </row>
    <row r="337" spans="1:8" x14ac:dyDescent="0.25">
      <c r="E337" t="str">
        <f>""</f>
        <v/>
      </c>
      <c r="F337" t="str">
        <f>""</f>
        <v/>
      </c>
      <c r="H337" t="str">
        <f>"8242089"</f>
        <v>8242089</v>
      </c>
    </row>
    <row r="338" spans="1:8" x14ac:dyDescent="0.25">
      <c r="E338" t="str">
        <f>""</f>
        <v/>
      </c>
      <c r="F338" t="str">
        <f>""</f>
        <v/>
      </c>
      <c r="H338" t="str">
        <f>"864515"</f>
        <v>864515</v>
      </c>
    </row>
    <row r="339" spans="1:8" x14ac:dyDescent="0.25">
      <c r="E339" t="str">
        <f>""</f>
        <v/>
      </c>
      <c r="F339" t="str">
        <f>""</f>
        <v/>
      </c>
      <c r="H339" t="str">
        <f>"6012199"</f>
        <v>6012199</v>
      </c>
    </row>
    <row r="340" spans="1:8" x14ac:dyDescent="0.25">
      <c r="E340" t="str">
        <f>""</f>
        <v/>
      </c>
      <c r="F340" t="str">
        <f>""</f>
        <v/>
      </c>
      <c r="H340" t="str">
        <f>"864396"</f>
        <v>864396</v>
      </c>
    </row>
    <row r="341" spans="1:8" x14ac:dyDescent="0.25">
      <c r="E341" t="str">
        <f>""</f>
        <v/>
      </c>
      <c r="F341" t="str">
        <f>""</f>
        <v/>
      </c>
      <c r="H341" t="str">
        <f>"6012196"</f>
        <v>6012196</v>
      </c>
    </row>
    <row r="342" spans="1:8" x14ac:dyDescent="0.25">
      <c r="E342" t="str">
        <f>""</f>
        <v/>
      </c>
      <c r="F342" t="str">
        <f>""</f>
        <v/>
      </c>
      <c r="H342" t="str">
        <f>"5004529"</f>
        <v>5004529</v>
      </c>
    </row>
    <row r="343" spans="1:8" x14ac:dyDescent="0.25">
      <c r="E343" t="str">
        <f>""</f>
        <v/>
      </c>
      <c r="F343" t="str">
        <f>""</f>
        <v/>
      </c>
      <c r="H343" t="str">
        <f>"Discount"</f>
        <v>Discount</v>
      </c>
    </row>
    <row r="344" spans="1:8" x14ac:dyDescent="0.25">
      <c r="A344" t="s">
        <v>100</v>
      </c>
      <c r="B344">
        <v>81270</v>
      </c>
      <c r="C344" s="2">
        <v>330</v>
      </c>
      <c r="D344" s="1">
        <v>43535</v>
      </c>
      <c r="E344" t="str">
        <f>"30444"</f>
        <v>30444</v>
      </c>
      <c r="F344" t="str">
        <f>"INTERPRETER-JUDICIAL"</f>
        <v>INTERPRETER-JUDICIAL</v>
      </c>
      <c r="G344" s="2">
        <v>330</v>
      </c>
      <c r="H344" t="str">
        <f>"INTERPRETER-JUDICIAL"</f>
        <v>INTERPRETER-JUDICIAL</v>
      </c>
    </row>
    <row r="345" spans="1:8" x14ac:dyDescent="0.25">
      <c r="A345" t="s">
        <v>101</v>
      </c>
      <c r="B345">
        <v>537</v>
      </c>
      <c r="C345" s="2">
        <v>304</v>
      </c>
      <c r="D345" s="1">
        <v>43536</v>
      </c>
      <c r="E345" t="str">
        <f>"12457905773"</f>
        <v>12457905773</v>
      </c>
      <c r="F345" t="str">
        <f>"INV 12457905773"</f>
        <v>INV 12457905773</v>
      </c>
      <c r="G345" s="2">
        <v>304</v>
      </c>
      <c r="H345" t="str">
        <f>"INV 12457905773"</f>
        <v>INV 12457905773</v>
      </c>
    </row>
    <row r="346" spans="1:8" x14ac:dyDescent="0.25">
      <c r="A346" t="s">
        <v>102</v>
      </c>
      <c r="B346">
        <v>595</v>
      </c>
      <c r="C346" s="2">
        <v>705.83</v>
      </c>
      <c r="D346" s="1">
        <v>43550</v>
      </c>
      <c r="E346" t="str">
        <f>"201903197969"</f>
        <v>201903197969</v>
      </c>
      <c r="F346" t="str">
        <f>"INDIGENT HEALTH"</f>
        <v>INDIGENT HEALTH</v>
      </c>
      <c r="G346" s="2">
        <v>705.83</v>
      </c>
      <c r="H346" t="str">
        <f>"INDIGENT HEALTH"</f>
        <v>INDIGENT HEALTH</v>
      </c>
    </row>
    <row r="347" spans="1:8" x14ac:dyDescent="0.25">
      <c r="E347" t="str">
        <f>""</f>
        <v/>
      </c>
      <c r="F347" t="str">
        <f>""</f>
        <v/>
      </c>
      <c r="H347" t="str">
        <f>"INDIGENT HEALTH"</f>
        <v>INDIGENT HEALTH</v>
      </c>
    </row>
    <row r="348" spans="1:8" x14ac:dyDescent="0.25">
      <c r="E348" t="str">
        <f>""</f>
        <v/>
      </c>
      <c r="F348" t="str">
        <f>""</f>
        <v/>
      </c>
      <c r="H348" t="str">
        <f>"INDIGENT HEALTH"</f>
        <v>INDIGENT HEALTH</v>
      </c>
    </row>
    <row r="349" spans="1:8" x14ac:dyDescent="0.25">
      <c r="A349" t="s">
        <v>103</v>
      </c>
      <c r="B349">
        <v>81511</v>
      </c>
      <c r="C349" s="2">
        <v>1750</v>
      </c>
      <c r="D349" s="1">
        <v>43549</v>
      </c>
      <c r="E349" t="str">
        <f>"BSD20190211"</f>
        <v>BSD20190211</v>
      </c>
      <c r="F349" t="str">
        <f>"INV BSD20190211"</f>
        <v>INV BSD20190211</v>
      </c>
      <c r="G349" s="2">
        <v>1750</v>
      </c>
      <c r="H349" t="str">
        <f>"INV BSD20190211"</f>
        <v>INV BSD20190211</v>
      </c>
    </row>
    <row r="350" spans="1:8" x14ac:dyDescent="0.25">
      <c r="A350" t="s">
        <v>104</v>
      </c>
      <c r="B350">
        <v>81390</v>
      </c>
      <c r="C350" s="2">
        <v>124.53</v>
      </c>
      <c r="D350" s="1">
        <v>43546</v>
      </c>
      <c r="E350" t="str">
        <f>"201903228051"</f>
        <v>201903228051</v>
      </c>
      <c r="F350" t="str">
        <f>"MILEAGE REIMBURSEMENT"</f>
        <v>MILEAGE REIMBURSEMENT</v>
      </c>
      <c r="G350" s="2">
        <v>124.53</v>
      </c>
      <c r="H350" t="str">
        <f>"MILEAGE REIMBURSEMENT"</f>
        <v>MILEAGE REIMBURSEMENT</v>
      </c>
    </row>
    <row r="351" spans="1:8" x14ac:dyDescent="0.25">
      <c r="A351" t="s">
        <v>105</v>
      </c>
      <c r="B351">
        <v>81271</v>
      </c>
      <c r="C351" s="2">
        <v>18075.919999999998</v>
      </c>
      <c r="D351" s="1">
        <v>43535</v>
      </c>
      <c r="E351" t="str">
        <f>"17997664"</f>
        <v>17997664</v>
      </c>
      <c r="F351" t="str">
        <f>"ACCT#434304/PCT#3"</f>
        <v>ACCT#434304/PCT#3</v>
      </c>
      <c r="G351" s="2">
        <v>5766</v>
      </c>
      <c r="H351" t="str">
        <f>"ACCT#434304/PCT#3"</f>
        <v>ACCT#434304/PCT#3</v>
      </c>
    </row>
    <row r="352" spans="1:8" x14ac:dyDescent="0.25">
      <c r="E352" t="str">
        <f>"18008551"</f>
        <v>18008551</v>
      </c>
      <c r="F352" t="str">
        <f>"ACCT#434304/PCT#2"</f>
        <v>ACCT#434304/PCT#2</v>
      </c>
      <c r="G352" s="2">
        <v>9396.32</v>
      </c>
      <c r="H352" t="str">
        <f>"ACCT#434304/PCT#2"</f>
        <v>ACCT#434304/PCT#2</v>
      </c>
    </row>
    <row r="353" spans="1:8" x14ac:dyDescent="0.25">
      <c r="E353" t="str">
        <f>"18017782"</f>
        <v>18017782</v>
      </c>
      <c r="F353" t="str">
        <f>"ACCT#434304/PCT#4"</f>
        <v>ACCT#434304/PCT#4</v>
      </c>
      <c r="G353" s="2">
        <v>2913.6</v>
      </c>
      <c r="H353" t="str">
        <f>"ACCT#434304/PCT#4"</f>
        <v>ACCT#434304/PCT#4</v>
      </c>
    </row>
    <row r="354" spans="1:8" x14ac:dyDescent="0.25">
      <c r="A354" t="s">
        <v>105</v>
      </c>
      <c r="B354">
        <v>81512</v>
      </c>
      <c r="C354" s="2">
        <v>20561.830000000002</v>
      </c>
      <c r="D354" s="1">
        <v>43549</v>
      </c>
      <c r="E354" t="str">
        <f>"18042582"</f>
        <v>18042582</v>
      </c>
      <c r="F354" t="str">
        <f>"ACCT#434304/PCT#2"</f>
        <v>ACCT#434304/PCT#2</v>
      </c>
      <c r="G354" s="2">
        <v>15646.4</v>
      </c>
      <c r="H354" t="str">
        <f>"ACCT#434304/PCT#2"</f>
        <v>ACCT#434304/PCT#2</v>
      </c>
    </row>
    <row r="355" spans="1:8" x14ac:dyDescent="0.25">
      <c r="E355" t="str">
        <f>"18059736"</f>
        <v>18059736</v>
      </c>
      <c r="F355" t="str">
        <f>"ACCT#434304/PCT#4"</f>
        <v>ACCT#434304/PCT#4</v>
      </c>
      <c r="G355" s="2">
        <v>605.42999999999995</v>
      </c>
      <c r="H355" t="str">
        <f>"ACCT#434304/PCT#4"</f>
        <v>ACCT#434304/PCT#4</v>
      </c>
    </row>
    <row r="356" spans="1:8" x14ac:dyDescent="0.25">
      <c r="E356" t="str">
        <f>"18068696"</f>
        <v>18068696</v>
      </c>
      <c r="F356" t="str">
        <f>"ACCT#434304/PCT#2"</f>
        <v>ACCT#434304/PCT#2</v>
      </c>
      <c r="G356" s="2">
        <v>4310</v>
      </c>
      <c r="H356" t="str">
        <f>"ACCT#434304/PCT#2"</f>
        <v>ACCT#434304/PCT#2</v>
      </c>
    </row>
    <row r="357" spans="1:8" x14ac:dyDescent="0.25">
      <c r="A357" t="s">
        <v>106</v>
      </c>
      <c r="B357">
        <v>81272</v>
      </c>
      <c r="C357" s="2">
        <v>1800</v>
      </c>
      <c r="D357" s="1">
        <v>43535</v>
      </c>
      <c r="E357" t="str">
        <f>"201902277537"</f>
        <v>201902277537</v>
      </c>
      <c r="F357" t="str">
        <f>"2019 ANNUAL DUES-PAUL PAPE"</f>
        <v>2019 ANNUAL DUES-PAUL PAPE</v>
      </c>
      <c r="G357" s="2">
        <v>1800</v>
      </c>
      <c r="H357" t="str">
        <f>"2019 ANNUAL DUES-PAUL PAPE"</f>
        <v>2019 ANNUAL DUES-PAUL PAPE</v>
      </c>
    </row>
    <row r="358" spans="1:8" x14ac:dyDescent="0.25">
      <c r="A358" t="s">
        <v>107</v>
      </c>
      <c r="B358">
        <v>81490</v>
      </c>
      <c r="C358" s="2">
        <v>75</v>
      </c>
      <c r="D358" s="1">
        <v>43549</v>
      </c>
      <c r="E358" t="str">
        <f>"13108"</f>
        <v>13108</v>
      </c>
      <c r="F358" t="str">
        <f>"SERVICE 01/17/19"</f>
        <v>SERVICE 01/17/19</v>
      </c>
      <c r="G358" s="2">
        <v>75</v>
      </c>
      <c r="H358" t="str">
        <f>"SERVICE 01/17/19"</f>
        <v>SERVICE 01/17/19</v>
      </c>
    </row>
    <row r="359" spans="1:8" x14ac:dyDescent="0.25">
      <c r="A359" t="s">
        <v>108</v>
      </c>
      <c r="B359">
        <v>554</v>
      </c>
      <c r="C359" s="2">
        <v>58.78</v>
      </c>
      <c r="D359" s="1">
        <v>43536</v>
      </c>
      <c r="E359" t="str">
        <f>"235520"</f>
        <v>235520</v>
      </c>
      <c r="F359" t="str">
        <f>"CUST#4011/SWITCH/PCT#3"</f>
        <v>CUST#4011/SWITCH/PCT#3</v>
      </c>
      <c r="G359" s="2">
        <v>58.78</v>
      </c>
      <c r="H359" t="str">
        <f>"CUST#4011/SWITCH/PCT#3"</f>
        <v>CUST#4011/SWITCH/PCT#3</v>
      </c>
    </row>
    <row r="360" spans="1:8" x14ac:dyDescent="0.25">
      <c r="A360" t="s">
        <v>109</v>
      </c>
      <c r="B360">
        <v>81513</v>
      </c>
      <c r="C360" s="2">
        <v>55</v>
      </c>
      <c r="D360" s="1">
        <v>43549</v>
      </c>
      <c r="E360" t="str">
        <f>"201903208016"</f>
        <v>201903208016</v>
      </c>
      <c r="F360" t="str">
        <f>"FERAL HOGS"</f>
        <v>FERAL HOGS</v>
      </c>
      <c r="G360" s="2">
        <v>55</v>
      </c>
      <c r="H360" t="str">
        <f>"FERAL HOGS"</f>
        <v>FERAL HOGS</v>
      </c>
    </row>
    <row r="361" spans="1:8" x14ac:dyDescent="0.25">
      <c r="A361" t="s">
        <v>110</v>
      </c>
      <c r="B361">
        <v>81514</v>
      </c>
      <c r="C361" s="2">
        <v>1000</v>
      </c>
      <c r="D361" s="1">
        <v>43549</v>
      </c>
      <c r="E361" t="str">
        <f>"201903127896"</f>
        <v>201903127896</v>
      </c>
      <c r="F361" t="str">
        <f>"DEC 2019-PSYCHOLOGICAL EVAL"</f>
        <v>DEC 2019-PSYCHOLOGICAL EVAL</v>
      </c>
      <c r="G361" s="2">
        <v>250</v>
      </c>
      <c r="H361" t="str">
        <f>"DEC 2019-PSYCHOLOGICAL EVAL"</f>
        <v>DEC 2019-PSYCHOLOGICAL EVAL</v>
      </c>
    </row>
    <row r="362" spans="1:8" x14ac:dyDescent="0.25">
      <c r="E362" t="str">
        <f>"201903197993"</f>
        <v>201903197993</v>
      </c>
      <c r="F362" t="str">
        <f>"MARCH EVALS"</f>
        <v>MARCH EVALS</v>
      </c>
      <c r="G362" s="2">
        <v>750</v>
      </c>
      <c r="H362" t="str">
        <f>"MARCH EVALS"</f>
        <v>MARCH EVALS</v>
      </c>
    </row>
    <row r="363" spans="1:8" x14ac:dyDescent="0.25">
      <c r="A363" t="s">
        <v>111</v>
      </c>
      <c r="B363">
        <v>81515</v>
      </c>
      <c r="C363" s="2">
        <v>1585.95</v>
      </c>
      <c r="D363" s="1">
        <v>43549</v>
      </c>
      <c r="E363" t="str">
        <f>"2213 1904 6193 340"</f>
        <v>2213 1904 6193 340</v>
      </c>
      <c r="F363" t="str">
        <f>"CONTRACT#042-1434-2"</f>
        <v>CONTRACT#042-1434-2</v>
      </c>
      <c r="G363" s="2">
        <v>1585.95</v>
      </c>
      <c r="H363" t="str">
        <f>"CONTRACT#042-1434-2"</f>
        <v>CONTRACT#042-1434-2</v>
      </c>
    </row>
    <row r="364" spans="1:8" x14ac:dyDescent="0.25">
      <c r="A364" t="s">
        <v>112</v>
      </c>
      <c r="B364">
        <v>81516</v>
      </c>
      <c r="C364" s="2">
        <v>20</v>
      </c>
      <c r="D364" s="1">
        <v>43549</v>
      </c>
      <c r="E364" t="str">
        <f>"201903208017"</f>
        <v>201903208017</v>
      </c>
      <c r="F364" t="str">
        <f>"FERAL HOGS"</f>
        <v>FERAL HOGS</v>
      </c>
      <c r="G364" s="2">
        <v>15</v>
      </c>
      <c r="H364" t="str">
        <f>"FERAL HOGS"</f>
        <v>FERAL HOGS</v>
      </c>
    </row>
    <row r="365" spans="1:8" x14ac:dyDescent="0.25">
      <c r="E365" t="str">
        <f>"201903208018"</f>
        <v>201903208018</v>
      </c>
      <c r="F365" t="str">
        <f>"FERAL HOGS"</f>
        <v>FERAL HOGS</v>
      </c>
      <c r="G365" s="2">
        <v>5</v>
      </c>
      <c r="H365" t="str">
        <f>"FERAL HOGS"</f>
        <v>FERAL HOGS</v>
      </c>
    </row>
    <row r="366" spans="1:8" x14ac:dyDescent="0.25">
      <c r="A366" t="s">
        <v>113</v>
      </c>
      <c r="B366">
        <v>81273</v>
      </c>
      <c r="C366" s="2">
        <v>207.78</v>
      </c>
      <c r="D366" s="1">
        <v>43535</v>
      </c>
      <c r="E366" t="str">
        <f>"IN1942680"</f>
        <v>IN1942680</v>
      </c>
      <c r="F366" t="str">
        <f>"ACCT#BC113:40R756"</f>
        <v>ACCT#BC113:40R756</v>
      </c>
      <c r="G366" s="2">
        <v>207.78</v>
      </c>
      <c r="H366" t="str">
        <f>"ACCT#BC113:40R756"</f>
        <v>ACCT#BC113:40R756</v>
      </c>
    </row>
    <row r="367" spans="1:8" x14ac:dyDescent="0.25">
      <c r="A367" t="s">
        <v>114</v>
      </c>
      <c r="B367">
        <v>81517</v>
      </c>
      <c r="C367" s="2">
        <v>240</v>
      </c>
      <c r="D367" s="1">
        <v>43549</v>
      </c>
      <c r="E367" t="str">
        <f>"13108"</f>
        <v>13108</v>
      </c>
      <c r="F367" t="str">
        <f>"SERVICE  01/17/19"</f>
        <v>SERVICE  01/17/19</v>
      </c>
      <c r="G367" s="2">
        <v>240</v>
      </c>
      <c r="H367" t="str">
        <f>"SERVICE  01/17/19"</f>
        <v>SERVICE  01/17/19</v>
      </c>
    </row>
    <row r="368" spans="1:8" x14ac:dyDescent="0.25">
      <c r="A368" t="s">
        <v>115</v>
      </c>
      <c r="B368">
        <v>81518</v>
      </c>
      <c r="C368" s="2">
        <v>100</v>
      </c>
      <c r="D368" s="1">
        <v>43549</v>
      </c>
      <c r="E368" t="str">
        <f>"201903127894"</f>
        <v>201903127894</v>
      </c>
      <c r="F368" t="str">
        <f>"LEGAL CONSULT SVCS-FEB 2019"</f>
        <v>LEGAL CONSULT SVCS-FEB 2019</v>
      </c>
      <c r="G368" s="2">
        <v>100</v>
      </c>
      <c r="H368" t="str">
        <f>"LEGAL CONSULT SVCS-FEB 2019"</f>
        <v>LEGAL CONSULT SVCS-FEB 2019</v>
      </c>
    </row>
    <row r="369" spans="1:8" x14ac:dyDescent="0.25">
      <c r="A369" t="s">
        <v>116</v>
      </c>
      <c r="B369">
        <v>81519</v>
      </c>
      <c r="C369" s="2">
        <v>1414.31</v>
      </c>
      <c r="D369" s="1">
        <v>43549</v>
      </c>
      <c r="E369" t="str">
        <f>"201903197971"</f>
        <v>201903197971</v>
      </c>
      <c r="F369" t="str">
        <f>"INDIGENT HEALTH"</f>
        <v>INDIGENT HEALTH</v>
      </c>
      <c r="G369" s="2">
        <v>1414.31</v>
      </c>
      <c r="H369" t="str">
        <f>"INDIGENT HEALTH"</f>
        <v>INDIGENT HEALTH</v>
      </c>
    </row>
    <row r="370" spans="1:8" x14ac:dyDescent="0.25">
      <c r="A370" t="s">
        <v>117</v>
      </c>
      <c r="B370">
        <v>81389</v>
      </c>
      <c r="C370" s="2">
        <v>5000</v>
      </c>
      <c r="D370" s="1">
        <v>43542</v>
      </c>
      <c r="E370" t="str">
        <f>"394555"</f>
        <v>394555</v>
      </c>
      <c r="F370" t="str">
        <f>"SERVICE / P1"</f>
        <v>SERVICE / P1</v>
      </c>
      <c r="G370" s="2">
        <v>4500</v>
      </c>
      <c r="H370" t="str">
        <f>"SERVICE / P1"</f>
        <v>SERVICE / P1</v>
      </c>
    </row>
    <row r="371" spans="1:8" x14ac:dyDescent="0.25">
      <c r="E371" t="str">
        <f>"394556"</f>
        <v>394556</v>
      </c>
      <c r="F371" t="str">
        <f>"SERVICE / P1"</f>
        <v>SERVICE / P1</v>
      </c>
      <c r="G371" s="2">
        <v>500</v>
      </c>
      <c r="H371" t="str">
        <f>"SERVICE / P1"</f>
        <v>SERVICE / P1</v>
      </c>
    </row>
    <row r="372" spans="1:8" x14ac:dyDescent="0.25">
      <c r="A372" t="s">
        <v>118</v>
      </c>
      <c r="B372">
        <v>81520</v>
      </c>
      <c r="C372" s="2">
        <v>10</v>
      </c>
      <c r="D372" s="1">
        <v>43549</v>
      </c>
      <c r="E372" t="str">
        <f>"201903208019"</f>
        <v>201903208019</v>
      </c>
      <c r="F372" t="str">
        <f>"FERAL HOGS"</f>
        <v>FERAL HOGS</v>
      </c>
      <c r="G372" s="2">
        <v>5</v>
      </c>
      <c r="H372" t="str">
        <f>"FERAL HOGS"</f>
        <v>FERAL HOGS</v>
      </c>
    </row>
    <row r="373" spans="1:8" x14ac:dyDescent="0.25">
      <c r="E373" t="str">
        <f>"201903208020"</f>
        <v>201903208020</v>
      </c>
      <c r="F373" t="str">
        <f>"FERAL HOGS"</f>
        <v>FERAL HOGS</v>
      </c>
      <c r="G373" s="2">
        <v>5</v>
      </c>
      <c r="H373" t="str">
        <f>"FERAL HOGS"</f>
        <v>FERAL HOGS</v>
      </c>
    </row>
    <row r="374" spans="1:8" x14ac:dyDescent="0.25">
      <c r="A374" t="s">
        <v>119</v>
      </c>
      <c r="B374">
        <v>539</v>
      </c>
      <c r="C374" s="2">
        <v>300</v>
      </c>
      <c r="D374" s="1">
        <v>43536</v>
      </c>
      <c r="E374" t="str">
        <f>"201903057691"</f>
        <v>201903057691</v>
      </c>
      <c r="F374" t="str">
        <f>"18-19190"</f>
        <v>18-19190</v>
      </c>
      <c r="G374" s="2">
        <v>100</v>
      </c>
      <c r="H374" t="str">
        <f>"18-19190"</f>
        <v>18-19190</v>
      </c>
    </row>
    <row r="375" spans="1:8" x14ac:dyDescent="0.25">
      <c r="E375" t="str">
        <f>"201903057692"</f>
        <v>201903057692</v>
      </c>
      <c r="F375" t="str">
        <f>"18-19093"</f>
        <v>18-19093</v>
      </c>
      <c r="G375" s="2">
        <v>100</v>
      </c>
      <c r="H375" t="str">
        <f>"18-19093"</f>
        <v>18-19093</v>
      </c>
    </row>
    <row r="376" spans="1:8" x14ac:dyDescent="0.25">
      <c r="E376" t="str">
        <f>"201903057693"</f>
        <v>201903057693</v>
      </c>
      <c r="F376" t="str">
        <f>"17-18680"</f>
        <v>17-18680</v>
      </c>
      <c r="G376" s="2">
        <v>100</v>
      </c>
      <c r="H376" t="str">
        <f>"17-18680"</f>
        <v>17-18680</v>
      </c>
    </row>
    <row r="377" spans="1:8" x14ac:dyDescent="0.25">
      <c r="A377" t="s">
        <v>120</v>
      </c>
      <c r="B377">
        <v>81274</v>
      </c>
      <c r="C377" s="2">
        <v>1124.78</v>
      </c>
      <c r="D377" s="1">
        <v>43535</v>
      </c>
      <c r="E377" t="str">
        <f>"10301672684"</f>
        <v>10301672684</v>
      </c>
      <c r="F377" t="str">
        <f>"Monitor for Kevin Unger"</f>
        <v>Monitor for Kevin Unger</v>
      </c>
      <c r="G377" s="2">
        <v>1124.78</v>
      </c>
      <c r="H377" t="str">
        <f>"Dell UltraSharp 27 4"</f>
        <v>Dell UltraSharp 27 4</v>
      </c>
    </row>
    <row r="378" spans="1:8" x14ac:dyDescent="0.25">
      <c r="E378" t="str">
        <f>""</f>
        <v/>
      </c>
      <c r="F378" t="str">
        <f>""</f>
        <v/>
      </c>
      <c r="H378" t="str">
        <f>"Discount"</f>
        <v>Discount</v>
      </c>
    </row>
    <row r="379" spans="1:8" x14ac:dyDescent="0.25">
      <c r="A379" t="s">
        <v>120</v>
      </c>
      <c r="B379">
        <v>81521</v>
      </c>
      <c r="C379" s="2">
        <v>367.62</v>
      </c>
      <c r="D379" s="1">
        <v>43549</v>
      </c>
      <c r="E379" t="str">
        <f>"10302650329"</f>
        <v>10302650329</v>
      </c>
      <c r="F379" t="str">
        <f>"Dell 2.1 Speaker System"</f>
        <v>Dell 2.1 Speaker System</v>
      </c>
      <c r="G379" s="2">
        <v>59.84</v>
      </c>
      <c r="H379" t="str">
        <f>"Part# : 520-AAKE"</f>
        <v>Part# : 520-AAKE</v>
      </c>
    </row>
    <row r="380" spans="1:8" x14ac:dyDescent="0.25">
      <c r="E380" t="str">
        <f>""</f>
        <v/>
      </c>
      <c r="F380" t="str">
        <f>""</f>
        <v/>
      </c>
      <c r="H380" t="str">
        <f>"Discount"</f>
        <v>Discount</v>
      </c>
    </row>
    <row r="381" spans="1:8" x14ac:dyDescent="0.25">
      <c r="E381" t="str">
        <f>"10304174277"</f>
        <v>10304174277</v>
      </c>
      <c r="F381" t="str">
        <f>"Docking stations"</f>
        <v>Docking stations</v>
      </c>
      <c r="G381" s="2">
        <v>307.77999999999997</v>
      </c>
      <c r="H381" t="str">
        <f>"part# 452-BBPG"</f>
        <v>part# 452-BBPG</v>
      </c>
    </row>
    <row r="382" spans="1:8" x14ac:dyDescent="0.25">
      <c r="E382" t="str">
        <f>""</f>
        <v/>
      </c>
      <c r="F382" t="str">
        <f>""</f>
        <v/>
      </c>
      <c r="H382" t="str">
        <f>"Discount"</f>
        <v>Discount</v>
      </c>
    </row>
    <row r="383" spans="1:8" x14ac:dyDescent="0.25">
      <c r="A383" t="s">
        <v>121</v>
      </c>
      <c r="B383">
        <v>608</v>
      </c>
      <c r="C383" s="2">
        <v>2085</v>
      </c>
      <c r="D383" s="1">
        <v>43550</v>
      </c>
      <c r="E383" t="str">
        <f>"BATX015962"</f>
        <v>BATX015962</v>
      </c>
      <c r="F383" t="str">
        <f>"INV BATX015962"</f>
        <v>INV BATX015962</v>
      </c>
      <c r="G383" s="2">
        <v>2085</v>
      </c>
      <c r="H383" t="str">
        <f>"INV BATX015962"</f>
        <v>INV BATX015962</v>
      </c>
    </row>
    <row r="384" spans="1:8" x14ac:dyDescent="0.25">
      <c r="A384" t="s">
        <v>122</v>
      </c>
      <c r="B384">
        <v>81275</v>
      </c>
      <c r="C384" s="2">
        <v>106</v>
      </c>
      <c r="D384" s="1">
        <v>43535</v>
      </c>
      <c r="E384" t="str">
        <f>"25246"</f>
        <v>25246</v>
      </c>
      <c r="F384" t="str">
        <f>"MASTER KEY/GEN SVCS"</f>
        <v>MASTER KEY/GEN SVCS</v>
      </c>
      <c r="G384" s="2">
        <v>90</v>
      </c>
      <c r="H384" t="str">
        <f>"MASTER KEY/GEN SVCS"</f>
        <v>MASTER KEY/GEN SVCS</v>
      </c>
    </row>
    <row r="385" spans="1:8" x14ac:dyDescent="0.25">
      <c r="E385" t="str">
        <f>"25290"</f>
        <v>25290</v>
      </c>
      <c r="F385" t="str">
        <f>"DUPLICATE KEY/GEN SVCS"</f>
        <v>DUPLICATE KEY/GEN SVCS</v>
      </c>
      <c r="G385" s="2">
        <v>16</v>
      </c>
      <c r="H385" t="str">
        <f>"DUPLICATE KEY/GEN SVCS"</f>
        <v>DUPLICATE KEY/GEN SVCS</v>
      </c>
    </row>
    <row r="386" spans="1:8" x14ac:dyDescent="0.25">
      <c r="A386" t="s">
        <v>122</v>
      </c>
      <c r="B386">
        <v>81522</v>
      </c>
      <c r="C386" s="2">
        <v>70</v>
      </c>
      <c r="D386" s="1">
        <v>43549</v>
      </c>
      <c r="E386" t="str">
        <f>"25327"</f>
        <v>25327</v>
      </c>
      <c r="F386" t="str">
        <f>"LOCKSMITH SVCS/GEN SVCS"</f>
        <v>LOCKSMITH SVCS/GEN SVCS</v>
      </c>
      <c r="G386" s="2">
        <v>70</v>
      </c>
      <c r="H386" t="str">
        <f>"LOCKSMITH SVCS/GEN SVCS"</f>
        <v>LOCKSMITH SVCS/GEN SVCS</v>
      </c>
    </row>
    <row r="387" spans="1:8" x14ac:dyDescent="0.25">
      <c r="A387" t="s">
        <v>123</v>
      </c>
      <c r="B387">
        <v>81276</v>
      </c>
      <c r="C387" s="2">
        <v>2392.65</v>
      </c>
      <c r="D387" s="1">
        <v>43535</v>
      </c>
      <c r="E387" t="str">
        <f>"19011121N"</f>
        <v>19011121N</v>
      </c>
      <c r="F387" t="str">
        <f>"CUST#PKE5000/01/01-01/31"</f>
        <v>CUST#PKE5000/01/01-01/31</v>
      </c>
      <c r="G387" s="2">
        <v>2392.65</v>
      </c>
      <c r="H387" t="str">
        <f>"CUST#PKE5000/01/01-01/31"</f>
        <v>CUST#PKE5000/01/01-01/31</v>
      </c>
    </row>
    <row r="388" spans="1:8" x14ac:dyDescent="0.25">
      <c r="E388" t="str">
        <f>""</f>
        <v/>
      </c>
      <c r="F388" t="str">
        <f>""</f>
        <v/>
      </c>
      <c r="H388" t="str">
        <f>"CUST#PKE5000/01/01-01/31"</f>
        <v>CUST#PKE5000/01/01-01/31</v>
      </c>
    </row>
    <row r="389" spans="1:8" x14ac:dyDescent="0.25">
      <c r="A389" t="s">
        <v>124</v>
      </c>
      <c r="B389">
        <v>81523</v>
      </c>
      <c r="C389" s="2">
        <v>36.71</v>
      </c>
      <c r="D389" s="1">
        <v>43549</v>
      </c>
      <c r="E389" t="str">
        <f>"2550"</f>
        <v>2550</v>
      </c>
      <c r="F389" t="str">
        <f>"ROD/CUTTING CHARGE/PCT#3"</f>
        <v>ROD/CUTTING CHARGE/PCT#3</v>
      </c>
      <c r="G389" s="2">
        <v>36.71</v>
      </c>
      <c r="H389" t="str">
        <f>"ROD/CUTTING CHARGE/PCT#3"</f>
        <v>ROD/CUTTING CHARGE/PCT#3</v>
      </c>
    </row>
    <row r="390" spans="1:8" x14ac:dyDescent="0.25">
      <c r="A390" t="s">
        <v>125</v>
      </c>
      <c r="B390">
        <v>81277</v>
      </c>
      <c r="C390" s="2">
        <v>951</v>
      </c>
      <c r="D390" s="1">
        <v>43535</v>
      </c>
      <c r="E390" t="str">
        <f>"27917"</f>
        <v>27917</v>
      </c>
      <c r="F390" t="str">
        <f>"2011 FORD F350 / P4"</f>
        <v>2011 FORD F350 / P4</v>
      </c>
      <c r="G390" s="2">
        <v>951</v>
      </c>
      <c r="H390" t="str">
        <f>"2011 FORD F350 / P4"</f>
        <v>2011 FORD F350 / P4</v>
      </c>
    </row>
    <row r="391" spans="1:8" x14ac:dyDescent="0.25">
      <c r="A391" t="s">
        <v>126</v>
      </c>
      <c r="B391">
        <v>81524</v>
      </c>
      <c r="C391" s="2">
        <v>125</v>
      </c>
      <c r="D391" s="1">
        <v>43549</v>
      </c>
      <c r="E391" t="str">
        <f>"201903208003"</f>
        <v>201903208003</v>
      </c>
      <c r="F391" t="str">
        <f>"REFUND FOR RETURNED PET"</f>
        <v>REFUND FOR RETURNED PET</v>
      </c>
      <c r="G391" s="2">
        <v>125</v>
      </c>
      <c r="H391" t="str">
        <f>"REFUND FOR RETURNED PET"</f>
        <v>REFUND FOR RETURNED PET</v>
      </c>
    </row>
    <row r="392" spans="1:8" x14ac:dyDescent="0.25">
      <c r="A392" t="s">
        <v>127</v>
      </c>
      <c r="B392">
        <v>81641</v>
      </c>
      <c r="C392" s="2">
        <v>749.4</v>
      </c>
      <c r="D392" s="1">
        <v>43550</v>
      </c>
      <c r="E392" t="str">
        <f>"201903268129"</f>
        <v>201903268129</v>
      </c>
      <c r="F392" t="str">
        <f>"ACCT#405900029213/04012019"</f>
        <v>ACCT#405900029213/04012019</v>
      </c>
      <c r="G392" s="2">
        <v>374.7</v>
      </c>
      <c r="H392" t="str">
        <f>"ACCT#405900029213/04012019"</f>
        <v>ACCT#405900029213/04012019</v>
      </c>
    </row>
    <row r="393" spans="1:8" x14ac:dyDescent="0.25">
      <c r="E393" t="str">
        <f>"201903268130"</f>
        <v>201903268130</v>
      </c>
      <c r="F393" t="str">
        <f>"ACCT#405900029225/04012019"</f>
        <v>ACCT#405900029225/04012019</v>
      </c>
      <c r="G393" s="2">
        <v>187.35</v>
      </c>
      <c r="H393" t="str">
        <f>"ACCT#405900029225/04012019"</f>
        <v>ACCT#405900029225/04012019</v>
      </c>
    </row>
    <row r="394" spans="1:8" x14ac:dyDescent="0.25">
      <c r="E394" t="str">
        <f>"201903268131"</f>
        <v>201903268131</v>
      </c>
      <c r="F394" t="str">
        <f>"ACCT#405900028789/04012019"</f>
        <v>ACCT#405900028789/04012019</v>
      </c>
      <c r="G394" s="2">
        <v>187.35</v>
      </c>
      <c r="H394" t="str">
        <f>"ACCT#405900028789/04012019"</f>
        <v>ACCT#405900028789/04012019</v>
      </c>
    </row>
    <row r="395" spans="1:8" x14ac:dyDescent="0.25">
      <c r="A395" t="s">
        <v>128</v>
      </c>
      <c r="B395">
        <v>81525</v>
      </c>
      <c r="C395" s="2">
        <v>546.5</v>
      </c>
      <c r="D395" s="1">
        <v>43549</v>
      </c>
      <c r="E395" t="str">
        <f>"SMINV197080"</f>
        <v>SMINV197080</v>
      </c>
      <c r="F395" t="str">
        <f>"ACCT#DCS004779/ORD#SMO227396"</f>
        <v>ACCT#DCS004779/ORD#SMO227396</v>
      </c>
      <c r="G395" s="2">
        <v>546.5</v>
      </c>
      <c r="H395" t="str">
        <f>"ACCT#DCS004779/ORD#SMO227396"</f>
        <v>ACCT#DCS004779/ORD#SMO227396</v>
      </c>
    </row>
    <row r="396" spans="1:8" x14ac:dyDescent="0.25">
      <c r="A396" t="s">
        <v>129</v>
      </c>
      <c r="B396">
        <v>81526</v>
      </c>
      <c r="C396" s="2">
        <v>1448.5</v>
      </c>
      <c r="D396" s="1">
        <v>43549</v>
      </c>
      <c r="E396" t="str">
        <f>"28862 A"</f>
        <v>28862 A</v>
      </c>
      <c r="F396" t="str">
        <f>"INV 28862 A"</f>
        <v>INV 28862 A</v>
      </c>
      <c r="G396" s="2">
        <v>1448.5</v>
      </c>
      <c r="H396" t="str">
        <f>"INV 28862 A"</f>
        <v>INV 28862 A</v>
      </c>
    </row>
    <row r="397" spans="1:8" x14ac:dyDescent="0.25">
      <c r="A397" t="s">
        <v>130</v>
      </c>
      <c r="B397">
        <v>576</v>
      </c>
      <c r="C397" s="2">
        <v>2574.5</v>
      </c>
      <c r="D397" s="1">
        <v>43536</v>
      </c>
      <c r="E397" t="str">
        <f>"201902277532"</f>
        <v>201902277532</v>
      </c>
      <c r="F397" t="str">
        <f>"1JP7918B"</f>
        <v>1JP7918B</v>
      </c>
      <c r="G397" s="2">
        <v>400</v>
      </c>
      <c r="H397" t="str">
        <f>"1JP7918B"</f>
        <v>1JP7918B</v>
      </c>
    </row>
    <row r="398" spans="1:8" x14ac:dyDescent="0.25">
      <c r="E398" t="str">
        <f>"201902277533"</f>
        <v>201902277533</v>
      </c>
      <c r="F398" t="str">
        <f>"23703"</f>
        <v>23703</v>
      </c>
      <c r="G398" s="2">
        <v>137.5</v>
      </c>
      <c r="H398" t="str">
        <f>"23703"</f>
        <v>23703</v>
      </c>
    </row>
    <row r="399" spans="1:8" x14ac:dyDescent="0.25">
      <c r="E399" t="str">
        <f>"201903057639"</f>
        <v>201903057639</v>
      </c>
      <c r="F399" t="str">
        <f>"18-18854"</f>
        <v>18-18854</v>
      </c>
      <c r="G399" s="2">
        <v>450</v>
      </c>
      <c r="H399" t="str">
        <f>"18-18854"</f>
        <v>18-18854</v>
      </c>
    </row>
    <row r="400" spans="1:8" x14ac:dyDescent="0.25">
      <c r="E400" t="str">
        <f>"201903057640"</f>
        <v>201903057640</v>
      </c>
      <c r="F400" t="str">
        <f>"18-18960"</f>
        <v>18-18960</v>
      </c>
      <c r="G400" s="2">
        <v>187.5</v>
      </c>
      <c r="H400" t="str">
        <f>"18-18960"</f>
        <v>18-18960</v>
      </c>
    </row>
    <row r="401" spans="1:8" x14ac:dyDescent="0.25">
      <c r="E401" t="str">
        <f>"201903057641"</f>
        <v>201903057641</v>
      </c>
      <c r="F401" t="str">
        <f>"18-18967"</f>
        <v>18-18967</v>
      </c>
      <c r="G401" s="2">
        <v>250</v>
      </c>
      <c r="H401" t="str">
        <f>"18-18967"</f>
        <v>18-18967</v>
      </c>
    </row>
    <row r="402" spans="1:8" x14ac:dyDescent="0.25">
      <c r="E402" t="str">
        <f>"201903057642"</f>
        <v>201903057642</v>
      </c>
      <c r="F402" t="str">
        <f>"17-18119"</f>
        <v>17-18119</v>
      </c>
      <c r="G402" s="2">
        <v>137</v>
      </c>
      <c r="H402" t="str">
        <f>"17-18119"</f>
        <v>17-18119</v>
      </c>
    </row>
    <row r="403" spans="1:8" x14ac:dyDescent="0.25">
      <c r="E403" t="str">
        <f>"201903057643"</f>
        <v>201903057643</v>
      </c>
      <c r="F403" t="str">
        <f>"17-18764"</f>
        <v>17-18764</v>
      </c>
      <c r="G403" s="2">
        <v>100</v>
      </c>
      <c r="H403" t="str">
        <f>"17-18764"</f>
        <v>17-18764</v>
      </c>
    </row>
    <row r="404" spans="1:8" x14ac:dyDescent="0.25">
      <c r="E404" t="str">
        <f>"201903057644"</f>
        <v>201903057644</v>
      </c>
      <c r="F404" t="str">
        <f>"56711  56737"</f>
        <v>56711  56737</v>
      </c>
      <c r="G404" s="2">
        <v>375</v>
      </c>
      <c r="H404" t="str">
        <f>"56711  56737"</f>
        <v>56711  56737</v>
      </c>
    </row>
    <row r="405" spans="1:8" x14ac:dyDescent="0.25">
      <c r="E405" t="str">
        <f>"201903057713"</f>
        <v>201903057713</v>
      </c>
      <c r="F405" t="str">
        <f>"18-19291"</f>
        <v>18-19291</v>
      </c>
      <c r="G405" s="2">
        <v>187.5</v>
      </c>
      <c r="H405" t="str">
        <f>"18-19291"</f>
        <v>18-19291</v>
      </c>
    </row>
    <row r="406" spans="1:8" x14ac:dyDescent="0.25">
      <c r="E406" t="str">
        <f>"201903067822"</f>
        <v>201903067822</v>
      </c>
      <c r="F406" t="str">
        <f>"18-19239"</f>
        <v>18-19239</v>
      </c>
      <c r="G406" s="2">
        <v>100</v>
      </c>
      <c r="H406" t="str">
        <f>"18-19239"</f>
        <v>18-19239</v>
      </c>
    </row>
    <row r="407" spans="1:8" x14ac:dyDescent="0.25">
      <c r="E407" t="str">
        <f>"201903067823"</f>
        <v>201903067823</v>
      </c>
      <c r="F407" t="str">
        <f>"07-12097"</f>
        <v>07-12097</v>
      </c>
      <c r="G407" s="2">
        <v>250</v>
      </c>
      <c r="H407" t="str">
        <f>"07-12097"</f>
        <v>07-12097</v>
      </c>
    </row>
    <row r="408" spans="1:8" x14ac:dyDescent="0.25">
      <c r="A408" t="s">
        <v>130</v>
      </c>
      <c r="B408">
        <v>626</v>
      </c>
      <c r="C408" s="2">
        <v>2400</v>
      </c>
      <c r="D408" s="1">
        <v>43550</v>
      </c>
      <c r="E408" t="str">
        <f>"201903117880"</f>
        <v>201903117880</v>
      </c>
      <c r="F408" t="str">
        <f>"16781"</f>
        <v>16781</v>
      </c>
      <c r="G408" s="2">
        <v>400</v>
      </c>
      <c r="H408" t="str">
        <f>"16781"</f>
        <v>16781</v>
      </c>
    </row>
    <row r="409" spans="1:8" x14ac:dyDescent="0.25">
      <c r="E409" t="str">
        <f>"201903117881"</f>
        <v>201903117881</v>
      </c>
      <c r="F409" t="str">
        <f>"303102018B"</f>
        <v>303102018B</v>
      </c>
      <c r="G409" s="2">
        <v>600</v>
      </c>
      <c r="H409" t="str">
        <f>"303102018B"</f>
        <v>303102018B</v>
      </c>
    </row>
    <row r="410" spans="1:8" x14ac:dyDescent="0.25">
      <c r="E410" t="str">
        <f>"201903117882"</f>
        <v>201903117882</v>
      </c>
      <c r="F410" t="str">
        <f>"AC-2019-0214"</f>
        <v>AC-2019-0214</v>
      </c>
      <c r="G410" s="2">
        <v>400</v>
      </c>
      <c r="H410" t="str">
        <f>"AC-2019-0214"</f>
        <v>AC-2019-0214</v>
      </c>
    </row>
    <row r="411" spans="1:8" x14ac:dyDescent="0.25">
      <c r="E411" t="str">
        <f>"201903117888"</f>
        <v>201903117888</v>
      </c>
      <c r="F411" t="str">
        <f>"423-6362"</f>
        <v>423-6362</v>
      </c>
      <c r="G411" s="2">
        <v>100</v>
      </c>
      <c r="H411" t="str">
        <f>"423-6362"</f>
        <v>423-6362</v>
      </c>
    </row>
    <row r="412" spans="1:8" x14ac:dyDescent="0.25">
      <c r="E412" t="str">
        <f>"201903117889"</f>
        <v>201903117889</v>
      </c>
      <c r="F412" t="str">
        <f>"WRIT NO. 1078-21"</f>
        <v>WRIT NO. 1078-21</v>
      </c>
      <c r="G412" s="2">
        <v>100</v>
      </c>
      <c r="H412" t="str">
        <f>"WRIT NO. 1078-21"</f>
        <v>WRIT NO. 1078-21</v>
      </c>
    </row>
    <row r="413" spans="1:8" x14ac:dyDescent="0.25">
      <c r="E413" t="str">
        <f>"201903117890"</f>
        <v>201903117890</v>
      </c>
      <c r="F413" t="str">
        <f>"1079-21"</f>
        <v>1079-21</v>
      </c>
      <c r="G413" s="2">
        <v>200</v>
      </c>
      <c r="H413" t="str">
        <f>"1079-21"</f>
        <v>1079-21</v>
      </c>
    </row>
    <row r="414" spans="1:8" x14ac:dyDescent="0.25">
      <c r="E414" t="str">
        <f>"201903117891"</f>
        <v>201903117891</v>
      </c>
      <c r="F414" t="str">
        <f>"1082-335"</f>
        <v>1082-335</v>
      </c>
      <c r="G414" s="2">
        <v>100</v>
      </c>
      <c r="H414" t="str">
        <f>"1082-335"</f>
        <v>1082-335</v>
      </c>
    </row>
    <row r="415" spans="1:8" x14ac:dyDescent="0.25">
      <c r="E415" t="str">
        <f>"201903127892"</f>
        <v>201903127892</v>
      </c>
      <c r="F415" t="str">
        <f>"423-6360"</f>
        <v>423-6360</v>
      </c>
      <c r="G415" s="2">
        <v>500</v>
      </c>
      <c r="H415" t="str">
        <f>"423-6360"</f>
        <v>423-6360</v>
      </c>
    </row>
    <row r="416" spans="1:8" x14ac:dyDescent="0.25">
      <c r="A416" t="s">
        <v>131</v>
      </c>
      <c r="B416">
        <v>81527</v>
      </c>
      <c r="C416" s="2">
        <v>1437.1</v>
      </c>
      <c r="D416" s="1">
        <v>43549</v>
      </c>
      <c r="E416" t="str">
        <f>"15-1700"</f>
        <v>15-1700</v>
      </c>
      <c r="F416" t="str">
        <f>"COMMERCIAL BASE/ROCK/PCT#3"</f>
        <v>COMMERCIAL BASE/ROCK/PCT#3</v>
      </c>
      <c r="G416" s="2">
        <v>1437.1</v>
      </c>
      <c r="H416" t="str">
        <f>"COMMERCIAL BASE/ROCK/PCT#3"</f>
        <v>COMMERCIAL BASE/ROCK/PCT#3</v>
      </c>
    </row>
    <row r="417" spans="1:8" x14ac:dyDescent="0.25">
      <c r="A417" t="s">
        <v>132</v>
      </c>
      <c r="B417">
        <v>81528</v>
      </c>
      <c r="C417" s="2">
        <v>1000</v>
      </c>
      <c r="D417" s="1">
        <v>43549</v>
      </c>
      <c r="E417" t="str">
        <f>"2019-037"</f>
        <v>2019-037</v>
      </c>
      <c r="F417" t="str">
        <f>"PROMO PACKAGE AT EARTH DAY"</f>
        <v>PROMO PACKAGE AT EARTH DAY</v>
      </c>
      <c r="G417" s="2">
        <v>1000</v>
      </c>
      <c r="H417" t="str">
        <f>"PROMO PACKAGE AT EARTH DAY"</f>
        <v>PROMO PACKAGE AT EARTH DAY</v>
      </c>
    </row>
    <row r="418" spans="1:8" x14ac:dyDescent="0.25">
      <c r="A418" t="s">
        <v>133</v>
      </c>
      <c r="B418">
        <v>556</v>
      </c>
      <c r="C418" s="2">
        <v>813.76</v>
      </c>
      <c r="D418" s="1">
        <v>43536</v>
      </c>
      <c r="E418" t="str">
        <f>"2630692"</f>
        <v>2630692</v>
      </c>
      <c r="F418" t="str">
        <f>"INV 2630692"</f>
        <v>INV 2630692</v>
      </c>
      <c r="G418" s="2">
        <v>813.76</v>
      </c>
      <c r="H418" t="str">
        <f>"INV 2630692"</f>
        <v>INV 2630692</v>
      </c>
    </row>
    <row r="419" spans="1:8" x14ac:dyDescent="0.25">
      <c r="A419" t="s">
        <v>134</v>
      </c>
      <c r="B419">
        <v>81278</v>
      </c>
      <c r="C419" s="2">
        <v>14500</v>
      </c>
      <c r="D419" s="1">
        <v>43535</v>
      </c>
      <c r="E419" t="str">
        <f>"1080124"</f>
        <v>1080124</v>
      </c>
      <c r="F419" t="str">
        <f>"ExpressVote Printer"</f>
        <v>ExpressVote Printer</v>
      </c>
      <c r="G419" s="2">
        <v>14500</v>
      </c>
      <c r="H419" t="str">
        <f>"ExpressVote Printer"</f>
        <v>ExpressVote Printer</v>
      </c>
    </row>
    <row r="420" spans="1:8" x14ac:dyDescent="0.25">
      <c r="A420" t="s">
        <v>134</v>
      </c>
      <c r="B420">
        <v>81529</v>
      </c>
      <c r="C420" s="2">
        <v>8980.16</v>
      </c>
      <c r="D420" s="1">
        <v>43549</v>
      </c>
      <c r="E420" t="str">
        <f>"1080585"</f>
        <v>1080585</v>
      </c>
      <c r="F420" t="str">
        <f>"ACCT#B06875/ORD#1177543"</f>
        <v>ACCT#B06875/ORD#1177543</v>
      </c>
      <c r="G420" s="2">
        <v>220.5</v>
      </c>
      <c r="H420" t="str">
        <f>"ACCT#B06875/ORD#1177543"</f>
        <v>ACCT#B06875/ORD#1177543</v>
      </c>
    </row>
    <row r="421" spans="1:8" x14ac:dyDescent="0.25">
      <c r="E421" t="str">
        <f>"1080586"</f>
        <v>1080586</v>
      </c>
      <c r="F421" t="str">
        <f>"ACCT#B06875/ORD#1177544"</f>
        <v>ACCT#B06875/ORD#1177544</v>
      </c>
      <c r="G421" s="2">
        <v>36.75</v>
      </c>
      <c r="H421" t="str">
        <f>"ACCT#B06875/ORD#1177544"</f>
        <v>ACCT#B06875/ORD#1177544</v>
      </c>
    </row>
    <row r="422" spans="1:8" x14ac:dyDescent="0.25">
      <c r="E422" t="str">
        <f>"1080587"</f>
        <v>1080587</v>
      </c>
      <c r="F422" t="str">
        <f>"ACCT#B06875/ORD#1177545"</f>
        <v>ACCT#B06875/ORD#1177545</v>
      </c>
      <c r="G422" s="2">
        <v>36.75</v>
      </c>
      <c r="H422" t="str">
        <f>"ACCT#B06875/ORD#1177545"</f>
        <v>ACCT#B06875/ORD#1177545</v>
      </c>
    </row>
    <row r="423" spans="1:8" x14ac:dyDescent="0.25">
      <c r="E423" t="str">
        <f>"1080588"</f>
        <v>1080588</v>
      </c>
      <c r="F423" t="str">
        <f>"ACCT#B06875/ORD#1177546"</f>
        <v>ACCT#B06875/ORD#1177546</v>
      </c>
      <c r="G423" s="2">
        <v>36.75</v>
      </c>
      <c r="H423" t="str">
        <f>"ACCT#B06875/ORD#1177546"</f>
        <v>ACCT#B06875/ORD#1177546</v>
      </c>
    </row>
    <row r="424" spans="1:8" x14ac:dyDescent="0.25">
      <c r="E424" t="str">
        <f>"1080617"</f>
        <v>1080617</v>
      </c>
      <c r="F424" t="str">
        <f>"ACCT#B06875/ORD#1177616"</f>
        <v>ACCT#B06875/ORD#1177616</v>
      </c>
      <c r="G424" s="2">
        <v>1243.5</v>
      </c>
      <c r="H424" t="str">
        <f>"ACCT#B06875/ORD#1177616"</f>
        <v>ACCT#B06875/ORD#1177616</v>
      </c>
    </row>
    <row r="425" spans="1:8" x14ac:dyDescent="0.25">
      <c r="E425" t="str">
        <f>"1080619"</f>
        <v>1080619</v>
      </c>
      <c r="F425" t="str">
        <f>"ACCT#B06875/ORD#1177618"</f>
        <v>ACCT#B06875/ORD#1177618</v>
      </c>
      <c r="G425" s="2">
        <v>936</v>
      </c>
      <c r="H425" t="str">
        <f>"ACCT#B06875/ORD#1177618"</f>
        <v>ACCT#B06875/ORD#1177618</v>
      </c>
    </row>
    <row r="426" spans="1:8" x14ac:dyDescent="0.25">
      <c r="E426" t="str">
        <f>"1080620"</f>
        <v>1080620</v>
      </c>
      <c r="F426" t="str">
        <f>"ACCT#B06875/ORD#1177619"</f>
        <v>ACCT#B06875/ORD#1177619</v>
      </c>
      <c r="G426" s="2">
        <v>806.5</v>
      </c>
      <c r="H426" t="str">
        <f>"ACCT#B06875/ORD#1177619"</f>
        <v>ACCT#B06875/ORD#1177619</v>
      </c>
    </row>
    <row r="427" spans="1:8" x14ac:dyDescent="0.25">
      <c r="E427" t="str">
        <f>"1080621"</f>
        <v>1080621</v>
      </c>
      <c r="F427" t="str">
        <f>"ACCT#B06875/ORD#1177620"</f>
        <v>ACCT#B06875/ORD#1177620</v>
      </c>
      <c r="G427" s="2">
        <v>806.5</v>
      </c>
      <c r="H427" t="str">
        <f>"ACCT#B06875/ORD#1177620"</f>
        <v>ACCT#B06875/ORD#1177620</v>
      </c>
    </row>
    <row r="428" spans="1:8" x14ac:dyDescent="0.25">
      <c r="E428" t="str">
        <f>"1080633"</f>
        <v>1080633</v>
      </c>
      <c r="F428" t="str">
        <f>"ACCT#B06875/ORD#1177636"</f>
        <v>ACCT#B06875/ORD#1177636</v>
      </c>
      <c r="G428" s="2">
        <v>4304.3999999999996</v>
      </c>
      <c r="H428" t="str">
        <f>"ACCT#B06875/ORD#1177636"</f>
        <v>ACCT#B06875/ORD#1177636</v>
      </c>
    </row>
    <row r="429" spans="1:8" x14ac:dyDescent="0.25">
      <c r="E429" t="str">
        <f>"1080887"</f>
        <v>1080887</v>
      </c>
      <c r="F429" t="str">
        <f>"ACCT#B06875/ORD#1177920"</f>
        <v>ACCT#B06875/ORD#1177920</v>
      </c>
      <c r="G429" s="2">
        <v>334.74</v>
      </c>
      <c r="H429" t="str">
        <f>"ACCT#B06875/ORD#1177920"</f>
        <v>ACCT#B06875/ORD#1177920</v>
      </c>
    </row>
    <row r="430" spans="1:8" x14ac:dyDescent="0.25">
      <c r="E430" t="str">
        <f>"1081101"</f>
        <v>1081101</v>
      </c>
      <c r="F430" t="str">
        <f>"ACCT#B06875/ELECTIONS"</f>
        <v>ACCT#B06875/ELECTIONS</v>
      </c>
      <c r="G430" s="2">
        <v>217.77</v>
      </c>
      <c r="H430" t="str">
        <f>"ACCT#B06875/ELECTIONS"</f>
        <v>ACCT#B06875/ELECTIONS</v>
      </c>
    </row>
    <row r="431" spans="1:8" x14ac:dyDescent="0.25">
      <c r="A431" t="s">
        <v>135</v>
      </c>
      <c r="B431">
        <v>555</v>
      </c>
      <c r="C431" s="2">
        <v>163</v>
      </c>
      <c r="D431" s="1">
        <v>43536</v>
      </c>
      <c r="E431" t="str">
        <f>"201903057613"</f>
        <v>201903057613</v>
      </c>
      <c r="F431" t="str">
        <f>"HUMAN RESOURCES DIRECTOR JOB"</f>
        <v>HUMAN RESOURCES DIRECTOR JOB</v>
      </c>
      <c r="G431" s="2">
        <v>163</v>
      </c>
      <c r="H431" t="str">
        <f>"HUMAN RESOURCES DIRECTOR JOB"</f>
        <v>HUMAN RESOURCES DIRECTOR JOB</v>
      </c>
    </row>
    <row r="432" spans="1:8" x14ac:dyDescent="0.25">
      <c r="A432" t="s">
        <v>135</v>
      </c>
      <c r="B432">
        <v>609</v>
      </c>
      <c r="C432" s="2">
        <v>163</v>
      </c>
      <c r="D432" s="1">
        <v>43550</v>
      </c>
      <c r="E432" t="str">
        <f>"201903157916"</f>
        <v>201903157916</v>
      </c>
      <c r="F432" t="str">
        <f>"HR Director Advertisment"</f>
        <v>HR Director Advertisment</v>
      </c>
      <c r="G432" s="2">
        <v>163</v>
      </c>
      <c r="H432" t="str">
        <f>"HR Director Advertisment"</f>
        <v>HR Director Advertisment</v>
      </c>
    </row>
    <row r="433" spans="1:8" x14ac:dyDescent="0.25">
      <c r="A433" t="s">
        <v>136</v>
      </c>
      <c r="B433">
        <v>81279</v>
      </c>
      <c r="C433" s="2">
        <v>181.33</v>
      </c>
      <c r="D433" s="1">
        <v>43535</v>
      </c>
      <c r="E433" t="str">
        <f>"802784"</f>
        <v>802784</v>
      </c>
      <c r="F433" t="str">
        <f>"STATEMENT#12320/PCT#4"</f>
        <v>STATEMENT#12320/PCT#4</v>
      </c>
      <c r="G433" s="2">
        <v>181.33</v>
      </c>
      <c r="H433" t="str">
        <f>"STATEMENT#12320/PCT#4"</f>
        <v>STATEMENT#12320/PCT#4</v>
      </c>
    </row>
    <row r="434" spans="1:8" x14ac:dyDescent="0.25">
      <c r="A434" t="s">
        <v>137</v>
      </c>
      <c r="B434">
        <v>81230</v>
      </c>
      <c r="C434" s="2">
        <v>1248.92</v>
      </c>
      <c r="D434" s="1">
        <v>43531</v>
      </c>
      <c r="E434" t="str">
        <f>"201903067858"</f>
        <v>201903067858</v>
      </c>
      <c r="F434" t="str">
        <f>"ACCT#007-0008410-002/02282019"</f>
        <v>ACCT#007-0008410-002/02282019</v>
      </c>
      <c r="G434" s="2">
        <v>437.98</v>
      </c>
      <c r="H434" t="str">
        <f>"ACCT#007-0008410-002/02282019"</f>
        <v>ACCT#007-0008410-002/02282019</v>
      </c>
    </row>
    <row r="435" spans="1:8" x14ac:dyDescent="0.25">
      <c r="E435" t="str">
        <f>"201903067859"</f>
        <v>201903067859</v>
      </c>
      <c r="F435" t="str">
        <f>"ACCT#007-0011501-000/02282019"</f>
        <v>ACCT#007-0011501-000/02282019</v>
      </c>
      <c r="G435" s="2">
        <v>93.76</v>
      </c>
      <c r="H435" t="str">
        <f>"ACCT#007-0011501-000/02282019"</f>
        <v>ACCT#007-0011501-000/02282019</v>
      </c>
    </row>
    <row r="436" spans="1:8" x14ac:dyDescent="0.25">
      <c r="E436" t="str">
        <f>"201903067860"</f>
        <v>201903067860</v>
      </c>
      <c r="F436" t="str">
        <f>"ACCT#007-0011510-000/02282019"</f>
        <v>ACCT#007-0011510-000/02282019</v>
      </c>
      <c r="G436" s="2">
        <v>235.91</v>
      </c>
      <c r="H436" t="str">
        <f>"ACCT#007-0011510-000/02282019"</f>
        <v>ACCT#007-0011510-000/02282019</v>
      </c>
    </row>
    <row r="437" spans="1:8" x14ac:dyDescent="0.25">
      <c r="E437" t="str">
        <f>"201903067861"</f>
        <v>201903067861</v>
      </c>
      <c r="F437" t="str">
        <f>"ACCT#007-0011530-000/02282019"</f>
        <v>ACCT#007-0011530-000/02282019</v>
      </c>
      <c r="G437" s="2">
        <v>97.4</v>
      </c>
      <c r="H437" t="str">
        <f>"ACCT#007-0011530-000/02282019"</f>
        <v>ACCT#007-0011530-000/02282019</v>
      </c>
    </row>
    <row r="438" spans="1:8" x14ac:dyDescent="0.25">
      <c r="E438" t="str">
        <f>"201903067862"</f>
        <v>201903067862</v>
      </c>
      <c r="F438" t="str">
        <f>"ACCT#007-0011534-001/02282019"</f>
        <v>ACCT#007-0011534-001/02282019</v>
      </c>
      <c r="G438" s="2">
        <v>156.88</v>
      </c>
      <c r="H438" t="str">
        <f>"ACCT#007-0011534-001/02282019"</f>
        <v>ACCT#007-0011534-001/02282019</v>
      </c>
    </row>
    <row r="439" spans="1:8" x14ac:dyDescent="0.25">
      <c r="E439" t="str">
        <f>"201903067863"</f>
        <v>201903067863</v>
      </c>
      <c r="F439" t="str">
        <f>"ACCT#007-0011535-000/02282019"</f>
        <v>ACCT#007-0011535-000/02282019</v>
      </c>
      <c r="G439" s="2">
        <v>111.49</v>
      </c>
      <c r="H439" t="str">
        <f>"ACCT#007-0011535-000/02282019"</f>
        <v>ACCT#007-0011535-000/02282019</v>
      </c>
    </row>
    <row r="440" spans="1:8" x14ac:dyDescent="0.25">
      <c r="E440" t="str">
        <f>"201903067864"</f>
        <v>201903067864</v>
      </c>
      <c r="F440" t="str">
        <f>"ACCT#007-0011544-001/02282019"</f>
        <v>ACCT#007-0011544-001/02282019</v>
      </c>
      <c r="G440" s="2">
        <v>111.49</v>
      </c>
      <c r="H440" t="str">
        <f>"ACCT#007-0011544-001/02282019"</f>
        <v>ACCT#007-0011544-001/02282019</v>
      </c>
    </row>
    <row r="441" spans="1:8" x14ac:dyDescent="0.25">
      <c r="E441" t="str">
        <f>"201903067865"</f>
        <v>201903067865</v>
      </c>
      <c r="F441" t="str">
        <f>"ACCT#007-0071128-001/02282019"</f>
        <v>ACCT#007-0071128-001/02282019</v>
      </c>
      <c r="G441" s="2">
        <v>4.01</v>
      </c>
      <c r="H441" t="str">
        <f>"ACCT#007-0071128-001/02282019"</f>
        <v>ACCT#007-0071128-001/02282019</v>
      </c>
    </row>
    <row r="442" spans="1:8" x14ac:dyDescent="0.25">
      <c r="A442" t="s">
        <v>138</v>
      </c>
      <c r="B442">
        <v>81280</v>
      </c>
      <c r="C442" s="2">
        <v>1024.1199999999999</v>
      </c>
      <c r="D442" s="1">
        <v>43535</v>
      </c>
      <c r="E442" t="str">
        <f>"145-26055-01"</f>
        <v>145-26055-01</v>
      </c>
      <c r="F442" t="str">
        <f>"CUST#0888336/GEN SVCS"</f>
        <v>CUST#0888336/GEN SVCS</v>
      </c>
      <c r="G442" s="2">
        <v>228.36</v>
      </c>
      <c r="H442" t="str">
        <f>"CUST#0888336/GEN SVCS"</f>
        <v>CUST#0888336/GEN SVCS</v>
      </c>
    </row>
    <row r="443" spans="1:8" x14ac:dyDescent="0.25">
      <c r="E443" t="str">
        <f>"201902287545"</f>
        <v>201902287545</v>
      </c>
      <c r="F443" t="str">
        <f>"CUST ID#0888336/GEN SVCS"</f>
        <v>CUST ID#0888336/GEN SVCS</v>
      </c>
      <c r="G443" s="2">
        <v>795.76</v>
      </c>
      <c r="H443" t="str">
        <f>"CUST ID#0888336/GEN SVCS"</f>
        <v>CUST ID#0888336/GEN SVCS</v>
      </c>
    </row>
    <row r="444" spans="1:8" x14ac:dyDescent="0.25">
      <c r="A444" t="s">
        <v>138</v>
      </c>
      <c r="B444">
        <v>81530</v>
      </c>
      <c r="C444" s="2">
        <v>583.84</v>
      </c>
      <c r="D444" s="1">
        <v>43549</v>
      </c>
      <c r="E444" t="str">
        <f>"145-26066-01"</f>
        <v>145-26066-01</v>
      </c>
      <c r="F444" t="str">
        <f>"CUST#0888336/RETROFIT KIT"</f>
        <v>CUST#0888336/RETROFIT KIT</v>
      </c>
      <c r="G444" s="2">
        <v>24.93</v>
      </c>
      <c r="H444" t="str">
        <f>"CUST#0888336/RETROFIT KIT"</f>
        <v>CUST#0888336/RETROFIT KIT</v>
      </c>
    </row>
    <row r="445" spans="1:8" x14ac:dyDescent="0.25">
      <c r="E445" t="str">
        <f>"145-26191-01"</f>
        <v>145-26191-01</v>
      </c>
      <c r="F445" t="str">
        <f>"CUST#0888336/PIN LED REPLACEME"</f>
        <v>CUST#0888336/PIN LED REPLACEME</v>
      </c>
      <c r="G445" s="2">
        <v>174</v>
      </c>
      <c r="H445" t="str">
        <f>"CUST#0888336/PIN LED REPLACEME"</f>
        <v>CUST#0888336/PIN LED REPLACEME</v>
      </c>
    </row>
    <row r="446" spans="1:8" x14ac:dyDescent="0.25">
      <c r="E446" t="str">
        <f>"145-26342-01"</f>
        <v>145-26342-01</v>
      </c>
      <c r="F446" t="str">
        <f>"TICKET #145-26342-01"</f>
        <v>TICKET #145-26342-01</v>
      </c>
      <c r="G446" s="2">
        <v>384.91</v>
      </c>
      <c r="H446" t="str">
        <f>"TICKET #145-26342-01"</f>
        <v>TICKET #145-26342-01</v>
      </c>
    </row>
    <row r="447" spans="1:8" x14ac:dyDescent="0.25">
      <c r="E447" t="str">
        <f>""</f>
        <v/>
      </c>
      <c r="F447" t="str">
        <f>""</f>
        <v/>
      </c>
      <c r="H447" t="str">
        <f>"TICKET #145-26342-01"</f>
        <v>TICKET #145-26342-01</v>
      </c>
    </row>
    <row r="448" spans="1:8" x14ac:dyDescent="0.25">
      <c r="A448" t="s">
        <v>139</v>
      </c>
      <c r="B448">
        <v>81281</v>
      </c>
      <c r="C448" s="2">
        <v>90</v>
      </c>
      <c r="D448" s="1">
        <v>43535</v>
      </c>
      <c r="E448" t="str">
        <f>"8052"</f>
        <v>8052</v>
      </c>
      <c r="F448" t="str">
        <f>"SERVICE"</f>
        <v>SERVICE</v>
      </c>
      <c r="G448" s="2">
        <v>90</v>
      </c>
      <c r="H448" t="str">
        <f>"SERVICE"</f>
        <v>SERVICE</v>
      </c>
    </row>
    <row r="449" spans="1:8" x14ac:dyDescent="0.25">
      <c r="A449" t="s">
        <v>140</v>
      </c>
      <c r="B449">
        <v>81531</v>
      </c>
      <c r="C449" s="2">
        <v>700</v>
      </c>
      <c r="D449" s="1">
        <v>43549</v>
      </c>
      <c r="E449" t="str">
        <f>"0043530-IN"</f>
        <v>0043530-IN</v>
      </c>
      <c r="F449" t="str">
        <f>"INV 0043530-IN"</f>
        <v>INV 0043530-IN</v>
      </c>
      <c r="G449" s="2">
        <v>700</v>
      </c>
      <c r="H449" t="str">
        <f>"INV 0043530-IN"</f>
        <v>INV 0043530-IN</v>
      </c>
    </row>
    <row r="450" spans="1:8" x14ac:dyDescent="0.25">
      <c r="A450" t="s">
        <v>141</v>
      </c>
      <c r="B450">
        <v>81532</v>
      </c>
      <c r="C450" s="2">
        <v>8285.77</v>
      </c>
      <c r="D450" s="1">
        <v>43549</v>
      </c>
      <c r="E450" t="str">
        <f>"9402000147"</f>
        <v>9402000147</v>
      </c>
      <c r="F450" t="str">
        <f>"ACCT#912904/BOL#35419/PCT#2"</f>
        <v>ACCT#912904/BOL#35419/PCT#2</v>
      </c>
      <c r="G450" s="2">
        <v>8285.77</v>
      </c>
      <c r="H450" t="str">
        <f>"ACCT#912904/BOL#35419/PCT#2"</f>
        <v>ACCT#912904/BOL#35419/PCT#2</v>
      </c>
    </row>
    <row r="451" spans="1:8" x14ac:dyDescent="0.25">
      <c r="A451" t="s">
        <v>142</v>
      </c>
      <c r="B451">
        <v>81282</v>
      </c>
      <c r="C451" s="2">
        <v>193.66</v>
      </c>
      <c r="D451" s="1">
        <v>43535</v>
      </c>
      <c r="E451" t="str">
        <f>"6894038"</f>
        <v>6894038</v>
      </c>
      <c r="F451" t="str">
        <f>"CUST#39808/GEN SVCS"</f>
        <v>CUST#39808/GEN SVCS</v>
      </c>
      <c r="G451" s="2">
        <v>24.21</v>
      </c>
      <c r="H451" t="str">
        <f>"CUST#39808/GEN SVCS"</f>
        <v>CUST#39808/GEN SVCS</v>
      </c>
    </row>
    <row r="452" spans="1:8" x14ac:dyDescent="0.25">
      <c r="E452" t="str">
        <f>"6899032"</f>
        <v>6899032</v>
      </c>
      <c r="F452" t="str">
        <f>"CUST#39808/GEN SVCS"</f>
        <v>CUST#39808/GEN SVCS</v>
      </c>
      <c r="G452" s="2">
        <v>169.45</v>
      </c>
      <c r="H452" t="str">
        <f>"CUST#39808/GEN SVCS"</f>
        <v>CUST#39808/GEN SVCS</v>
      </c>
    </row>
    <row r="453" spans="1:8" x14ac:dyDescent="0.25">
      <c r="A453" t="s">
        <v>143</v>
      </c>
      <c r="B453">
        <v>81283</v>
      </c>
      <c r="C453" s="2">
        <v>19683.919999999998</v>
      </c>
      <c r="D453" s="1">
        <v>43535</v>
      </c>
      <c r="E453" t="str">
        <f>"201903057716"</f>
        <v>201903057716</v>
      </c>
      <c r="F453" t="str">
        <f>"GRANT REIMBURSEMENT"</f>
        <v>GRANT REIMBURSEMENT</v>
      </c>
      <c r="G453" s="2">
        <v>19194.919999999998</v>
      </c>
      <c r="H453" t="str">
        <f>"GRANT REIMBURSEMENT"</f>
        <v>GRANT REIMBURSEMENT</v>
      </c>
    </row>
    <row r="454" spans="1:8" x14ac:dyDescent="0.25">
      <c r="E454" t="str">
        <f>"201903067832"</f>
        <v>201903067832</v>
      </c>
      <c r="F454" t="str">
        <f>"SANE EXAM - CASE#19-S-00304"</f>
        <v>SANE EXAM - CASE#19-S-00304</v>
      </c>
      <c r="G454" s="2">
        <v>489</v>
      </c>
      <c r="H454" t="str">
        <f>"SANE EXAM - CASE#19-S-00304"</f>
        <v>SANE EXAM - CASE#19-S-00304</v>
      </c>
    </row>
    <row r="455" spans="1:8" x14ac:dyDescent="0.25">
      <c r="A455" t="s">
        <v>144</v>
      </c>
      <c r="B455">
        <v>81533</v>
      </c>
      <c r="C455" s="2">
        <v>54.41</v>
      </c>
      <c r="D455" s="1">
        <v>43549</v>
      </c>
      <c r="E455" t="str">
        <f>"201903197970"</f>
        <v>201903197970</v>
      </c>
      <c r="F455" t="str">
        <f>"INDIGENT HEALTH"</f>
        <v>INDIGENT HEALTH</v>
      </c>
      <c r="G455" s="2">
        <v>54.41</v>
      </c>
      <c r="H455" t="str">
        <f>"INDIGENT HEALTH"</f>
        <v>INDIGENT HEALTH</v>
      </c>
    </row>
    <row r="456" spans="1:8" x14ac:dyDescent="0.25">
      <c r="A456" t="s">
        <v>145</v>
      </c>
      <c r="B456">
        <v>81284</v>
      </c>
      <c r="C456" s="2">
        <v>230.79</v>
      </c>
      <c r="D456" s="1">
        <v>43535</v>
      </c>
      <c r="E456" t="str">
        <f>"20805858"</f>
        <v>20805858</v>
      </c>
      <c r="F456" t="str">
        <f>"ACCT#80975-002/PCT#4"</f>
        <v>ACCT#80975-002/PCT#4</v>
      </c>
      <c r="G456" s="2">
        <v>120.62</v>
      </c>
      <c r="H456" t="str">
        <f>"ACCT#80975-002/PCT#4"</f>
        <v>ACCT#80975-002/PCT#4</v>
      </c>
    </row>
    <row r="457" spans="1:8" x14ac:dyDescent="0.25">
      <c r="E457" t="str">
        <f>"21084188"</f>
        <v>21084188</v>
      </c>
      <c r="F457" t="str">
        <f>"ACCT#80975-001/PCT#3"</f>
        <v>ACCT#80975-001/PCT#3</v>
      </c>
      <c r="G457" s="2">
        <v>110.17</v>
      </c>
      <c r="H457" t="str">
        <f>"ACCT#80975-001/PCT#3"</f>
        <v>ACCT#80975-001/PCT#3</v>
      </c>
    </row>
    <row r="458" spans="1:8" x14ac:dyDescent="0.25">
      <c r="A458" t="s">
        <v>145</v>
      </c>
      <c r="B458">
        <v>81534</v>
      </c>
      <c r="C458" s="2">
        <v>420.21</v>
      </c>
      <c r="D458" s="1">
        <v>43549</v>
      </c>
      <c r="E458" t="str">
        <f>"21860649"</f>
        <v>21860649</v>
      </c>
      <c r="F458" t="str">
        <f>"ACCT#80975-002/PCT#4"</f>
        <v>ACCT#80975-002/PCT#4</v>
      </c>
      <c r="G458" s="2">
        <v>285.05</v>
      </c>
      <c r="H458" t="str">
        <f>"ACCT#80975-002/PCT#4"</f>
        <v>ACCT#80975-002/PCT#4</v>
      </c>
    </row>
    <row r="459" spans="1:8" x14ac:dyDescent="0.25">
      <c r="E459" t="str">
        <f>"22323010"</f>
        <v>22323010</v>
      </c>
      <c r="F459" t="str">
        <f>"ACCT#80975-001/PCT#3"</f>
        <v>ACCT#80975-001/PCT#3</v>
      </c>
      <c r="G459" s="2">
        <v>35.86</v>
      </c>
      <c r="H459" t="str">
        <f>"ACCT#80975-001/PCT#3"</f>
        <v>ACCT#80975-001/PCT#3</v>
      </c>
    </row>
    <row r="460" spans="1:8" x14ac:dyDescent="0.25">
      <c r="E460" t="str">
        <f>"22580887"</f>
        <v>22580887</v>
      </c>
      <c r="F460" t="str">
        <f>"ACCT#80975-001/STUD/PCT#3"</f>
        <v>ACCT#80975-001/STUD/PCT#3</v>
      </c>
      <c r="G460" s="2">
        <v>99.3</v>
      </c>
      <c r="H460" t="str">
        <f>"ACCT#80975-001/STUD/PCT#3"</f>
        <v>ACCT#80975-001/STUD/PCT#3</v>
      </c>
    </row>
    <row r="461" spans="1:8" x14ac:dyDescent="0.25">
      <c r="A461" t="s">
        <v>146</v>
      </c>
      <c r="B461">
        <v>557</v>
      </c>
      <c r="C461" s="2">
        <v>625</v>
      </c>
      <c r="D461" s="1">
        <v>43536</v>
      </c>
      <c r="E461" t="str">
        <f>"201903057694"</f>
        <v>201903057694</v>
      </c>
      <c r="F461" t="str">
        <f>"56 972"</f>
        <v>56 972</v>
      </c>
      <c r="G461" s="2">
        <v>250</v>
      </c>
      <c r="H461" t="str">
        <f>"56 972"</f>
        <v>56 972</v>
      </c>
    </row>
    <row r="462" spans="1:8" x14ac:dyDescent="0.25">
      <c r="E462" t="str">
        <f>"201903057695"</f>
        <v>201903057695</v>
      </c>
      <c r="F462" t="str">
        <f>"55 063  56 675"</f>
        <v>55 063  56 675</v>
      </c>
      <c r="G462" s="2">
        <v>375</v>
      </c>
      <c r="H462" t="str">
        <f>"55 063  56 675"</f>
        <v>55 063  56 675</v>
      </c>
    </row>
    <row r="463" spans="1:8" x14ac:dyDescent="0.25">
      <c r="A463" t="s">
        <v>147</v>
      </c>
      <c r="B463">
        <v>604</v>
      </c>
      <c r="C463" s="2">
        <v>847.01</v>
      </c>
      <c r="D463" s="1">
        <v>43550</v>
      </c>
      <c r="E463" t="str">
        <f>"201903187923"</f>
        <v>201903187923</v>
      </c>
      <c r="F463" t="str">
        <f>"REIMBURSE PARKING FEES"</f>
        <v>REIMBURSE PARKING FEES</v>
      </c>
      <c r="G463" s="2">
        <v>40</v>
      </c>
      <c r="H463" t="str">
        <f>"REIMBURSE PARKING FEES"</f>
        <v>REIMBURSE PARKING FEES</v>
      </c>
    </row>
    <row r="464" spans="1:8" x14ac:dyDescent="0.25">
      <c r="E464" t="str">
        <f>"201903187924"</f>
        <v>201903187924</v>
      </c>
      <c r="F464" t="str">
        <f>"REIMBURSE PARKING"</f>
        <v>REIMBURSE PARKING</v>
      </c>
      <c r="G464" s="2">
        <v>65</v>
      </c>
      <c r="H464" t="str">
        <f>"REIMBURSE PARKING"</f>
        <v>REIMBURSE PARKING</v>
      </c>
    </row>
    <row r="465" spans="1:8" x14ac:dyDescent="0.25">
      <c r="E465" t="str">
        <f>"201903187925"</f>
        <v>201903187925</v>
      </c>
      <c r="F465" t="str">
        <f>"REIMBURSE POSTAGE/PARKING"</f>
        <v>REIMBURSE POSTAGE/PARKING</v>
      </c>
      <c r="G465" s="2">
        <v>27.41</v>
      </c>
      <c r="H465" t="str">
        <f>"REIMBURSE POSTAGE/PARKING"</f>
        <v>REIMBURSE POSTAGE/PARKING</v>
      </c>
    </row>
    <row r="466" spans="1:8" x14ac:dyDescent="0.25">
      <c r="E466" t="str">
        <f>"201903187926"</f>
        <v>201903187926</v>
      </c>
      <c r="F466" t="str">
        <f>"REIMBURSE MILEAGE"</f>
        <v>REIMBURSE MILEAGE</v>
      </c>
      <c r="G466" s="2">
        <v>321.32</v>
      </c>
      <c r="H466" t="str">
        <f>"REIMBURSE MILEAGE"</f>
        <v>REIMBURSE MILEAGE</v>
      </c>
    </row>
    <row r="467" spans="1:8" x14ac:dyDescent="0.25">
      <c r="E467" t="str">
        <f>"201903187927"</f>
        <v>201903187927</v>
      </c>
      <c r="F467" t="str">
        <f>"REIMBURSE MILEAGE"</f>
        <v>REIMBURSE MILEAGE</v>
      </c>
      <c r="G467" s="2">
        <v>328.28</v>
      </c>
      <c r="H467" t="str">
        <f>"REIMBURSE MILEAGE"</f>
        <v>REIMBURSE MILEAGE</v>
      </c>
    </row>
    <row r="468" spans="1:8" x14ac:dyDescent="0.25">
      <c r="E468" t="str">
        <f>"201903197945"</f>
        <v>201903197945</v>
      </c>
      <c r="F468" t="str">
        <f>"PER DIEM"</f>
        <v>PER DIEM</v>
      </c>
      <c r="G468" s="2">
        <v>35</v>
      </c>
      <c r="H468" t="str">
        <f>"PER DIEM"</f>
        <v>PER DIEM</v>
      </c>
    </row>
    <row r="469" spans="1:8" x14ac:dyDescent="0.25">
      <c r="E469" t="str">
        <f>"201903197946"</f>
        <v>201903197946</v>
      </c>
      <c r="F469" t="str">
        <f>"TRAVEL ADVANCE - PER DIEM"</f>
        <v>TRAVEL ADVANCE - PER DIEM</v>
      </c>
      <c r="G469" s="2">
        <v>30</v>
      </c>
      <c r="H469" t="str">
        <f>"TRAVEL ADVANCE - PER DIEM"</f>
        <v>TRAVEL ADVANCE - PER DIEM</v>
      </c>
    </row>
    <row r="470" spans="1:8" x14ac:dyDescent="0.25">
      <c r="A470" t="s">
        <v>148</v>
      </c>
      <c r="B470">
        <v>552</v>
      </c>
      <c r="C470" s="2">
        <v>140.97</v>
      </c>
      <c r="D470" s="1">
        <v>43536</v>
      </c>
      <c r="E470" t="str">
        <f>"AP393262"</f>
        <v>AP393262</v>
      </c>
      <c r="F470" t="str">
        <f>"ACCT#3326/PCT#4"</f>
        <v>ACCT#3326/PCT#4</v>
      </c>
      <c r="G470" s="2">
        <v>-100.94</v>
      </c>
      <c r="H470" t="str">
        <f>"ACCT#3326/PCT#4"</f>
        <v>ACCT#3326/PCT#4</v>
      </c>
    </row>
    <row r="471" spans="1:8" x14ac:dyDescent="0.25">
      <c r="E471" t="str">
        <f>"AP393190"</f>
        <v>AP393190</v>
      </c>
      <c r="F471" t="str">
        <f>"ACCT#3326/PCT#4"</f>
        <v>ACCT#3326/PCT#4</v>
      </c>
      <c r="G471" s="2">
        <v>205.23</v>
      </c>
      <c r="H471" t="str">
        <f>"ACCT#3326/PCT#4"</f>
        <v>ACCT#3326/PCT#4</v>
      </c>
    </row>
    <row r="472" spans="1:8" x14ac:dyDescent="0.25">
      <c r="E472" t="str">
        <f>"AP393506"</f>
        <v>AP393506</v>
      </c>
      <c r="F472" t="str">
        <f>"ACCT#3325/PCT#2"</f>
        <v>ACCT#3325/PCT#2</v>
      </c>
      <c r="G472" s="2">
        <v>36.68</v>
      </c>
      <c r="H472" t="str">
        <f>"ACCT#3325/PCT#2"</f>
        <v>ACCT#3325/PCT#2</v>
      </c>
    </row>
    <row r="473" spans="1:8" x14ac:dyDescent="0.25">
      <c r="A473" t="s">
        <v>148</v>
      </c>
      <c r="B473">
        <v>606</v>
      </c>
      <c r="C473" s="2">
        <v>2209.66</v>
      </c>
      <c r="D473" s="1">
        <v>43550</v>
      </c>
      <c r="E473" t="str">
        <f>"AP394286"</f>
        <v>AP394286</v>
      </c>
      <c r="F473" t="str">
        <f>"ACCT#33326/LAMP MARKER/PCT#4"</f>
        <v>ACCT#33326/LAMP MARKER/PCT#4</v>
      </c>
      <c r="G473" s="2">
        <v>38.619999999999997</v>
      </c>
      <c r="H473" t="str">
        <f>"ACCT#33326/LAMP MARKER/PCT#4"</f>
        <v>ACCT#33326/LAMP MARKER/PCT#4</v>
      </c>
    </row>
    <row r="474" spans="1:8" x14ac:dyDescent="0.25">
      <c r="E474" t="str">
        <f>"AP394623"</f>
        <v>AP394623</v>
      </c>
      <c r="F474" t="str">
        <f>"ACCT#3326/RADIATOR/ELBOW/P4"</f>
        <v>ACCT#3326/RADIATOR/ELBOW/P4</v>
      </c>
      <c r="G474" s="2">
        <v>2020.64</v>
      </c>
      <c r="H474" t="str">
        <f>"ACCT#3326/RADIATOR/ELBOW/P4"</f>
        <v>ACCT#3326/RADIATOR/ELBOW/P4</v>
      </c>
    </row>
    <row r="475" spans="1:8" x14ac:dyDescent="0.25">
      <c r="E475" t="str">
        <f>"AP394658"</f>
        <v>AP394658</v>
      </c>
      <c r="F475" t="str">
        <f>"ACCT#3326/ANTIFREEZE/PCT#4"</f>
        <v>ACCT#3326/ANTIFREEZE/PCT#4</v>
      </c>
      <c r="G475" s="2">
        <v>150.4</v>
      </c>
      <c r="H475" t="str">
        <f>"ACCT#3326/ANTIFREEZE/PCT#4"</f>
        <v>ACCT#3326/ANTIFREEZE/PCT#4</v>
      </c>
    </row>
    <row r="476" spans="1:8" x14ac:dyDescent="0.25">
      <c r="A476" t="s">
        <v>149</v>
      </c>
      <c r="B476">
        <v>558</v>
      </c>
      <c r="C476" s="2">
        <v>730.12</v>
      </c>
      <c r="D476" s="1">
        <v>43536</v>
      </c>
      <c r="E476" t="str">
        <f>"107517"</f>
        <v>107517</v>
      </c>
      <c r="F476" t="str">
        <f>"PRINTING/AUDITOR'S OFFICE"</f>
        <v>PRINTING/AUDITOR'S OFFICE</v>
      </c>
      <c r="G476" s="2">
        <v>457.02</v>
      </c>
      <c r="H476" t="str">
        <f>"PRINTING/AUDITOR'S OFFICE"</f>
        <v>PRINTING/AUDITOR'S OFFICE</v>
      </c>
    </row>
    <row r="477" spans="1:8" x14ac:dyDescent="0.25">
      <c r="E477" t="str">
        <f>"108005"</f>
        <v>108005</v>
      </c>
      <c r="F477" t="str">
        <f>"ENVELOPES/DISTRICT CLERK"</f>
        <v>ENVELOPES/DISTRICT CLERK</v>
      </c>
      <c r="G477" s="2">
        <v>273.10000000000002</v>
      </c>
      <c r="H477" t="str">
        <f>"ENVELOPES/DISTRICT CLERK"</f>
        <v>ENVELOPES/DISTRICT CLERK</v>
      </c>
    </row>
    <row r="478" spans="1:8" x14ac:dyDescent="0.25">
      <c r="A478" t="s">
        <v>150</v>
      </c>
      <c r="B478">
        <v>81535</v>
      </c>
      <c r="C478" s="2">
        <v>1495.45</v>
      </c>
      <c r="D478" s="1">
        <v>43549</v>
      </c>
      <c r="E478" t="str">
        <f>"012018470"</f>
        <v>012018470</v>
      </c>
      <c r="F478" t="str">
        <f>"INV 012018470"</f>
        <v>INV 012018470</v>
      </c>
      <c r="G478" s="2">
        <v>161.5</v>
      </c>
      <c r="H478" t="str">
        <f>"INV 012018470"</f>
        <v>INV 012018470</v>
      </c>
    </row>
    <row r="479" spans="1:8" x14ac:dyDescent="0.25">
      <c r="E479" t="str">
        <f>"012157583"</f>
        <v>012157583</v>
      </c>
      <c r="F479" t="str">
        <f>"INV 012157583"</f>
        <v>INV 012157583</v>
      </c>
      <c r="G479" s="2">
        <v>89.5</v>
      </c>
      <c r="H479" t="str">
        <f>"INV 012157583"</f>
        <v>INV 012157583</v>
      </c>
    </row>
    <row r="480" spans="1:8" x14ac:dyDescent="0.25">
      <c r="E480" t="str">
        <f>"012170511 01215766"</f>
        <v>012170511 01215766</v>
      </c>
      <c r="F480" t="str">
        <f>"INV 012170511"</f>
        <v>INV 012170511</v>
      </c>
      <c r="G480" s="2">
        <v>560.54999999999995</v>
      </c>
      <c r="H480" t="str">
        <f>"INV 012170511"</f>
        <v>INV 012170511</v>
      </c>
    </row>
    <row r="481" spans="1:8" x14ac:dyDescent="0.25">
      <c r="E481" t="str">
        <f>""</f>
        <v/>
      </c>
      <c r="F481" t="str">
        <f>""</f>
        <v/>
      </c>
      <c r="H481" t="str">
        <f>"INV 012157666"</f>
        <v>INV 012157666</v>
      </c>
    </row>
    <row r="482" spans="1:8" x14ac:dyDescent="0.25">
      <c r="E482" t="str">
        <f>"012183190"</f>
        <v>012183190</v>
      </c>
      <c r="F482" t="str">
        <f>"INV 012183190"</f>
        <v>INV 012183190</v>
      </c>
      <c r="G482" s="2">
        <v>48</v>
      </c>
      <c r="H482" t="str">
        <f>"INV 012183190"</f>
        <v>INV 012183190</v>
      </c>
    </row>
    <row r="483" spans="1:8" x14ac:dyDescent="0.25">
      <c r="E483" t="str">
        <f>"012195357 01213500"</f>
        <v>012195357 01213500</v>
      </c>
      <c r="F483" t="str">
        <f>"INV 012195357/012135006/0"</f>
        <v>INV 012195357/012135006/0</v>
      </c>
      <c r="G483" s="2">
        <v>446.7</v>
      </c>
      <c r="H483" t="str">
        <f>"INV 012195357"</f>
        <v>INV 012195357</v>
      </c>
    </row>
    <row r="484" spans="1:8" x14ac:dyDescent="0.25">
      <c r="E484" t="str">
        <f>""</f>
        <v/>
      </c>
      <c r="F484" t="str">
        <f>""</f>
        <v/>
      </c>
      <c r="H484" t="str">
        <f>"INV 012135006"</f>
        <v>INV 012135006</v>
      </c>
    </row>
    <row r="485" spans="1:8" x14ac:dyDescent="0.25">
      <c r="E485" t="str">
        <f>""</f>
        <v/>
      </c>
      <c r="F485" t="str">
        <f>""</f>
        <v/>
      </c>
      <c r="H485" t="str">
        <f>"INV 012135028"</f>
        <v>INV 012135028</v>
      </c>
    </row>
    <row r="486" spans="1:8" x14ac:dyDescent="0.25">
      <c r="E486" t="str">
        <f>"012195391 01219540"</f>
        <v>012195391 01219540</v>
      </c>
      <c r="F486" t="str">
        <f>"INV 012195391/012195401"</f>
        <v>INV 012195391/012195401</v>
      </c>
      <c r="G486" s="2">
        <v>189.2</v>
      </c>
      <c r="H486" t="str">
        <f>"INV 012195391"</f>
        <v>INV 012195391</v>
      </c>
    </row>
    <row r="487" spans="1:8" x14ac:dyDescent="0.25">
      <c r="E487" t="str">
        <f>""</f>
        <v/>
      </c>
      <c r="F487" t="str">
        <f>""</f>
        <v/>
      </c>
      <c r="H487" t="str">
        <f>"INV 012195401"</f>
        <v>INV 012195401</v>
      </c>
    </row>
    <row r="488" spans="1:8" x14ac:dyDescent="0.25">
      <c r="A488" t="s">
        <v>151</v>
      </c>
      <c r="B488">
        <v>569</v>
      </c>
      <c r="C488" s="2">
        <v>85.79</v>
      </c>
      <c r="D488" s="1">
        <v>43536</v>
      </c>
      <c r="E488" t="str">
        <f>"N57392"</f>
        <v>N57392</v>
      </c>
      <c r="F488" t="str">
        <f>"Inv# N57392"</f>
        <v>Inv# N57392</v>
      </c>
      <c r="G488" s="2">
        <v>85.79</v>
      </c>
      <c r="H488" t="str">
        <f>"Inv# N57392"</f>
        <v>Inv# N57392</v>
      </c>
    </row>
    <row r="489" spans="1:8" x14ac:dyDescent="0.25">
      <c r="A489" t="s">
        <v>152</v>
      </c>
      <c r="B489">
        <v>81536</v>
      </c>
      <c r="C489" s="2">
        <v>390</v>
      </c>
      <c r="D489" s="1">
        <v>43549</v>
      </c>
      <c r="E489" t="str">
        <f>"201903147902"</f>
        <v>201903147902</v>
      </c>
      <c r="F489" t="str">
        <f>"GCAT CONF REG-J. LUCERO"</f>
        <v>GCAT CONF REG-J. LUCERO</v>
      </c>
      <c r="G489" s="2">
        <v>195</v>
      </c>
      <c r="H489" t="str">
        <f>"GCAT CONF REG-J. LUCERO"</f>
        <v>GCAT CONF REG-J. LUCERO</v>
      </c>
    </row>
    <row r="490" spans="1:8" x14ac:dyDescent="0.25">
      <c r="E490" t="str">
        <f>"201903147903"</f>
        <v>201903147903</v>
      </c>
      <c r="F490" t="str">
        <f>"GCAT CONF REG-M. BORREGO"</f>
        <v>GCAT CONF REG-M. BORREGO</v>
      </c>
      <c r="G490" s="2">
        <v>195</v>
      </c>
      <c r="H490" t="str">
        <f>"GCAT CONF REG-M. BORREGO"</f>
        <v>GCAT CONF REG-M. BORREGO</v>
      </c>
    </row>
    <row r="491" spans="1:8" x14ac:dyDescent="0.25">
      <c r="A491" t="s">
        <v>153</v>
      </c>
      <c r="B491">
        <v>81537</v>
      </c>
      <c r="C491" s="2">
        <v>75</v>
      </c>
      <c r="D491" s="1">
        <v>43549</v>
      </c>
      <c r="E491" t="str">
        <f>"201903208043"</f>
        <v>201903208043</v>
      </c>
      <c r="F491" t="str">
        <f>"FERAL HOGS"</f>
        <v>FERAL HOGS</v>
      </c>
      <c r="G491" s="2">
        <v>75</v>
      </c>
      <c r="H491" t="str">
        <f>"FERAL HOGS"</f>
        <v>FERAL HOGS</v>
      </c>
    </row>
    <row r="492" spans="1:8" x14ac:dyDescent="0.25">
      <c r="A492" t="s">
        <v>154</v>
      </c>
      <c r="B492">
        <v>81538</v>
      </c>
      <c r="C492" s="2">
        <v>1100</v>
      </c>
      <c r="D492" s="1">
        <v>43549</v>
      </c>
      <c r="E492" t="str">
        <f>"1047"</f>
        <v>1047</v>
      </c>
      <c r="F492" t="str">
        <f>"TRANSPORT-J. MCDONALD"</f>
        <v>TRANSPORT-J. MCDONALD</v>
      </c>
      <c r="G492" s="2">
        <v>350</v>
      </c>
      <c r="H492" t="str">
        <f>"TRANSPORT-J. MCDONALD"</f>
        <v>TRANSPORT-J. MCDONALD</v>
      </c>
    </row>
    <row r="493" spans="1:8" x14ac:dyDescent="0.25">
      <c r="E493" t="str">
        <f>"1048"</f>
        <v>1048</v>
      </c>
      <c r="F493" t="str">
        <f>"TRANSPORT-207 FLINT RIDGE ST"</f>
        <v>TRANSPORT-207 FLINT RIDGE ST</v>
      </c>
      <c r="G493" s="2">
        <v>750</v>
      </c>
      <c r="H493" t="str">
        <f>"TRANSPORT-207 FLINT RIDGE ST"</f>
        <v>TRANSPORT-207 FLINT RIDGE ST</v>
      </c>
    </row>
    <row r="494" spans="1:8" x14ac:dyDescent="0.25">
      <c r="A494" t="s">
        <v>155</v>
      </c>
      <c r="B494">
        <v>81539</v>
      </c>
      <c r="C494" s="2">
        <v>705.92</v>
      </c>
      <c r="D494" s="1">
        <v>43549</v>
      </c>
      <c r="E494" t="str">
        <f>"86202"</f>
        <v>86202</v>
      </c>
      <c r="F494" t="str">
        <f>"INV 86202"</f>
        <v>INV 86202</v>
      </c>
      <c r="G494" s="2">
        <v>705.92</v>
      </c>
      <c r="H494" t="str">
        <f>"INV 86202"</f>
        <v>INV 86202</v>
      </c>
    </row>
    <row r="495" spans="1:8" x14ac:dyDescent="0.25">
      <c r="A495" t="s">
        <v>156</v>
      </c>
      <c r="B495">
        <v>81285</v>
      </c>
      <c r="C495" s="2">
        <v>505</v>
      </c>
      <c r="D495" s="1">
        <v>43535</v>
      </c>
      <c r="E495" t="str">
        <f>"201903067845"</f>
        <v>201903067845</v>
      </c>
      <c r="F495" t="str">
        <f>"MEMBERSHIP#300142134/BASTROP C"</f>
        <v>MEMBERSHIP#300142134/BASTROP C</v>
      </c>
      <c r="G495" s="2">
        <v>505</v>
      </c>
      <c r="H495" t="str">
        <f>"MEMBERSHIP#300142134/BASTROP C"</f>
        <v>MEMBERSHIP#300142134/BASTROP C</v>
      </c>
    </row>
    <row r="496" spans="1:8" x14ac:dyDescent="0.25">
      <c r="A496" t="s">
        <v>157</v>
      </c>
      <c r="B496">
        <v>81540</v>
      </c>
      <c r="C496" s="2">
        <v>6335</v>
      </c>
      <c r="D496" s="1">
        <v>43549</v>
      </c>
      <c r="E496" t="str">
        <f>"5"</f>
        <v>5</v>
      </c>
      <c r="F496" t="str">
        <f>"EXPERT SVCS 02/01-02/28"</f>
        <v>EXPERT SVCS 02/01-02/28</v>
      </c>
      <c r="G496" s="2">
        <v>6335</v>
      </c>
      <c r="H496" t="str">
        <f>"EXPERT SVCS 02/01-02/28"</f>
        <v>EXPERT SVCS 02/01-02/28</v>
      </c>
    </row>
    <row r="497" spans="1:8" x14ac:dyDescent="0.25">
      <c r="A497" t="s">
        <v>158</v>
      </c>
      <c r="B497">
        <v>81541</v>
      </c>
      <c r="C497" s="2">
        <v>140</v>
      </c>
      <c r="D497" s="1">
        <v>43549</v>
      </c>
      <c r="E497" t="str">
        <f>"201903197989"</f>
        <v>201903197989</v>
      </c>
      <c r="F497" t="str">
        <f>"TRAINING - MARK GARCIA"</f>
        <v>TRAINING - MARK GARCIA</v>
      </c>
      <c r="G497" s="2">
        <v>140</v>
      </c>
      <c r="H497" t="str">
        <f>"TRAINING"</f>
        <v>TRAINING</v>
      </c>
    </row>
    <row r="498" spans="1:8" x14ac:dyDescent="0.25">
      <c r="A498" t="s">
        <v>159</v>
      </c>
      <c r="B498">
        <v>568</v>
      </c>
      <c r="C498" s="2">
        <v>1239.2</v>
      </c>
      <c r="D498" s="1">
        <v>43536</v>
      </c>
      <c r="E498" t="str">
        <f>"1630250"</f>
        <v>1630250</v>
      </c>
      <c r="F498" t="str">
        <f>"Inv# 1630250"</f>
        <v>Inv# 1630250</v>
      </c>
      <c r="G498" s="2">
        <v>1239.2</v>
      </c>
      <c r="H498" t="str">
        <f>"Inv# 1630250"</f>
        <v>Inv# 1630250</v>
      </c>
    </row>
    <row r="499" spans="1:8" x14ac:dyDescent="0.25">
      <c r="A499" t="s">
        <v>160</v>
      </c>
      <c r="B499">
        <v>618</v>
      </c>
      <c r="C499" s="2">
        <v>85</v>
      </c>
      <c r="D499" s="1">
        <v>43550</v>
      </c>
      <c r="E499" t="str">
        <f>"844257"</f>
        <v>844257</v>
      </c>
      <c r="F499" t="str">
        <f>"ACCT#41985/PCT#3"</f>
        <v>ACCT#41985/PCT#3</v>
      </c>
      <c r="G499" s="2">
        <v>85</v>
      </c>
      <c r="H499" t="str">
        <f>"ACCT#41985/PCT#3"</f>
        <v>ACCT#41985/PCT#3</v>
      </c>
    </row>
    <row r="500" spans="1:8" x14ac:dyDescent="0.25">
      <c r="A500" t="s">
        <v>161</v>
      </c>
      <c r="B500">
        <v>81286</v>
      </c>
      <c r="C500" s="2">
        <v>10569.85</v>
      </c>
      <c r="D500" s="1">
        <v>43535</v>
      </c>
      <c r="E500" t="str">
        <f>"00020951"</f>
        <v>00020951</v>
      </c>
      <c r="F500" t="str">
        <f>"PROJ:BASTROP CO/2016 MEM DAY F"</f>
        <v>PROJ:BASTROP CO/2016 MEM DAY F</v>
      </c>
      <c r="G500" s="2">
        <v>10569.85</v>
      </c>
      <c r="H500" t="str">
        <f>"PROJ:BASTROP CO/2016 MEM DAY F"</f>
        <v>PROJ:BASTROP CO/2016 MEM DAY F</v>
      </c>
    </row>
    <row r="501" spans="1:8" x14ac:dyDescent="0.25">
      <c r="A501" t="s">
        <v>161</v>
      </c>
      <c r="B501">
        <v>81542</v>
      </c>
      <c r="C501" s="2">
        <v>34286.660000000003</v>
      </c>
      <c r="D501" s="1">
        <v>43549</v>
      </c>
      <c r="E501" t="str">
        <f>"00021831"</f>
        <v>00021831</v>
      </c>
      <c r="F501" t="str">
        <f>"PROJ#032285.004/PCT#3"</f>
        <v>PROJ#032285.004/PCT#3</v>
      </c>
      <c r="G501" s="2">
        <v>7931.63</v>
      </c>
      <c r="H501" t="str">
        <f>"PROJ#032285.004/PCT#3"</f>
        <v>PROJ#032285.004/PCT#3</v>
      </c>
    </row>
    <row r="502" spans="1:8" x14ac:dyDescent="0.25">
      <c r="E502" t="str">
        <f>"00021832"</f>
        <v>00021832</v>
      </c>
      <c r="F502" t="str">
        <f>"PROJ#032285.005"</f>
        <v>PROJ#032285.005</v>
      </c>
      <c r="G502" s="2">
        <v>7599.5</v>
      </c>
      <c r="H502" t="str">
        <f>"PROJ#032285.005"</f>
        <v>PROJ#032285.005</v>
      </c>
    </row>
    <row r="503" spans="1:8" x14ac:dyDescent="0.25">
      <c r="E503" t="str">
        <f>"00021834"</f>
        <v>00021834</v>
      </c>
      <c r="F503" t="str">
        <f>"PROJ#032318.003"</f>
        <v>PROJ#032318.003</v>
      </c>
      <c r="G503" s="2">
        <v>18755.53</v>
      </c>
      <c r="H503" t="str">
        <f>"PROJ#032318.003"</f>
        <v>PROJ#032318.003</v>
      </c>
    </row>
    <row r="504" spans="1:8" x14ac:dyDescent="0.25">
      <c r="A504" t="s">
        <v>162</v>
      </c>
      <c r="B504">
        <v>81543</v>
      </c>
      <c r="C504" s="2">
        <v>160.25</v>
      </c>
      <c r="D504" s="1">
        <v>43549</v>
      </c>
      <c r="E504" t="str">
        <f>"201903208012"</f>
        <v>201903208012</v>
      </c>
      <c r="F504" t="str">
        <f>"MILEAGE REIMBURSEMENT"</f>
        <v>MILEAGE REIMBURSEMENT</v>
      </c>
      <c r="G504" s="2">
        <v>160.25</v>
      </c>
      <c r="H504" t="str">
        <f>"MILEAGE REIMBURSEMENT"</f>
        <v>MILEAGE REIMBURSEMENT</v>
      </c>
    </row>
    <row r="505" spans="1:8" x14ac:dyDescent="0.25">
      <c r="A505" t="s">
        <v>163</v>
      </c>
      <c r="B505">
        <v>81287</v>
      </c>
      <c r="C505" s="2">
        <v>450</v>
      </c>
      <c r="D505" s="1">
        <v>43535</v>
      </c>
      <c r="E505" t="str">
        <f>"201903067815"</f>
        <v>201903067815</v>
      </c>
      <c r="F505" t="str">
        <f>"CIT TRAINING"</f>
        <v>CIT TRAINING</v>
      </c>
      <c r="G505" s="2">
        <v>450</v>
      </c>
      <c r="H505" t="str">
        <f>"CIT J. BURNS"</f>
        <v>CIT J. BURNS</v>
      </c>
    </row>
    <row r="506" spans="1:8" x14ac:dyDescent="0.25">
      <c r="E506" t="str">
        <f>""</f>
        <v/>
      </c>
      <c r="F506" t="str">
        <f>""</f>
        <v/>
      </c>
      <c r="H506" t="str">
        <f>"CIT K. LITTLE"</f>
        <v>CIT K. LITTLE</v>
      </c>
    </row>
    <row r="507" spans="1:8" x14ac:dyDescent="0.25">
      <c r="E507" t="str">
        <f>""</f>
        <v/>
      </c>
      <c r="F507" t="str">
        <f>""</f>
        <v/>
      </c>
      <c r="H507" t="str">
        <f>"CIT C. DEZARN"</f>
        <v>CIT C. DEZARN</v>
      </c>
    </row>
    <row r="508" spans="1:8" x14ac:dyDescent="0.25">
      <c r="A508" t="s">
        <v>164</v>
      </c>
      <c r="B508">
        <v>81544</v>
      </c>
      <c r="C508" s="2">
        <v>75</v>
      </c>
      <c r="D508" s="1">
        <v>43549</v>
      </c>
      <c r="E508" t="str">
        <f>"043338"</f>
        <v>043338</v>
      </c>
      <c r="F508" t="str">
        <f>"BUSINESS CARDS"</f>
        <v>BUSINESS CARDS</v>
      </c>
      <c r="G508" s="2">
        <v>75</v>
      </c>
      <c r="H508" t="str">
        <f>"BUSINESS CARDS"</f>
        <v>BUSINESS CARDS</v>
      </c>
    </row>
    <row r="509" spans="1:8" x14ac:dyDescent="0.25">
      <c r="A509" t="s">
        <v>165</v>
      </c>
      <c r="B509">
        <v>81288</v>
      </c>
      <c r="C509" s="2">
        <v>209.57</v>
      </c>
      <c r="D509" s="1">
        <v>43535</v>
      </c>
      <c r="E509" t="str">
        <f>"PV46709"</f>
        <v>PV46709</v>
      </c>
      <c r="F509" t="str">
        <f>"ACCT#68930-000/ANIMAL SVCS"</f>
        <v>ACCT#68930-000/ANIMAL SVCS</v>
      </c>
      <c r="G509" s="2">
        <v>157.94</v>
      </c>
      <c r="H509" t="str">
        <f t="shared" ref="H509:H515" si="7">"ACCT#68930-000/ANIMAL SVCS"</f>
        <v>ACCT#68930-000/ANIMAL SVCS</v>
      </c>
    </row>
    <row r="510" spans="1:8" x14ac:dyDescent="0.25">
      <c r="E510" t="str">
        <f>"PV48623"</f>
        <v>PV48623</v>
      </c>
      <c r="F510" t="str">
        <f>"ACCT#68930-000/ANIMAL SVCS"</f>
        <v>ACCT#68930-000/ANIMAL SVCS</v>
      </c>
      <c r="G510" s="2">
        <v>51.63</v>
      </c>
      <c r="H510" t="str">
        <f t="shared" si="7"/>
        <v>ACCT#68930-000/ANIMAL SVCS</v>
      </c>
    </row>
    <row r="511" spans="1:8" x14ac:dyDescent="0.25">
      <c r="A511" t="s">
        <v>165</v>
      </c>
      <c r="B511">
        <v>81545</v>
      </c>
      <c r="C511" s="2">
        <v>858.11</v>
      </c>
      <c r="D511" s="1">
        <v>43549</v>
      </c>
      <c r="E511" t="str">
        <f>"PW73034"</f>
        <v>PW73034</v>
      </c>
      <c r="F511" t="str">
        <f>"ACCT#68930-000/ANIMAL SVCS"</f>
        <v>ACCT#68930-000/ANIMAL SVCS</v>
      </c>
      <c r="G511" s="2">
        <v>159.9</v>
      </c>
      <c r="H511" t="str">
        <f t="shared" si="7"/>
        <v>ACCT#68930-000/ANIMAL SVCS</v>
      </c>
    </row>
    <row r="512" spans="1:8" x14ac:dyDescent="0.25">
      <c r="E512" t="str">
        <f>"PY15364"</f>
        <v>PY15364</v>
      </c>
      <c r="F512" t="str">
        <f>"ACCT#68930-000/ANIMAL SVCS"</f>
        <v>ACCT#68930-000/ANIMAL SVCS</v>
      </c>
      <c r="G512" s="2">
        <v>293.56</v>
      </c>
      <c r="H512" t="str">
        <f t="shared" si="7"/>
        <v>ACCT#68930-000/ANIMAL SVCS</v>
      </c>
    </row>
    <row r="513" spans="1:9" x14ac:dyDescent="0.25">
      <c r="E513" t="str">
        <f>""</f>
        <v/>
      </c>
      <c r="F513" t="str">
        <f>""</f>
        <v/>
      </c>
      <c r="H513" t="str">
        <f t="shared" si="7"/>
        <v>ACCT#68930-000/ANIMAL SVCS</v>
      </c>
    </row>
    <row r="514" spans="1:9" x14ac:dyDescent="0.25">
      <c r="E514" t="str">
        <f>"PY19020"</f>
        <v>PY19020</v>
      </c>
      <c r="F514" t="str">
        <f>"ACCT#68930-000/ANIMAL SVCS"</f>
        <v>ACCT#68930-000/ANIMAL SVCS</v>
      </c>
      <c r="G514" s="2">
        <v>103.26</v>
      </c>
      <c r="H514" t="str">
        <f t="shared" si="7"/>
        <v>ACCT#68930-000/ANIMAL SVCS</v>
      </c>
    </row>
    <row r="515" spans="1:9" x14ac:dyDescent="0.25">
      <c r="E515" t="str">
        <f>"PY53431"</f>
        <v>PY53431</v>
      </c>
      <c r="F515" t="str">
        <f>"ACCT#68930-000/ANIMAL SVCS"</f>
        <v>ACCT#68930-000/ANIMAL SVCS</v>
      </c>
      <c r="G515" s="2">
        <v>301.39</v>
      </c>
      <c r="H515" t="str">
        <f t="shared" si="7"/>
        <v>ACCT#68930-000/ANIMAL SVCS</v>
      </c>
    </row>
    <row r="516" spans="1:9" x14ac:dyDescent="0.25">
      <c r="A516" t="s">
        <v>166</v>
      </c>
      <c r="B516">
        <v>81546</v>
      </c>
      <c r="C516" s="2">
        <v>100</v>
      </c>
      <c r="D516" s="1">
        <v>43549</v>
      </c>
      <c r="E516" t="str">
        <f>"201903208021"</f>
        <v>201903208021</v>
      </c>
      <c r="F516" t="str">
        <f>"FERAL HOGS"</f>
        <v>FERAL HOGS</v>
      </c>
      <c r="G516" s="2">
        <v>100</v>
      </c>
      <c r="H516" t="str">
        <f>"FERAL HOGS"</f>
        <v>FERAL HOGS</v>
      </c>
    </row>
    <row r="517" spans="1:9" x14ac:dyDescent="0.25">
      <c r="A517" t="s">
        <v>167</v>
      </c>
      <c r="B517">
        <v>81289</v>
      </c>
      <c r="C517" s="2">
        <v>100</v>
      </c>
      <c r="D517" s="1">
        <v>43535</v>
      </c>
      <c r="E517" t="s">
        <v>168</v>
      </c>
      <c r="F517" t="s">
        <v>169</v>
      </c>
      <c r="G517" s="2" t="str">
        <f>"RESTITUTION-MICHAEL FELTS"</f>
        <v>RESTITUTION-MICHAEL FELTS</v>
      </c>
      <c r="H517" t="str">
        <f>"210-0000"</f>
        <v>210-0000</v>
      </c>
      <c r="I517" t="str">
        <f>""</f>
        <v/>
      </c>
    </row>
    <row r="518" spans="1:9" x14ac:dyDescent="0.25">
      <c r="A518" t="s">
        <v>170</v>
      </c>
      <c r="B518">
        <v>610</v>
      </c>
      <c r="C518" s="2">
        <v>650</v>
      </c>
      <c r="D518" s="1">
        <v>43550</v>
      </c>
      <c r="E518" t="str">
        <f>"201903197955"</f>
        <v>201903197955</v>
      </c>
      <c r="F518" t="str">
        <f>"BASCOM L HODGES JR"</f>
        <v>BASCOM L HODGES JR</v>
      </c>
      <c r="G518" s="2">
        <v>650</v>
      </c>
      <c r="H518" t="str">
        <f>""</f>
        <v/>
      </c>
    </row>
    <row r="519" spans="1:9" x14ac:dyDescent="0.25">
      <c r="A519" t="s">
        <v>171</v>
      </c>
      <c r="B519">
        <v>81290</v>
      </c>
      <c r="C519" s="2">
        <v>600</v>
      </c>
      <c r="D519" s="1">
        <v>43535</v>
      </c>
      <c r="E519" t="str">
        <f>"201903057704"</f>
        <v>201903057704</v>
      </c>
      <c r="F519" t="str">
        <f>"56 538"</f>
        <v>56 538</v>
      </c>
      <c r="G519" s="2">
        <v>250</v>
      </c>
      <c r="H519" t="str">
        <f>"56 538"</f>
        <v>56 538</v>
      </c>
    </row>
    <row r="520" spans="1:9" x14ac:dyDescent="0.25">
      <c r="E520" t="str">
        <f>"201903057705"</f>
        <v>201903057705</v>
      </c>
      <c r="F520" t="str">
        <f>"56 400"</f>
        <v>56 400</v>
      </c>
      <c r="G520" s="2">
        <v>250</v>
      </c>
      <c r="H520" t="str">
        <f>"56 400"</f>
        <v>56 400</v>
      </c>
    </row>
    <row r="521" spans="1:9" x14ac:dyDescent="0.25">
      <c r="E521" t="str">
        <f>"201903057706"</f>
        <v>201903057706</v>
      </c>
      <c r="F521" t="str">
        <f>"05-9623"</f>
        <v>05-9623</v>
      </c>
      <c r="G521" s="2">
        <v>100</v>
      </c>
      <c r="H521" t="str">
        <f>"05-9623"</f>
        <v>05-9623</v>
      </c>
    </row>
    <row r="522" spans="1:9" x14ac:dyDescent="0.25">
      <c r="A522" t="s">
        <v>172</v>
      </c>
      <c r="B522">
        <v>81291</v>
      </c>
      <c r="C522" s="2">
        <v>2993.01</v>
      </c>
      <c r="D522" s="1">
        <v>43535</v>
      </c>
      <c r="E522" t="str">
        <f>"PIKA0010458"</f>
        <v>PIKA0010458</v>
      </c>
      <c r="F522" t="str">
        <f>"CUST#0129150/PCT#3"</f>
        <v>CUST#0129150/PCT#3</v>
      </c>
      <c r="G522" s="2">
        <v>68.959999999999994</v>
      </c>
      <c r="H522" t="str">
        <f>"CUST#0129150/PCT#3"</f>
        <v>CUST#0129150/PCT#3</v>
      </c>
    </row>
    <row r="523" spans="1:9" x14ac:dyDescent="0.25">
      <c r="E523" t="str">
        <f>"PIKP0082060"</f>
        <v>PIKP0082060</v>
      </c>
      <c r="F523" t="str">
        <f>"CUST#0129200/PCT#4"</f>
        <v>CUST#0129200/PCT#4</v>
      </c>
      <c r="G523" s="2">
        <v>44.09</v>
      </c>
      <c r="H523" t="str">
        <f>"CUST#0129200/PCT#4"</f>
        <v>CUST#0129200/PCT#4</v>
      </c>
    </row>
    <row r="524" spans="1:9" x14ac:dyDescent="0.25">
      <c r="E524" t="str">
        <f>"PIMA0304257"</f>
        <v>PIMA0304257</v>
      </c>
      <c r="F524" t="str">
        <f>"CUST#0129050/PCT#1"</f>
        <v>CUST#0129050/PCT#1</v>
      </c>
      <c r="G524" s="2">
        <v>95.32</v>
      </c>
      <c r="H524" t="str">
        <f>"CUST#0129050/PCT#1"</f>
        <v>CUST#0129050/PCT#1</v>
      </c>
    </row>
    <row r="525" spans="1:9" x14ac:dyDescent="0.25">
      <c r="E525" t="str">
        <f>"PIMP0298983"</f>
        <v>PIMP0298983</v>
      </c>
      <c r="F525" t="str">
        <f>"CUST#0129050/PCT#1"</f>
        <v>CUST#0129050/PCT#1</v>
      </c>
      <c r="G525" s="2">
        <v>2019.41</v>
      </c>
      <c r="H525" t="str">
        <f>"CUST#0129050/PCT#1"</f>
        <v>CUST#0129050/PCT#1</v>
      </c>
    </row>
    <row r="526" spans="1:9" x14ac:dyDescent="0.25">
      <c r="E526" t="str">
        <f>"PIMP0299195"</f>
        <v>PIMP0299195</v>
      </c>
      <c r="F526" t="str">
        <f>"CUST#0129200/PCT#4"</f>
        <v>CUST#0129200/PCT#4</v>
      </c>
      <c r="G526" s="2">
        <v>435.23</v>
      </c>
      <c r="H526" t="str">
        <f>"CUST#0129200/PCT#4"</f>
        <v>CUST#0129200/PCT#4</v>
      </c>
    </row>
    <row r="527" spans="1:9" x14ac:dyDescent="0.25">
      <c r="E527" t="str">
        <f>"WIMA0116516"</f>
        <v>WIMA0116516</v>
      </c>
      <c r="F527" t="str">
        <f>"CUST#0129150/PCT#3"</f>
        <v>CUST#0129150/PCT#3</v>
      </c>
      <c r="G527" s="2">
        <v>330</v>
      </c>
      <c r="H527" t="str">
        <f>"CUST#0129150/PCT#3"</f>
        <v>CUST#0129150/PCT#3</v>
      </c>
    </row>
    <row r="528" spans="1:9" x14ac:dyDescent="0.25">
      <c r="A528" t="s">
        <v>172</v>
      </c>
      <c r="B528">
        <v>81547</v>
      </c>
      <c r="C528" s="2">
        <v>936.53</v>
      </c>
      <c r="D528" s="1">
        <v>43549</v>
      </c>
      <c r="E528" t="str">
        <f>"201903207998"</f>
        <v>201903207998</v>
      </c>
      <c r="F528" t="str">
        <f>"CUST#0129050/TOOTH/PARTS/P1"</f>
        <v>CUST#0129050/TOOTH/PARTS/P1</v>
      </c>
      <c r="G528" s="2">
        <v>412.32</v>
      </c>
      <c r="H528" t="str">
        <f>"CUST#0129050/TOOTH/PARTS/P1"</f>
        <v>CUST#0129050/TOOTH/PARTS/P1</v>
      </c>
    </row>
    <row r="529" spans="1:8" x14ac:dyDescent="0.25">
      <c r="E529" t="str">
        <f>"PIG00020741"</f>
        <v>PIG00020741</v>
      </c>
      <c r="F529" t="str">
        <f>"CUST#0129050/PCT#1"</f>
        <v>CUST#0129050/PCT#1</v>
      </c>
      <c r="G529" s="2">
        <v>179.08</v>
      </c>
      <c r="H529" t="str">
        <f>"CUST#0129050/PCT#1"</f>
        <v>CUST#0129050/PCT#1</v>
      </c>
    </row>
    <row r="530" spans="1:8" x14ac:dyDescent="0.25">
      <c r="E530" t="str">
        <f>"PIKP0082401"</f>
        <v>PIKP0082401</v>
      </c>
      <c r="F530" t="str">
        <f>"CUST#0129150/PCT#3"</f>
        <v>CUST#0129150/PCT#3</v>
      </c>
      <c r="G530" s="2">
        <v>22.72</v>
      </c>
      <c r="H530" t="str">
        <f>"CUST#0129150/PCT#3"</f>
        <v>CUST#0129150/PCT#3</v>
      </c>
    </row>
    <row r="531" spans="1:8" x14ac:dyDescent="0.25">
      <c r="E531" t="str">
        <f>"PIKP0082579"</f>
        <v>PIKP0082579</v>
      </c>
      <c r="F531" t="str">
        <f>"CUST#0129150/VALVE/CORE CHG/P3"</f>
        <v>CUST#0129150/VALVE/CORE CHG/P3</v>
      </c>
      <c r="G531" s="2">
        <v>227.35</v>
      </c>
      <c r="H531" t="str">
        <f>"CUST#0129150/VALVE/CORE CHG/P3"</f>
        <v>CUST#0129150/VALVE/CORE CHG/P3</v>
      </c>
    </row>
    <row r="532" spans="1:8" x14ac:dyDescent="0.25">
      <c r="E532" t="str">
        <f>"PIMA0304812"</f>
        <v>PIMA0304812</v>
      </c>
      <c r="F532" t="str">
        <f>"CUST#0129150/PCT#3"</f>
        <v>CUST#0129150/PCT#3</v>
      </c>
      <c r="G532" s="2">
        <v>4.13</v>
      </c>
      <c r="H532" t="str">
        <f>"CUST#0129150/PCT#3"</f>
        <v>CUST#0129150/PCT#3</v>
      </c>
    </row>
    <row r="533" spans="1:8" x14ac:dyDescent="0.25">
      <c r="E533" t="str">
        <f>"PIMA0305029"</f>
        <v>PIMA0305029</v>
      </c>
      <c r="F533" t="str">
        <f>"CUST#0129150/ROD-VALVE/PCT#3"</f>
        <v>CUST#0129150/ROD-VALVE/PCT#3</v>
      </c>
      <c r="G533" s="2">
        <v>90.93</v>
      </c>
      <c r="H533" t="str">
        <f>"CUST#0129150/ROD-VALVE/PCT#3"</f>
        <v>CUST#0129150/ROD-VALVE/PCT#3</v>
      </c>
    </row>
    <row r="534" spans="1:8" x14ac:dyDescent="0.25">
      <c r="A534" t="s">
        <v>173</v>
      </c>
      <c r="B534">
        <v>81292</v>
      </c>
      <c r="C534" s="2">
        <v>4221.8599999999997</v>
      </c>
      <c r="D534" s="1">
        <v>43535</v>
      </c>
      <c r="E534" t="str">
        <f>"201903077874"</f>
        <v>201903077874</v>
      </c>
      <c r="F534" t="str">
        <f>"Acct# 3780"</f>
        <v>Acct# 3780</v>
      </c>
      <c r="G534" s="2">
        <v>4221.8599999999997</v>
      </c>
      <c r="H534" t="str">
        <f>"Inv# 5014901"</f>
        <v>Inv# 5014901</v>
      </c>
    </row>
    <row r="535" spans="1:8" x14ac:dyDescent="0.25">
      <c r="E535" t="str">
        <f>""</f>
        <v/>
      </c>
      <c r="F535" t="str">
        <f>""</f>
        <v/>
      </c>
      <c r="H535" t="str">
        <f>"Inv# 971392"</f>
        <v>Inv# 971392</v>
      </c>
    </row>
    <row r="536" spans="1:8" x14ac:dyDescent="0.25">
      <c r="E536" t="str">
        <f>""</f>
        <v/>
      </c>
      <c r="F536" t="str">
        <f>""</f>
        <v/>
      </c>
      <c r="H536" t="str">
        <f>"Inv# 152439"</f>
        <v>Inv# 152439</v>
      </c>
    </row>
    <row r="537" spans="1:8" x14ac:dyDescent="0.25">
      <c r="E537" t="str">
        <f>""</f>
        <v/>
      </c>
      <c r="F537" t="str">
        <f>""</f>
        <v/>
      </c>
      <c r="H537" t="str">
        <f>"Inv# 152447"</f>
        <v>Inv# 152447</v>
      </c>
    </row>
    <row r="538" spans="1:8" x14ac:dyDescent="0.25">
      <c r="E538" t="str">
        <f>""</f>
        <v/>
      </c>
      <c r="F538" t="str">
        <f>""</f>
        <v/>
      </c>
      <c r="H538" t="str">
        <f>"Inv# 7020065"</f>
        <v>Inv# 7020065</v>
      </c>
    </row>
    <row r="539" spans="1:8" x14ac:dyDescent="0.25">
      <c r="E539" t="str">
        <f>""</f>
        <v/>
      </c>
      <c r="F539" t="str">
        <f>""</f>
        <v/>
      </c>
      <c r="H539" t="str">
        <f>"Inv# 6020189"</f>
        <v>Inv# 6020189</v>
      </c>
    </row>
    <row r="540" spans="1:8" x14ac:dyDescent="0.25">
      <c r="E540" t="str">
        <f>""</f>
        <v/>
      </c>
      <c r="F540" t="str">
        <f>""</f>
        <v/>
      </c>
      <c r="H540" t="str">
        <f>"Inv# 5152319"</f>
        <v>Inv# 5152319</v>
      </c>
    </row>
    <row r="541" spans="1:8" x14ac:dyDescent="0.25">
      <c r="E541" t="str">
        <f>""</f>
        <v/>
      </c>
      <c r="F541" t="str">
        <f>""</f>
        <v/>
      </c>
      <c r="H541" t="str">
        <f>"Inv# 1152339"</f>
        <v>Inv# 1152339</v>
      </c>
    </row>
    <row r="542" spans="1:8" x14ac:dyDescent="0.25">
      <c r="E542" t="str">
        <f>""</f>
        <v/>
      </c>
      <c r="F542" t="str">
        <f>""</f>
        <v/>
      </c>
      <c r="H542" t="str">
        <f>"Inv# 1152339"</f>
        <v>Inv# 1152339</v>
      </c>
    </row>
    <row r="543" spans="1:8" x14ac:dyDescent="0.25">
      <c r="E543" t="str">
        <f>""</f>
        <v/>
      </c>
      <c r="F543" t="str">
        <f>""</f>
        <v/>
      </c>
      <c r="H543" t="str">
        <f>"Inv# 404917"</f>
        <v>Inv# 404917</v>
      </c>
    </row>
    <row r="544" spans="1:8" x14ac:dyDescent="0.25">
      <c r="E544" t="str">
        <f>""</f>
        <v/>
      </c>
      <c r="F544" t="str">
        <f>""</f>
        <v/>
      </c>
      <c r="H544" t="str">
        <f>"Inv# 4014917"</f>
        <v>Inv# 4014917</v>
      </c>
    </row>
    <row r="545" spans="5:8" x14ac:dyDescent="0.25">
      <c r="E545" t="str">
        <f>""</f>
        <v/>
      </c>
      <c r="F545" t="str">
        <f>""</f>
        <v/>
      </c>
      <c r="H545" t="str">
        <f>"Inv# 4024662"</f>
        <v>Inv# 4024662</v>
      </c>
    </row>
    <row r="546" spans="5:8" x14ac:dyDescent="0.25">
      <c r="E546" t="str">
        <f>""</f>
        <v/>
      </c>
      <c r="F546" t="str">
        <f>""</f>
        <v/>
      </c>
      <c r="H546" t="str">
        <f>"Inv# 3025760"</f>
        <v>Inv# 3025760</v>
      </c>
    </row>
    <row r="547" spans="5:8" x14ac:dyDescent="0.25">
      <c r="E547" t="str">
        <f>""</f>
        <v/>
      </c>
      <c r="F547" t="str">
        <f>""</f>
        <v/>
      </c>
      <c r="H547" t="str">
        <f>"Inv# 2091026"</f>
        <v>Inv# 2091026</v>
      </c>
    </row>
    <row r="548" spans="5:8" x14ac:dyDescent="0.25">
      <c r="E548" t="str">
        <f>""</f>
        <v/>
      </c>
      <c r="F548" t="str">
        <f>""</f>
        <v/>
      </c>
      <c r="H548" t="str">
        <f>"Inv# 2123353"</f>
        <v>Inv# 2123353</v>
      </c>
    </row>
    <row r="549" spans="5:8" x14ac:dyDescent="0.25">
      <c r="E549" t="str">
        <f>""</f>
        <v/>
      </c>
      <c r="F549" t="str">
        <f>""</f>
        <v/>
      </c>
      <c r="H549" t="str">
        <f>"Inv# 2142015"</f>
        <v>Inv# 2142015</v>
      </c>
    </row>
    <row r="550" spans="5:8" x14ac:dyDescent="0.25">
      <c r="E550" t="str">
        <f>""</f>
        <v/>
      </c>
      <c r="F550" t="str">
        <f>""</f>
        <v/>
      </c>
      <c r="H550" t="str">
        <f>"Inv# 2570270"</f>
        <v>Inv# 2570270</v>
      </c>
    </row>
    <row r="551" spans="5:8" x14ac:dyDescent="0.25">
      <c r="E551" t="str">
        <f>""</f>
        <v/>
      </c>
      <c r="F551" t="str">
        <f>""</f>
        <v/>
      </c>
      <c r="H551" t="str">
        <f>"Inv# 15767"</f>
        <v>Inv# 15767</v>
      </c>
    </row>
    <row r="552" spans="5:8" x14ac:dyDescent="0.25">
      <c r="E552" t="str">
        <f>""</f>
        <v/>
      </c>
      <c r="F552" t="str">
        <f>""</f>
        <v/>
      </c>
      <c r="H552" t="str">
        <f>"Inv# 7020080"</f>
        <v>Inv# 7020080</v>
      </c>
    </row>
    <row r="553" spans="5:8" x14ac:dyDescent="0.25">
      <c r="E553" t="str">
        <f>""</f>
        <v/>
      </c>
      <c r="F553" t="str">
        <f>""</f>
        <v/>
      </c>
      <c r="H553" t="str">
        <f>"Inv# 4102775"</f>
        <v>Inv# 4102775</v>
      </c>
    </row>
    <row r="554" spans="5:8" x14ac:dyDescent="0.25">
      <c r="E554" t="str">
        <f>""</f>
        <v/>
      </c>
      <c r="F554" t="str">
        <f>""</f>
        <v/>
      </c>
      <c r="H554" t="str">
        <f>"Inv# 2091025"</f>
        <v>Inv# 2091025</v>
      </c>
    </row>
    <row r="555" spans="5:8" x14ac:dyDescent="0.25">
      <c r="E555" t="str">
        <f>""</f>
        <v/>
      </c>
      <c r="F555" t="str">
        <f>""</f>
        <v/>
      </c>
      <c r="H555" t="str">
        <f>"Inv# 152377"</f>
        <v>Inv# 152377</v>
      </c>
    </row>
    <row r="556" spans="5:8" x14ac:dyDescent="0.25">
      <c r="E556" t="str">
        <f>""</f>
        <v/>
      </c>
      <c r="F556" t="str">
        <f>""</f>
        <v/>
      </c>
      <c r="H556" t="str">
        <f>"Inv# 9971416"</f>
        <v>Inv# 9971416</v>
      </c>
    </row>
    <row r="557" spans="5:8" x14ac:dyDescent="0.25">
      <c r="E557" t="str">
        <f>""</f>
        <v/>
      </c>
      <c r="F557" t="str">
        <f>""</f>
        <v/>
      </c>
      <c r="H557" t="str">
        <f>"Inv# 24006"</f>
        <v>Inv# 24006</v>
      </c>
    </row>
    <row r="558" spans="5:8" x14ac:dyDescent="0.25">
      <c r="E558" t="str">
        <f>""</f>
        <v/>
      </c>
      <c r="F558" t="str">
        <f>""</f>
        <v/>
      </c>
      <c r="H558" t="str">
        <f>"Inv# 3023665"</f>
        <v>Inv# 3023665</v>
      </c>
    </row>
    <row r="559" spans="5:8" x14ac:dyDescent="0.25">
      <c r="E559" t="str">
        <f>""</f>
        <v/>
      </c>
      <c r="F559" t="str">
        <f>""</f>
        <v/>
      </c>
      <c r="H559" t="str">
        <f>"Inv# 3025759"</f>
        <v>Inv# 3025759</v>
      </c>
    </row>
    <row r="560" spans="5:8" x14ac:dyDescent="0.25">
      <c r="E560" t="str">
        <f>""</f>
        <v/>
      </c>
      <c r="F560" t="str">
        <f>""</f>
        <v/>
      </c>
      <c r="H560" t="str">
        <f>"Inv# 9336764"</f>
        <v>Inv# 9336764</v>
      </c>
    </row>
    <row r="561" spans="5:8" x14ac:dyDescent="0.25">
      <c r="E561" t="str">
        <f>""</f>
        <v/>
      </c>
      <c r="F561" t="str">
        <f>""</f>
        <v/>
      </c>
      <c r="H561" t="str">
        <f>"Inv# 2712800"</f>
        <v>Inv# 2712800</v>
      </c>
    </row>
    <row r="562" spans="5:8" x14ac:dyDescent="0.25">
      <c r="E562" t="str">
        <f>""</f>
        <v/>
      </c>
      <c r="F562" t="str">
        <f>""</f>
        <v/>
      </c>
      <c r="H562" t="str">
        <f>"Inv# 4024645"</f>
        <v>Inv# 4024645</v>
      </c>
    </row>
    <row r="563" spans="5:8" x14ac:dyDescent="0.25">
      <c r="E563" t="str">
        <f>""</f>
        <v/>
      </c>
      <c r="F563" t="str">
        <f>""</f>
        <v/>
      </c>
      <c r="H563" t="str">
        <f>"Inv# 8025216"</f>
        <v>Inv# 8025216</v>
      </c>
    </row>
    <row r="564" spans="5:8" x14ac:dyDescent="0.25">
      <c r="E564" t="str">
        <f>""</f>
        <v/>
      </c>
      <c r="F564" t="str">
        <f>""</f>
        <v/>
      </c>
      <c r="H564" t="str">
        <f>"Inv# 5014262"</f>
        <v>Inv# 5014262</v>
      </c>
    </row>
    <row r="565" spans="5:8" x14ac:dyDescent="0.25">
      <c r="E565" t="str">
        <f>""</f>
        <v/>
      </c>
      <c r="F565" t="str">
        <f>""</f>
        <v/>
      </c>
      <c r="H565" t="str">
        <f>"Inv# 7123178"</f>
        <v>Inv# 7123178</v>
      </c>
    </row>
    <row r="566" spans="5:8" x14ac:dyDescent="0.25">
      <c r="E566" t="str">
        <f>""</f>
        <v/>
      </c>
      <c r="F566" t="str">
        <f>""</f>
        <v/>
      </c>
      <c r="H566" t="str">
        <f>"Inv# 8025216"</f>
        <v>Inv# 8025216</v>
      </c>
    </row>
    <row r="567" spans="5:8" x14ac:dyDescent="0.25">
      <c r="E567" t="str">
        <f>""</f>
        <v/>
      </c>
      <c r="F567" t="str">
        <f>""</f>
        <v/>
      </c>
      <c r="H567" t="str">
        <f>"Inv# 8025216"</f>
        <v>Inv# 8025216</v>
      </c>
    </row>
    <row r="568" spans="5:8" x14ac:dyDescent="0.25">
      <c r="E568" t="str">
        <f>""</f>
        <v/>
      </c>
      <c r="F568" t="str">
        <f>""</f>
        <v/>
      </c>
      <c r="H568" t="str">
        <f>"Inv# 8025216"</f>
        <v>Inv# 8025216</v>
      </c>
    </row>
    <row r="569" spans="5:8" x14ac:dyDescent="0.25">
      <c r="E569" t="str">
        <f>""</f>
        <v/>
      </c>
      <c r="F569" t="str">
        <f>""</f>
        <v/>
      </c>
      <c r="H569" t="str">
        <f>"Inv# 7102687"</f>
        <v>Inv# 7102687</v>
      </c>
    </row>
    <row r="570" spans="5:8" x14ac:dyDescent="0.25">
      <c r="E570" t="str">
        <f>""</f>
        <v/>
      </c>
      <c r="F570" t="str">
        <f>""</f>
        <v/>
      </c>
      <c r="H570" t="str">
        <f>"Inv# 7123178"</f>
        <v>Inv# 7123178</v>
      </c>
    </row>
    <row r="571" spans="5:8" x14ac:dyDescent="0.25">
      <c r="E571" t="str">
        <f>""</f>
        <v/>
      </c>
      <c r="F571" t="str">
        <f>""</f>
        <v/>
      </c>
      <c r="H571" t="str">
        <f>"Inv# 5142053"</f>
        <v>Inv# 5142053</v>
      </c>
    </row>
    <row r="572" spans="5:8" x14ac:dyDescent="0.25">
      <c r="E572" t="str">
        <f>""</f>
        <v/>
      </c>
      <c r="F572" t="str">
        <f>""</f>
        <v/>
      </c>
      <c r="H572" t="str">
        <f>"Inv# 3562330"</f>
        <v>Inv# 3562330</v>
      </c>
    </row>
    <row r="573" spans="5:8" x14ac:dyDescent="0.25">
      <c r="E573" t="str">
        <f>""</f>
        <v/>
      </c>
      <c r="F573" t="str">
        <f>""</f>
        <v/>
      </c>
      <c r="H573" t="str">
        <f>"Inv# 6562772"</f>
        <v>Inv# 6562772</v>
      </c>
    </row>
    <row r="574" spans="5:8" x14ac:dyDescent="0.25">
      <c r="E574" t="str">
        <f>""</f>
        <v/>
      </c>
      <c r="F574" t="str">
        <f>""</f>
        <v/>
      </c>
      <c r="H574" t="str">
        <f>"Inv# 6971207"</f>
        <v>Inv# 6971207</v>
      </c>
    </row>
    <row r="575" spans="5:8" x14ac:dyDescent="0.25">
      <c r="E575" t="str">
        <f>""</f>
        <v/>
      </c>
      <c r="F575" t="str">
        <f>""</f>
        <v/>
      </c>
      <c r="H575" t="str">
        <f>"Inv# 1024839"</f>
        <v>Inv# 1024839</v>
      </c>
    </row>
    <row r="576" spans="5:8" x14ac:dyDescent="0.25">
      <c r="E576" t="str">
        <f>""</f>
        <v/>
      </c>
      <c r="F576" t="str">
        <f>""</f>
        <v/>
      </c>
      <c r="H576" t="str">
        <f>"Inv# 8015290"</f>
        <v>Inv# 8015290</v>
      </c>
    </row>
    <row r="577" spans="1:8" x14ac:dyDescent="0.25">
      <c r="E577" t="str">
        <f>""</f>
        <v/>
      </c>
      <c r="F577" t="str">
        <f>""</f>
        <v/>
      </c>
      <c r="H577" t="str">
        <f>"Inv# 6020243"</f>
        <v>Inv# 6020243</v>
      </c>
    </row>
    <row r="578" spans="1:8" x14ac:dyDescent="0.25">
      <c r="E578" t="str">
        <f>""</f>
        <v/>
      </c>
      <c r="F578" t="str">
        <f>""</f>
        <v/>
      </c>
      <c r="H578" t="str">
        <f>"Inv# 5590643"</f>
        <v>Inv# 5590643</v>
      </c>
    </row>
    <row r="579" spans="1:8" x14ac:dyDescent="0.25">
      <c r="E579" t="str">
        <f>""</f>
        <v/>
      </c>
      <c r="F579" t="str">
        <f>""</f>
        <v/>
      </c>
      <c r="H579" t="str">
        <f>"Inv# 102914"</f>
        <v>Inv# 102914</v>
      </c>
    </row>
    <row r="580" spans="1:8" x14ac:dyDescent="0.25">
      <c r="A580" t="s">
        <v>174</v>
      </c>
      <c r="B580">
        <v>81293</v>
      </c>
      <c r="C580" s="2">
        <v>1875</v>
      </c>
      <c r="D580" s="1">
        <v>43535</v>
      </c>
      <c r="E580" t="str">
        <f>"SL012019_00153"</f>
        <v>SL012019_00153</v>
      </c>
      <c r="F580" t="str">
        <f t="shared" ref="F580:F588" si="8">"SHELTERLUV SOFTWARE"</f>
        <v>SHELTERLUV SOFTWARE</v>
      </c>
      <c r="G580" s="2">
        <v>287.5</v>
      </c>
      <c r="H580" t="str">
        <f t="shared" ref="H580:H588" si="9">"SHELTERLUV SOFTWARE"</f>
        <v>SHELTERLUV SOFTWARE</v>
      </c>
    </row>
    <row r="581" spans="1:8" x14ac:dyDescent="0.25">
      <c r="E581" t="str">
        <f>"SL022018_00105"</f>
        <v>SL022018_00105</v>
      </c>
      <c r="F581" t="str">
        <f t="shared" si="8"/>
        <v>SHELTERLUV SOFTWARE</v>
      </c>
      <c r="G581" s="2">
        <v>2.5</v>
      </c>
      <c r="H581" t="str">
        <f t="shared" si="9"/>
        <v>SHELTERLUV SOFTWARE</v>
      </c>
    </row>
    <row r="582" spans="1:8" x14ac:dyDescent="0.25">
      <c r="E582" t="str">
        <f>"SL022019_00164"</f>
        <v>SL022019_00164</v>
      </c>
      <c r="F582" t="str">
        <f t="shared" si="8"/>
        <v>SHELTERLUV SOFTWARE</v>
      </c>
      <c r="G582" s="2">
        <v>300</v>
      </c>
      <c r="H582" t="str">
        <f t="shared" si="9"/>
        <v>SHELTERLUV SOFTWARE</v>
      </c>
    </row>
    <row r="583" spans="1:8" x14ac:dyDescent="0.25">
      <c r="E583" t="str">
        <f>"SL032018_00906"</f>
        <v>SL032018_00906</v>
      </c>
      <c r="F583" t="str">
        <f t="shared" si="8"/>
        <v>SHELTERLUV SOFTWARE</v>
      </c>
      <c r="G583" s="2">
        <v>5</v>
      </c>
      <c r="H583" t="str">
        <f t="shared" si="9"/>
        <v>SHELTERLUV SOFTWARE</v>
      </c>
    </row>
    <row r="584" spans="1:8" x14ac:dyDescent="0.25">
      <c r="E584" t="str">
        <f>"SL072018_00011"</f>
        <v>SL072018_00011</v>
      </c>
      <c r="F584" t="str">
        <f t="shared" si="8"/>
        <v>SHELTERLUV SOFTWARE</v>
      </c>
      <c r="G584" s="2">
        <v>5</v>
      </c>
      <c r="H584" t="str">
        <f t="shared" si="9"/>
        <v>SHELTERLUV SOFTWARE</v>
      </c>
    </row>
    <row r="585" spans="1:8" x14ac:dyDescent="0.25">
      <c r="E585" t="str">
        <f>"SL092018_00095"</f>
        <v>SL092018_00095</v>
      </c>
      <c r="F585" t="str">
        <f t="shared" si="8"/>
        <v>SHELTERLUV SOFTWARE</v>
      </c>
      <c r="G585" s="2">
        <v>215</v>
      </c>
      <c r="H585" t="str">
        <f t="shared" si="9"/>
        <v>SHELTERLUV SOFTWARE</v>
      </c>
    </row>
    <row r="586" spans="1:8" x14ac:dyDescent="0.25">
      <c r="E586" t="str">
        <f>"SL102018_00121"</f>
        <v>SL102018_00121</v>
      </c>
      <c r="F586" t="str">
        <f t="shared" si="8"/>
        <v>SHELTERLUV SOFTWARE</v>
      </c>
      <c r="G586" s="2">
        <v>360</v>
      </c>
      <c r="H586" t="str">
        <f t="shared" si="9"/>
        <v>SHELTERLUV SOFTWARE</v>
      </c>
    </row>
    <row r="587" spans="1:8" x14ac:dyDescent="0.25">
      <c r="E587" t="str">
        <f>"SL112018_00122"</f>
        <v>SL112018_00122</v>
      </c>
      <c r="F587" t="str">
        <f t="shared" si="8"/>
        <v>SHELTERLUV SOFTWARE</v>
      </c>
      <c r="G587" s="2">
        <v>355</v>
      </c>
      <c r="H587" t="str">
        <f t="shared" si="9"/>
        <v>SHELTERLUV SOFTWARE</v>
      </c>
    </row>
    <row r="588" spans="1:8" x14ac:dyDescent="0.25">
      <c r="E588" t="str">
        <f>"SL122018_00133"</f>
        <v>SL122018_00133</v>
      </c>
      <c r="F588" t="str">
        <f t="shared" si="8"/>
        <v>SHELTERLUV SOFTWARE</v>
      </c>
      <c r="G588" s="2">
        <v>345</v>
      </c>
      <c r="H588" t="str">
        <f t="shared" si="9"/>
        <v>SHELTERLUV SOFTWARE</v>
      </c>
    </row>
    <row r="589" spans="1:8" x14ac:dyDescent="0.25">
      <c r="A589" t="s">
        <v>175</v>
      </c>
      <c r="B589">
        <v>81233</v>
      </c>
      <c r="C589" s="2">
        <v>1901.4</v>
      </c>
      <c r="D589" s="1">
        <v>43532</v>
      </c>
      <c r="E589" t="str">
        <f>"S1903040003-0002"</f>
        <v>S1903040003-0002</v>
      </c>
      <c r="F589" t="str">
        <f>"ACCT#100402264 / 03042019"</f>
        <v>ACCT#100402264 / 03042019</v>
      </c>
      <c r="G589" s="2">
        <v>1901.4</v>
      </c>
      <c r="H589" t="str">
        <f>"ACCT#100402264 / 03042019"</f>
        <v>ACCT#100402264 / 03042019</v>
      </c>
    </row>
    <row r="590" spans="1:8" x14ac:dyDescent="0.25">
      <c r="E590" t="str">
        <f>""</f>
        <v/>
      </c>
      <c r="F590" t="str">
        <f>""</f>
        <v/>
      </c>
      <c r="H590" t="str">
        <f>"ACCT#100402264 / 03042019"</f>
        <v>ACCT#100402264 / 03042019</v>
      </c>
    </row>
    <row r="591" spans="1:8" x14ac:dyDescent="0.25">
      <c r="E591" t="str">
        <f>""</f>
        <v/>
      </c>
      <c r="F591" t="str">
        <f>""</f>
        <v/>
      </c>
      <c r="H591" t="str">
        <f>"ACCT#100402264 / 03042019"</f>
        <v>ACCT#100402264 / 03042019</v>
      </c>
    </row>
    <row r="592" spans="1:8" x14ac:dyDescent="0.25">
      <c r="A592" t="s">
        <v>176</v>
      </c>
      <c r="B592">
        <v>592</v>
      </c>
      <c r="C592" s="2">
        <v>793.47</v>
      </c>
      <c r="D592" s="1">
        <v>43550</v>
      </c>
      <c r="E592" t="str">
        <f>"181895"</f>
        <v>181895</v>
      </c>
      <c r="F592" t="str">
        <f>"CYL REPAIR/PCT#1"</f>
        <v>CYL REPAIR/PCT#1</v>
      </c>
      <c r="G592" s="2">
        <v>372</v>
      </c>
      <c r="H592" t="str">
        <f>"CYL REPAIR/PCT#1"</f>
        <v>CYL REPAIR/PCT#1</v>
      </c>
    </row>
    <row r="593" spans="1:8" x14ac:dyDescent="0.25">
      <c r="E593" t="str">
        <f>"85"</f>
        <v>85</v>
      </c>
      <c r="F593" t="str">
        <f>"REPAIRS/PCT#1"</f>
        <v>REPAIRS/PCT#1</v>
      </c>
      <c r="G593" s="2">
        <v>421.47</v>
      </c>
      <c r="H593" t="str">
        <f>"REPAIRS/PCT#1"</f>
        <v>REPAIRS/PCT#1</v>
      </c>
    </row>
    <row r="594" spans="1:8" x14ac:dyDescent="0.25">
      <c r="A594" t="s">
        <v>177</v>
      </c>
      <c r="B594">
        <v>581</v>
      </c>
      <c r="C594" s="2">
        <v>1522.12</v>
      </c>
      <c r="D594" s="1">
        <v>43539</v>
      </c>
      <c r="E594" t="str">
        <f>"1514718 Reissue"</f>
        <v>1514718 Reissue</v>
      </c>
      <c r="F594" t="str">
        <f>"ORDER 33312366 / IT"</f>
        <v>ORDER 33312366 / IT</v>
      </c>
      <c r="G594" s="2">
        <v>1522.12</v>
      </c>
      <c r="H594" t="str">
        <f>"ORDER 33312366 / IT"</f>
        <v>ORDER 33312366 / IT</v>
      </c>
    </row>
    <row r="595" spans="1:8" x14ac:dyDescent="0.25">
      <c r="A595" t="s">
        <v>178</v>
      </c>
      <c r="B595">
        <v>81548</v>
      </c>
      <c r="C595" s="2">
        <v>158.54</v>
      </c>
      <c r="D595" s="1">
        <v>43549</v>
      </c>
      <c r="E595" t="str">
        <f>"3043681726"</f>
        <v>3043681726</v>
      </c>
      <c r="F595" t="str">
        <f>"ACCT#187947/DIAGNOSTICS"</f>
        <v>ACCT#187947/DIAGNOSTICS</v>
      </c>
      <c r="G595" s="2">
        <v>158.54</v>
      </c>
      <c r="H595" t="str">
        <f>"ACCT#187947/DIAGNOSTICS"</f>
        <v>ACCT#187947/DIAGNOSTICS</v>
      </c>
    </row>
    <row r="596" spans="1:8" x14ac:dyDescent="0.25">
      <c r="A596" t="s">
        <v>179</v>
      </c>
      <c r="B596">
        <v>565</v>
      </c>
      <c r="C596" s="2">
        <v>2430</v>
      </c>
      <c r="D596" s="1">
        <v>43536</v>
      </c>
      <c r="E596" t="str">
        <f>"67442"</f>
        <v>67442</v>
      </c>
      <c r="F596" t="str">
        <f>"PROF SVCS -APRIL 2019"</f>
        <v>PROF SVCS -APRIL 2019</v>
      </c>
      <c r="G596" s="2">
        <v>2430</v>
      </c>
      <c r="H596" t="str">
        <f>"PROF SVCS -APRIL 2019"</f>
        <v>PROF SVCS -APRIL 2019</v>
      </c>
    </row>
    <row r="597" spans="1:8" x14ac:dyDescent="0.25">
      <c r="E597" t="str">
        <f>""</f>
        <v/>
      </c>
      <c r="F597" t="str">
        <f>""</f>
        <v/>
      </c>
      <c r="H597" t="str">
        <f>"PROF SVCS -APRIL 2019"</f>
        <v>PROF SVCS -APRIL 2019</v>
      </c>
    </row>
    <row r="598" spans="1:8" x14ac:dyDescent="0.25">
      <c r="A598" t="s">
        <v>180</v>
      </c>
      <c r="B598">
        <v>81294</v>
      </c>
      <c r="C598" s="2">
        <v>68.760000000000005</v>
      </c>
      <c r="D598" s="1">
        <v>43535</v>
      </c>
      <c r="E598" t="str">
        <f>"AMDT368"</f>
        <v>AMDT368</v>
      </c>
      <c r="F598" t="str">
        <f>"CUST ID:AX773/COUNTY CLERK"</f>
        <v>CUST ID:AX773/COUNTY CLERK</v>
      </c>
      <c r="G598" s="2">
        <v>68.760000000000005</v>
      </c>
      <c r="H598" t="str">
        <f>"CUST ID:AX773/COUNTY CLERK"</f>
        <v>CUST ID:AX773/COUNTY CLERK</v>
      </c>
    </row>
    <row r="599" spans="1:8" x14ac:dyDescent="0.25">
      <c r="A599" t="s">
        <v>181</v>
      </c>
      <c r="B599">
        <v>81549</v>
      </c>
      <c r="C599" s="2">
        <v>397.43</v>
      </c>
      <c r="D599" s="1">
        <v>43549</v>
      </c>
      <c r="E599" t="str">
        <f>"9103795757"</f>
        <v>9103795757</v>
      </c>
      <c r="F599" t="str">
        <f>"CUST#200304181/PCT#4"</f>
        <v>CUST#200304181/PCT#4</v>
      </c>
      <c r="G599" s="2">
        <v>397.43</v>
      </c>
      <c r="H599" t="str">
        <f>"CUST#200304181/PCT#4"</f>
        <v>CUST#200304181/PCT#4</v>
      </c>
    </row>
    <row r="600" spans="1:8" x14ac:dyDescent="0.25">
      <c r="A600" t="s">
        <v>182</v>
      </c>
      <c r="B600">
        <v>81550</v>
      </c>
      <c r="C600" s="2">
        <v>50</v>
      </c>
      <c r="D600" s="1">
        <v>43549</v>
      </c>
      <c r="E600" t="str">
        <f>"201903208022"</f>
        <v>201903208022</v>
      </c>
      <c r="F600" t="str">
        <f>"FERAL HOGS"</f>
        <v>FERAL HOGS</v>
      </c>
      <c r="G600" s="2">
        <v>50</v>
      </c>
      <c r="H600" t="str">
        <f>"FERAL HOGS"</f>
        <v>FERAL HOGS</v>
      </c>
    </row>
    <row r="601" spans="1:8" x14ac:dyDescent="0.25">
      <c r="A601" t="s">
        <v>183</v>
      </c>
      <c r="B601">
        <v>81551</v>
      </c>
      <c r="C601" s="2">
        <v>294.97000000000003</v>
      </c>
      <c r="D601" s="1">
        <v>43549</v>
      </c>
      <c r="E601" t="str">
        <f>"201903117886"</f>
        <v>201903117886</v>
      </c>
      <c r="F601" t="str">
        <f>"MILEAGE REIMBURSEMENT"</f>
        <v>MILEAGE REIMBURSEMENT</v>
      </c>
      <c r="G601" s="2">
        <v>294.97000000000003</v>
      </c>
      <c r="H601" t="str">
        <f>"MILEAGE REIMBURSEMENT"</f>
        <v>MILEAGE REIMBURSEMENT</v>
      </c>
    </row>
    <row r="602" spans="1:8" x14ac:dyDescent="0.25">
      <c r="A602" t="s">
        <v>184</v>
      </c>
      <c r="B602">
        <v>81552</v>
      </c>
      <c r="C602" s="2">
        <v>12500</v>
      </c>
      <c r="D602" s="1">
        <v>43549</v>
      </c>
      <c r="E602" t="str">
        <f>"422-18"</f>
        <v>422-18</v>
      </c>
      <c r="F602" t="str">
        <f>"DESIGN SURVEY"</f>
        <v>DESIGN SURVEY</v>
      </c>
      <c r="G602" s="2">
        <v>12500</v>
      </c>
      <c r="H602" t="str">
        <f>"DESIGN SURVEY"</f>
        <v>DESIGN SURVEY</v>
      </c>
    </row>
    <row r="603" spans="1:8" x14ac:dyDescent="0.25">
      <c r="A603" t="s">
        <v>184</v>
      </c>
      <c r="B603">
        <v>81553</v>
      </c>
      <c r="C603" s="2">
        <v>2400</v>
      </c>
      <c r="D603" s="1">
        <v>43549</v>
      </c>
      <c r="E603" t="str">
        <f>"895-17"</f>
        <v>895-17</v>
      </c>
      <c r="F603" t="str">
        <f>"SURVEY SKETCH &amp; LEGAL DESCRIPT"</f>
        <v>SURVEY SKETCH &amp; LEGAL DESCRIPT</v>
      </c>
      <c r="G603" s="2">
        <v>2400</v>
      </c>
    </row>
    <row r="604" spans="1:8" x14ac:dyDescent="0.25">
      <c r="A604" t="s">
        <v>184</v>
      </c>
      <c r="B604">
        <v>81553</v>
      </c>
      <c r="C604" s="2">
        <v>2400</v>
      </c>
      <c r="D604" s="1">
        <v>43549</v>
      </c>
      <c r="E604" t="str">
        <f>"CHECK"</f>
        <v>CHECK</v>
      </c>
      <c r="F604" t="str">
        <f>""</f>
        <v/>
      </c>
      <c r="G604" s="2">
        <v>2400</v>
      </c>
    </row>
    <row r="605" spans="1:8" x14ac:dyDescent="0.25">
      <c r="A605" t="s">
        <v>185</v>
      </c>
      <c r="B605">
        <v>81295</v>
      </c>
      <c r="C605" s="2">
        <v>500</v>
      </c>
      <c r="D605" s="1">
        <v>43535</v>
      </c>
      <c r="E605" t="str">
        <f>"201903057709"</f>
        <v>201903057709</v>
      </c>
      <c r="F605" t="str">
        <f>"56 422"</f>
        <v>56 422</v>
      </c>
      <c r="G605" s="2">
        <v>250</v>
      </c>
      <c r="H605" t="str">
        <f>"56 422"</f>
        <v>56 422</v>
      </c>
    </row>
    <row r="606" spans="1:8" x14ac:dyDescent="0.25">
      <c r="E606" t="str">
        <f>"201903057710"</f>
        <v>201903057710</v>
      </c>
      <c r="F606" t="str">
        <f>"54 099"</f>
        <v>54 099</v>
      </c>
      <c r="G606" s="2">
        <v>250</v>
      </c>
      <c r="H606" t="str">
        <f>"54 099"</f>
        <v>54 099</v>
      </c>
    </row>
    <row r="607" spans="1:8" x14ac:dyDescent="0.25">
      <c r="A607" t="s">
        <v>186</v>
      </c>
      <c r="B607">
        <v>81296</v>
      </c>
      <c r="C607" s="2">
        <v>105</v>
      </c>
      <c r="D607" s="1">
        <v>43535</v>
      </c>
      <c r="E607" t="str">
        <f>"201902277542"</f>
        <v>201902277542</v>
      </c>
      <c r="F607" t="str">
        <f>"PER DIEM"</f>
        <v>PER DIEM</v>
      </c>
      <c r="G607" s="2">
        <v>105</v>
      </c>
      <c r="H607" t="str">
        <f>"PER DIEM"</f>
        <v>PER DIEM</v>
      </c>
    </row>
    <row r="608" spans="1:8" x14ac:dyDescent="0.25">
      <c r="A608" t="s">
        <v>187</v>
      </c>
      <c r="B608">
        <v>574</v>
      </c>
      <c r="C608" s="2">
        <v>3650</v>
      </c>
      <c r="D608" s="1">
        <v>43536</v>
      </c>
      <c r="E608" t="str">
        <f>"201903057663"</f>
        <v>201903057663</v>
      </c>
      <c r="F608" t="str">
        <f>"18-18974"</f>
        <v>18-18974</v>
      </c>
      <c r="G608" s="2">
        <v>100</v>
      </c>
      <c r="H608" t="str">
        <f>"18-18974"</f>
        <v>18-18974</v>
      </c>
    </row>
    <row r="609" spans="5:8" x14ac:dyDescent="0.25">
      <c r="E609" t="str">
        <f>"201903057664"</f>
        <v>201903057664</v>
      </c>
      <c r="F609" t="str">
        <f>"N/A JUVENILE DETENTION HEARING"</f>
        <v>N/A JUVENILE DETENTION HEARING</v>
      </c>
      <c r="G609" s="2">
        <v>100</v>
      </c>
      <c r="H609" t="str">
        <f>"N/A JUVENILE DETENTION HEARING"</f>
        <v>N/A JUVENILE DETENTION HEARING</v>
      </c>
    </row>
    <row r="610" spans="5:8" x14ac:dyDescent="0.25">
      <c r="E610" t="str">
        <f>"201903057665"</f>
        <v>201903057665</v>
      </c>
      <c r="F610" t="str">
        <f>"JUVENILE DETENTION HEARING"</f>
        <v>JUVENILE DETENTION HEARING</v>
      </c>
      <c r="G610" s="2">
        <v>100</v>
      </c>
      <c r="H610" t="str">
        <f>"JUVENILE DETENTION HEARING"</f>
        <v>JUVENILE DETENTION HEARING</v>
      </c>
    </row>
    <row r="611" spans="5:8" x14ac:dyDescent="0.25">
      <c r="E611" t="str">
        <f>"201903057666"</f>
        <v>201903057666</v>
      </c>
      <c r="F611" t="str">
        <f>"304072018E  TRN-925-348-8808 A"</f>
        <v>304072018E  TRN-925-348-8808 A</v>
      </c>
      <c r="G611" s="2">
        <v>250</v>
      </c>
      <c r="H611" t="str">
        <f>"304072018E  TRN-925-348-8808 A"</f>
        <v>304072018E  TRN-925-348-8808 A</v>
      </c>
    </row>
    <row r="612" spans="5:8" x14ac:dyDescent="0.25">
      <c r="E612" t="str">
        <f>"201903057667"</f>
        <v>201903057667</v>
      </c>
      <c r="F612" t="str">
        <f>"56 332"</f>
        <v>56 332</v>
      </c>
      <c r="G612" s="2">
        <v>250</v>
      </c>
      <c r="H612" t="str">
        <f>"56 332"</f>
        <v>56 332</v>
      </c>
    </row>
    <row r="613" spans="5:8" x14ac:dyDescent="0.25">
      <c r="E613" t="str">
        <f>"201903057668"</f>
        <v>201903057668</v>
      </c>
      <c r="F613" t="str">
        <f>"56 410"</f>
        <v>56 410</v>
      </c>
      <c r="G613" s="2">
        <v>250</v>
      </c>
      <c r="H613" t="str">
        <f>"56 410"</f>
        <v>56 410</v>
      </c>
    </row>
    <row r="614" spans="5:8" x14ac:dyDescent="0.25">
      <c r="E614" t="str">
        <f>"201903057669"</f>
        <v>201903057669</v>
      </c>
      <c r="F614" t="str">
        <f>"56 314 1JP110170 1JP11017D"</f>
        <v>56 314 1JP110170 1JP11017D</v>
      </c>
      <c r="G614" s="2">
        <v>500</v>
      </c>
      <c r="H614" t="str">
        <f>"56 314 1JP110170 1JP11017D"</f>
        <v>56 314 1JP110170 1JP11017D</v>
      </c>
    </row>
    <row r="615" spans="5:8" x14ac:dyDescent="0.25">
      <c r="E615" t="str">
        <f>"201903057670"</f>
        <v>201903057670</v>
      </c>
      <c r="F615" t="str">
        <f>"55 988   56 154   55 989"</f>
        <v>55 988   56 154   55 989</v>
      </c>
      <c r="G615" s="2">
        <v>500</v>
      </c>
      <c r="H615" t="str">
        <f>"55 988   56 154   55 989"</f>
        <v>55 988   56 154   55 989</v>
      </c>
    </row>
    <row r="616" spans="5:8" x14ac:dyDescent="0.25">
      <c r="E616" t="str">
        <f>"201903057671"</f>
        <v>201903057671</v>
      </c>
      <c r="F616" t="str">
        <f>"56 773 BC2019128A BC20190128B"</f>
        <v>56 773 BC2019128A BC20190128B</v>
      </c>
      <c r="G616" s="2">
        <v>500</v>
      </c>
      <c r="H616" t="str">
        <f>"56 773 BC2019128A BC20190128B"</f>
        <v>56 773 BC2019128A BC20190128B</v>
      </c>
    </row>
    <row r="617" spans="5:8" x14ac:dyDescent="0.25">
      <c r="E617" t="str">
        <f>"201903057672"</f>
        <v>201903057672</v>
      </c>
      <c r="F617" t="str">
        <f>"56 772"</f>
        <v>56 772</v>
      </c>
      <c r="G617" s="2">
        <v>250</v>
      </c>
      <c r="H617" t="str">
        <f>"56 772"</f>
        <v>56 772</v>
      </c>
    </row>
    <row r="618" spans="5:8" x14ac:dyDescent="0.25">
      <c r="E618" t="str">
        <f>"201903057673"</f>
        <v>201903057673</v>
      </c>
      <c r="F618" t="str">
        <f>"19-19418"</f>
        <v>19-19418</v>
      </c>
      <c r="G618" s="2">
        <v>100</v>
      </c>
      <c r="H618" t="str">
        <f>"19-19418"</f>
        <v>19-19418</v>
      </c>
    </row>
    <row r="619" spans="5:8" x14ac:dyDescent="0.25">
      <c r="E619" t="str">
        <f>"201903057674"</f>
        <v>201903057674</v>
      </c>
      <c r="F619" t="str">
        <f>"18-19016"</f>
        <v>18-19016</v>
      </c>
      <c r="G619" s="2">
        <v>100</v>
      </c>
      <c r="H619" t="str">
        <f>"18-19016"</f>
        <v>18-19016</v>
      </c>
    </row>
    <row r="620" spans="5:8" x14ac:dyDescent="0.25">
      <c r="E620" t="str">
        <f>"201903057675"</f>
        <v>201903057675</v>
      </c>
      <c r="F620" t="str">
        <f>"18-18974"</f>
        <v>18-18974</v>
      </c>
      <c r="G620" s="2">
        <v>100</v>
      </c>
      <c r="H620" t="str">
        <f>"18-18974"</f>
        <v>18-18974</v>
      </c>
    </row>
    <row r="621" spans="5:8" x14ac:dyDescent="0.25">
      <c r="E621" t="str">
        <f>"201903057676"</f>
        <v>201903057676</v>
      </c>
      <c r="F621" t="str">
        <f>"18-19411"</f>
        <v>18-19411</v>
      </c>
      <c r="G621" s="2">
        <v>100</v>
      </c>
      <c r="H621" t="str">
        <f>"18-19411"</f>
        <v>18-19411</v>
      </c>
    </row>
    <row r="622" spans="5:8" x14ac:dyDescent="0.25">
      <c r="E622" t="str">
        <f>"201903057677"</f>
        <v>201903057677</v>
      </c>
      <c r="F622" t="str">
        <f>"18-19011"</f>
        <v>18-19011</v>
      </c>
      <c r="G622" s="2">
        <v>100</v>
      </c>
      <c r="H622" t="str">
        <f>"18-19011"</f>
        <v>18-19011</v>
      </c>
    </row>
    <row r="623" spans="5:8" x14ac:dyDescent="0.25">
      <c r="E623" t="str">
        <f>"201903057678"</f>
        <v>201903057678</v>
      </c>
      <c r="F623" t="str">
        <f>"18-18990"</f>
        <v>18-18990</v>
      </c>
      <c r="G623" s="2">
        <v>100</v>
      </c>
      <c r="H623" t="str">
        <f>"18-18990"</f>
        <v>18-18990</v>
      </c>
    </row>
    <row r="624" spans="5:8" x14ac:dyDescent="0.25">
      <c r="E624" t="str">
        <f>"201903067821"</f>
        <v>201903067821</v>
      </c>
      <c r="F624" t="str">
        <f>"NO.02-0730-5 TRN.9253464224-A0"</f>
        <v>NO.02-0730-5 TRN.9253464224-A0</v>
      </c>
      <c r="G624" s="2">
        <v>250</v>
      </c>
      <c r="H624" t="str">
        <f>"NO.02-0730-5 TRN.9253464224-A0"</f>
        <v>NO.02-0730-5 TRN.9253464224-A0</v>
      </c>
    </row>
    <row r="625" spans="1:8" x14ac:dyDescent="0.25">
      <c r="A625" t="s">
        <v>188</v>
      </c>
      <c r="B625">
        <v>81297</v>
      </c>
      <c r="C625" s="2">
        <v>4163</v>
      </c>
      <c r="D625" s="1">
        <v>43535</v>
      </c>
      <c r="E625" t="str">
        <f>"1106"</f>
        <v>1106</v>
      </c>
      <c r="F625" t="str">
        <f>"INV 1106 / UNIT 4362"</f>
        <v>INV 1106 / UNIT 4362</v>
      </c>
      <c r="G625" s="2">
        <v>1814</v>
      </c>
      <c r="H625" t="str">
        <f>"INV 1106 / UNIT 4362"</f>
        <v>INV 1106 / UNIT 4362</v>
      </c>
    </row>
    <row r="626" spans="1:8" x14ac:dyDescent="0.25">
      <c r="E626" t="str">
        <f>"1107"</f>
        <v>1107</v>
      </c>
      <c r="F626" t="str">
        <f>"INV 1107 / UNIT 126"</f>
        <v>INV 1107 / UNIT 126</v>
      </c>
      <c r="G626" s="2">
        <v>1524</v>
      </c>
      <c r="H626" t="str">
        <f>"INV 1107 / UNIT 126"</f>
        <v>INV 1107 / UNIT 126</v>
      </c>
    </row>
    <row r="627" spans="1:8" x14ac:dyDescent="0.25">
      <c r="E627" t="str">
        <f>"1113"</f>
        <v>1113</v>
      </c>
      <c r="F627" t="str">
        <f>"MOTOROLA RADIO INSTALL/PCT#1"</f>
        <v>MOTOROLA RADIO INSTALL/PCT#1</v>
      </c>
      <c r="G627" s="2">
        <v>450</v>
      </c>
      <c r="H627" t="str">
        <f>"MOTOROLA RADIO INSTALL/PCT#1"</f>
        <v>MOTOROLA RADIO INSTALL/PCT#1</v>
      </c>
    </row>
    <row r="628" spans="1:8" x14ac:dyDescent="0.25">
      <c r="E628" t="str">
        <f>"1115"</f>
        <v>1115</v>
      </c>
      <c r="F628" t="str">
        <f>"INV 1115"</f>
        <v>INV 1115</v>
      </c>
      <c r="G628" s="2">
        <v>375</v>
      </c>
      <c r="H628" t="str">
        <f>"INV 1115"</f>
        <v>INV 1115</v>
      </c>
    </row>
    <row r="629" spans="1:8" x14ac:dyDescent="0.25">
      <c r="A629" t="s">
        <v>189</v>
      </c>
      <c r="B629">
        <v>81298</v>
      </c>
      <c r="C629" s="2">
        <v>15830.08</v>
      </c>
      <c r="D629" s="1">
        <v>43535</v>
      </c>
      <c r="E629" t="str">
        <f>"P80373"</f>
        <v>P80373</v>
      </c>
      <c r="F629" t="str">
        <f>"ACCT#8850283308"</f>
        <v>ACCT#8850283308</v>
      </c>
      <c r="G629" s="2">
        <v>535.84</v>
      </c>
      <c r="H629" t="str">
        <f>"ACCT#8850283308"</f>
        <v>ACCT#8850283308</v>
      </c>
    </row>
    <row r="630" spans="1:8" x14ac:dyDescent="0.25">
      <c r="E630" t="str">
        <f>"P80405"</f>
        <v>P80405</v>
      </c>
      <c r="F630" t="str">
        <f>"ACCT#8850283308/PCT#2"</f>
        <v>ACCT#8850283308/PCT#2</v>
      </c>
      <c r="G630" s="2">
        <v>133.58000000000001</v>
      </c>
      <c r="H630" t="str">
        <f>"ACCT#8850283308/PCT#2"</f>
        <v>ACCT#8850283308/PCT#2</v>
      </c>
    </row>
    <row r="631" spans="1:8" x14ac:dyDescent="0.25">
      <c r="E631" t="str">
        <f>"W00313"</f>
        <v>W00313</v>
      </c>
      <c r="F631" t="str">
        <f>"ACCT#8850283308/PCT#4"</f>
        <v>ACCT#8850283308/PCT#4</v>
      </c>
      <c r="G631" s="2">
        <v>15160.66</v>
      </c>
      <c r="H631" t="str">
        <f>"ACCT#8850283308/PCT#4"</f>
        <v>ACCT#8850283308/PCT#4</v>
      </c>
    </row>
    <row r="632" spans="1:8" x14ac:dyDescent="0.25">
      <c r="A632" t="s">
        <v>190</v>
      </c>
      <c r="B632">
        <v>81554</v>
      </c>
      <c r="C632" s="2">
        <v>25</v>
      </c>
      <c r="D632" s="1">
        <v>43549</v>
      </c>
      <c r="E632" t="str">
        <f>"201903208023"</f>
        <v>201903208023</v>
      </c>
      <c r="F632" t="str">
        <f>"FERAL HOGS"</f>
        <v>FERAL HOGS</v>
      </c>
      <c r="G632" s="2">
        <v>25</v>
      </c>
      <c r="H632" t="str">
        <f>"FERAL HOGS"</f>
        <v>FERAL HOGS</v>
      </c>
    </row>
    <row r="633" spans="1:8" x14ac:dyDescent="0.25">
      <c r="A633" t="s">
        <v>191</v>
      </c>
      <c r="B633">
        <v>81555</v>
      </c>
      <c r="C633" s="2">
        <v>10</v>
      </c>
      <c r="D633" s="1">
        <v>43549</v>
      </c>
      <c r="E633" t="str">
        <f>"201903208024"</f>
        <v>201903208024</v>
      </c>
      <c r="F633" t="str">
        <f>"FERAL HOGS"</f>
        <v>FERAL HOGS</v>
      </c>
      <c r="G633" s="2">
        <v>5</v>
      </c>
      <c r="H633" t="str">
        <f>"FERAL HOGS"</f>
        <v>FERAL HOGS</v>
      </c>
    </row>
    <row r="634" spans="1:8" x14ac:dyDescent="0.25">
      <c r="E634" t="str">
        <f>"201903208025"</f>
        <v>201903208025</v>
      </c>
      <c r="F634" t="str">
        <f>"FERAL HOGS"</f>
        <v>FERAL HOGS</v>
      </c>
      <c r="G634" s="2">
        <v>5</v>
      </c>
      <c r="H634" t="str">
        <f>"FERAL HOGS"</f>
        <v>FERAL HOGS</v>
      </c>
    </row>
    <row r="635" spans="1:8" x14ac:dyDescent="0.25">
      <c r="A635" t="s">
        <v>192</v>
      </c>
      <c r="B635">
        <v>567</v>
      </c>
      <c r="C635" s="2">
        <v>900</v>
      </c>
      <c r="D635" s="1">
        <v>43536</v>
      </c>
      <c r="E635" t="str">
        <f>"201902277534"</f>
        <v>201902277534</v>
      </c>
      <c r="F635" t="str">
        <f>"16586"</f>
        <v>16586</v>
      </c>
      <c r="G635" s="2">
        <v>400</v>
      </c>
      <c r="H635" t="str">
        <f>"16586"</f>
        <v>16586</v>
      </c>
    </row>
    <row r="636" spans="1:8" x14ac:dyDescent="0.25">
      <c r="E636" t="str">
        <f>"201903057700"</f>
        <v>201903057700</v>
      </c>
      <c r="F636" t="str">
        <f>"BC-20180826B 56156 56757"</f>
        <v>BC-20180826B 56156 56757</v>
      </c>
      <c r="G636" s="2">
        <v>500</v>
      </c>
      <c r="H636" t="str">
        <f>"BC-20180826B 56156 56757"</f>
        <v>BC-20180826B 56156 56757</v>
      </c>
    </row>
    <row r="637" spans="1:8" x14ac:dyDescent="0.25">
      <c r="A637" t="s">
        <v>192</v>
      </c>
      <c r="B637">
        <v>619</v>
      </c>
      <c r="C637" s="2">
        <v>1000</v>
      </c>
      <c r="D637" s="1">
        <v>43550</v>
      </c>
      <c r="E637" t="str">
        <f>"201903197937"</f>
        <v>201903197937</v>
      </c>
      <c r="F637" t="str">
        <f>"1082-21"</f>
        <v>1082-21</v>
      </c>
      <c r="G637" s="2">
        <v>100</v>
      </c>
      <c r="H637" t="str">
        <f>"1082-21"</f>
        <v>1082-21</v>
      </c>
    </row>
    <row r="638" spans="1:8" x14ac:dyDescent="0.25">
      <c r="E638" t="str">
        <f>"201903197938"</f>
        <v>201903197938</v>
      </c>
      <c r="F638" t="str">
        <f>"CH-20181022-A"</f>
        <v>CH-20181022-A</v>
      </c>
      <c r="G638" s="2">
        <v>400</v>
      </c>
      <c r="H638" t="str">
        <f>"CH-20181022-A"</f>
        <v>CH-20181022-A</v>
      </c>
    </row>
    <row r="639" spans="1:8" x14ac:dyDescent="0.25">
      <c r="E639" t="str">
        <f>"201903197939"</f>
        <v>201903197939</v>
      </c>
      <c r="F639" t="str">
        <f>"CH20181017A"</f>
        <v>CH20181017A</v>
      </c>
      <c r="G639" s="2">
        <v>400</v>
      </c>
      <c r="H639" t="str">
        <f>"CH20181017A"</f>
        <v>CH20181017A</v>
      </c>
    </row>
    <row r="640" spans="1:8" x14ac:dyDescent="0.25">
      <c r="E640" t="str">
        <f>"201903197940"</f>
        <v>201903197940</v>
      </c>
      <c r="F640" t="str">
        <f>"423-6342"</f>
        <v>423-6342</v>
      </c>
      <c r="G640" s="2">
        <v>100</v>
      </c>
      <c r="H640" t="str">
        <f>"423-6342"</f>
        <v>423-6342</v>
      </c>
    </row>
    <row r="641" spans="1:8" x14ac:dyDescent="0.25">
      <c r="A641" t="s">
        <v>193</v>
      </c>
      <c r="B641">
        <v>533</v>
      </c>
      <c r="C641" s="2">
        <v>2600</v>
      </c>
      <c r="D641" s="1">
        <v>43536</v>
      </c>
      <c r="E641" t="str">
        <f>"1210"</f>
        <v>1210</v>
      </c>
      <c r="F641" t="str">
        <f>"INSTALL BRIDGE RAILS/PCT#2"</f>
        <v>INSTALL BRIDGE RAILS/PCT#2</v>
      </c>
      <c r="G641" s="2">
        <v>2600</v>
      </c>
      <c r="H641" t="str">
        <f>"INSTALL BRIDGE RAILS/PCT#2"</f>
        <v>INSTALL BRIDGE RAILS/PCT#2</v>
      </c>
    </row>
    <row r="642" spans="1:8" x14ac:dyDescent="0.25">
      <c r="A642" t="s">
        <v>194</v>
      </c>
      <c r="B642">
        <v>81556</v>
      </c>
      <c r="C642" s="2">
        <v>45</v>
      </c>
      <c r="D642" s="1">
        <v>43549</v>
      </c>
      <c r="E642" t="str">
        <f>"201903208044"</f>
        <v>201903208044</v>
      </c>
      <c r="F642" t="str">
        <f>"FERAL HOGS"</f>
        <v>FERAL HOGS</v>
      </c>
      <c r="G642" s="2">
        <v>45</v>
      </c>
      <c r="H642" t="str">
        <f>"FERAL HOGS"</f>
        <v>FERAL HOGS</v>
      </c>
    </row>
    <row r="643" spans="1:8" x14ac:dyDescent="0.25">
      <c r="A643" t="s">
        <v>195</v>
      </c>
      <c r="B643">
        <v>81299</v>
      </c>
      <c r="C643" s="2">
        <v>534.95000000000005</v>
      </c>
      <c r="D643" s="1">
        <v>43535</v>
      </c>
      <c r="E643" t="str">
        <f>"201903057696"</f>
        <v>201903057696</v>
      </c>
      <c r="F643" t="str">
        <f>"18-19299"</f>
        <v>18-19299</v>
      </c>
      <c r="G643" s="2">
        <v>534.95000000000005</v>
      </c>
      <c r="H643" t="str">
        <f>"18-19299"</f>
        <v>18-19299</v>
      </c>
    </row>
    <row r="644" spans="1:8" x14ac:dyDescent="0.25">
      <c r="A644" t="s">
        <v>196</v>
      </c>
      <c r="B644">
        <v>559</v>
      </c>
      <c r="C644" s="2">
        <v>2617</v>
      </c>
      <c r="D644" s="1">
        <v>43536</v>
      </c>
      <c r="E644" t="str">
        <f>"169"</f>
        <v>169</v>
      </c>
      <c r="F644" t="str">
        <f>"TOWER RENT-MARCH"</f>
        <v>TOWER RENT-MARCH</v>
      </c>
      <c r="G644" s="2">
        <v>2617</v>
      </c>
      <c r="H644" t="str">
        <f>"TOWER RENT-MARCH"</f>
        <v>TOWER RENT-MARCH</v>
      </c>
    </row>
    <row r="645" spans="1:8" x14ac:dyDescent="0.25">
      <c r="A645" t="s">
        <v>197</v>
      </c>
      <c r="B645">
        <v>535</v>
      </c>
      <c r="C645" s="2">
        <v>467.08</v>
      </c>
      <c r="D645" s="1">
        <v>43536</v>
      </c>
      <c r="E645" t="str">
        <f>"809698"</f>
        <v>809698</v>
      </c>
      <c r="F645" t="str">
        <f>"CUST#10222/IT"</f>
        <v>CUST#10222/IT</v>
      </c>
      <c r="G645" s="2">
        <v>467.08</v>
      </c>
      <c r="H645" t="str">
        <f>"CUST#10222/IT"</f>
        <v>CUST#10222/IT</v>
      </c>
    </row>
    <row r="646" spans="1:8" x14ac:dyDescent="0.25">
      <c r="A646" t="s">
        <v>198</v>
      </c>
      <c r="B646">
        <v>81557</v>
      </c>
      <c r="C646" s="2">
        <v>62</v>
      </c>
      <c r="D646" s="1">
        <v>43549</v>
      </c>
      <c r="E646" t="str">
        <f>"201903197956"</f>
        <v>201903197956</v>
      </c>
      <c r="F646" t="str">
        <f>"DIAGNOSIS CHARGE"</f>
        <v>DIAGNOSIS CHARGE</v>
      </c>
      <c r="G646" s="2">
        <v>62</v>
      </c>
      <c r="H646" t="str">
        <f>"DIAGNOSIS CHARGE"</f>
        <v>DIAGNOSIS CHARGE</v>
      </c>
    </row>
    <row r="647" spans="1:8" x14ac:dyDescent="0.25">
      <c r="A647" t="s">
        <v>199</v>
      </c>
      <c r="B647">
        <v>81300</v>
      </c>
      <c r="C647" s="2">
        <v>826.58</v>
      </c>
      <c r="D647" s="1">
        <v>43535</v>
      </c>
      <c r="E647" t="str">
        <f>"201903057619"</f>
        <v>201903057619</v>
      </c>
      <c r="F647" t="str">
        <f>"ACCT#1750/PCT#3"</f>
        <v>ACCT#1750/PCT#3</v>
      </c>
      <c r="G647" s="2">
        <v>352.43</v>
      </c>
      <c r="H647" t="str">
        <f>"ACCT#1750/PCT#3"</f>
        <v>ACCT#1750/PCT#3</v>
      </c>
    </row>
    <row r="648" spans="1:8" x14ac:dyDescent="0.25">
      <c r="E648" t="str">
        <f>"201903057628"</f>
        <v>201903057628</v>
      </c>
      <c r="F648" t="str">
        <f>"ACCT#1162"</f>
        <v>ACCT#1162</v>
      </c>
      <c r="G648" s="2">
        <v>9.17</v>
      </c>
      <c r="H648" t="str">
        <f>"ACCT#1162"</f>
        <v>ACCT#1162</v>
      </c>
    </row>
    <row r="649" spans="1:8" x14ac:dyDescent="0.25">
      <c r="E649" t="str">
        <f>"201903067829"</f>
        <v>201903067829</v>
      </c>
      <c r="F649" t="str">
        <f>"ACCT#1650/PCT#1"</f>
        <v>ACCT#1650/PCT#1</v>
      </c>
      <c r="G649" s="2">
        <v>326.27999999999997</v>
      </c>
      <c r="H649" t="str">
        <f>"ACCT#1650/PCT#1"</f>
        <v>ACCT#1650/PCT#1</v>
      </c>
    </row>
    <row r="650" spans="1:8" x14ac:dyDescent="0.25">
      <c r="E650" t="str">
        <f>"201903067834"</f>
        <v>201903067834</v>
      </c>
      <c r="F650" t="str">
        <f>"ACCT#1650/GEN SVCS"</f>
        <v>ACCT#1650/GEN SVCS</v>
      </c>
      <c r="G650" s="2">
        <v>138.69999999999999</v>
      </c>
      <c r="H650" t="str">
        <f>"ACCT#1650/GEN SVCS"</f>
        <v>ACCT#1650/GEN SVCS</v>
      </c>
    </row>
    <row r="651" spans="1:8" x14ac:dyDescent="0.25">
      <c r="A651" t="s">
        <v>200</v>
      </c>
      <c r="B651">
        <v>81558</v>
      </c>
      <c r="C651" s="2">
        <v>684.25</v>
      </c>
      <c r="D651" s="1">
        <v>43549</v>
      </c>
      <c r="E651" t="str">
        <f>"201903197982"</f>
        <v>201903197982</v>
      </c>
      <c r="F651" t="str">
        <f>"LODGING"</f>
        <v>LODGING</v>
      </c>
      <c r="G651" s="2">
        <v>684.25</v>
      </c>
      <c r="H651" t="str">
        <f>"LODGING"</f>
        <v>LODGING</v>
      </c>
    </row>
    <row r="652" spans="1:8" x14ac:dyDescent="0.25">
      <c r="A652" t="s">
        <v>201</v>
      </c>
      <c r="B652">
        <v>81301</v>
      </c>
      <c r="C652" s="2">
        <v>1938.04</v>
      </c>
      <c r="D652" s="1">
        <v>43535</v>
      </c>
      <c r="E652" t="str">
        <f>"02208958 02278991"</f>
        <v>02208958 02278991</v>
      </c>
      <c r="F652" t="str">
        <f>"INV 02208958"</f>
        <v>INV 02208958</v>
      </c>
      <c r="G652" s="2">
        <v>1938.04</v>
      </c>
      <c r="H652" t="str">
        <f>"INV 02208958"</f>
        <v>INV 02208958</v>
      </c>
    </row>
    <row r="653" spans="1:8" x14ac:dyDescent="0.25">
      <c r="E653" t="str">
        <f>""</f>
        <v/>
      </c>
      <c r="F653" t="str">
        <f>""</f>
        <v/>
      </c>
      <c r="H653" t="str">
        <f>"INV 02278991"</f>
        <v>INV 02278991</v>
      </c>
    </row>
    <row r="654" spans="1:8" x14ac:dyDescent="0.25">
      <c r="A654" t="s">
        <v>201</v>
      </c>
      <c r="B654">
        <v>81559</v>
      </c>
      <c r="C654" s="2">
        <v>1527.46</v>
      </c>
      <c r="D654" s="1">
        <v>43549</v>
      </c>
      <c r="E654" t="str">
        <f>"03068610 03131165"</f>
        <v>03068610 03131165</v>
      </c>
      <c r="F654" t="str">
        <f>"INV 03068610"</f>
        <v>INV 03068610</v>
      </c>
      <c r="G654" s="2">
        <v>1527.46</v>
      </c>
      <c r="H654" t="str">
        <f>"INV 03068610"</f>
        <v>INV 03068610</v>
      </c>
    </row>
    <row r="655" spans="1:8" x14ac:dyDescent="0.25">
      <c r="E655" t="str">
        <f>""</f>
        <v/>
      </c>
      <c r="F655" t="str">
        <f>""</f>
        <v/>
      </c>
      <c r="H655" t="str">
        <f>"INV 03131165"</f>
        <v>INV 03131165</v>
      </c>
    </row>
    <row r="656" spans="1:8" x14ac:dyDescent="0.25">
      <c r="A656" t="s">
        <v>202</v>
      </c>
      <c r="B656">
        <v>81560</v>
      </c>
      <c r="C656" s="2">
        <v>500</v>
      </c>
      <c r="D656" s="1">
        <v>43549</v>
      </c>
      <c r="E656" t="str">
        <f>"201903208049"</f>
        <v>201903208049</v>
      </c>
      <c r="F656" t="str">
        <f>"FERAL HOGS"</f>
        <v>FERAL HOGS</v>
      </c>
      <c r="G656" s="2">
        <v>220</v>
      </c>
      <c r="H656" t="str">
        <f>"FERAL HOGS"</f>
        <v>FERAL HOGS</v>
      </c>
    </row>
    <row r="657" spans="1:8" x14ac:dyDescent="0.25">
      <c r="E657" t="str">
        <f>"201903208050"</f>
        <v>201903208050</v>
      </c>
      <c r="F657" t="str">
        <f>"FERAL HOGS"</f>
        <v>FERAL HOGS</v>
      </c>
      <c r="G657" s="2">
        <v>280</v>
      </c>
      <c r="H657" t="str">
        <f>"FERAL HOGS"</f>
        <v>FERAL HOGS</v>
      </c>
    </row>
    <row r="658" spans="1:8" x14ac:dyDescent="0.25">
      <c r="A658" t="s">
        <v>203</v>
      </c>
      <c r="B658">
        <v>81302</v>
      </c>
      <c r="C658" s="2">
        <v>150</v>
      </c>
      <c r="D658" s="1">
        <v>43535</v>
      </c>
      <c r="E658" t="str">
        <f>"201903047606"</f>
        <v>201903047606</v>
      </c>
      <c r="F658" t="str">
        <f>"CLEANING SERVICE"</f>
        <v>CLEANING SERVICE</v>
      </c>
      <c r="G658" s="2">
        <v>150</v>
      </c>
      <c r="H658" t="str">
        <f>"CLEANING SERVICE"</f>
        <v>CLEANING SERVICE</v>
      </c>
    </row>
    <row r="659" spans="1:8" x14ac:dyDescent="0.25">
      <c r="A659" t="s">
        <v>204</v>
      </c>
      <c r="B659">
        <v>81303</v>
      </c>
      <c r="C659" s="2">
        <v>19.97</v>
      </c>
      <c r="D659" s="1">
        <v>43535</v>
      </c>
      <c r="E659" t="str">
        <f>"201903017576"</f>
        <v>201903017576</v>
      </c>
      <c r="F659" t="str">
        <f>"REIMBURSE-FLASH DRIVE"</f>
        <v>REIMBURSE-FLASH DRIVE</v>
      </c>
      <c r="G659" s="2">
        <v>19.97</v>
      </c>
      <c r="H659" t="str">
        <f>"REIMBURSE-FLASH DRIVE"</f>
        <v>REIMBURSE-FLASH DRIVE</v>
      </c>
    </row>
    <row r="660" spans="1:8" x14ac:dyDescent="0.25">
      <c r="A660" t="s">
        <v>205</v>
      </c>
      <c r="B660">
        <v>81304</v>
      </c>
      <c r="C660" s="2">
        <v>1520</v>
      </c>
      <c r="D660" s="1">
        <v>43535</v>
      </c>
      <c r="E660" t="str">
        <f>"112919019"</f>
        <v>112919019</v>
      </c>
      <c r="F660" t="str">
        <f>"AUDITORS INSTITUTE-LISA SMITH"</f>
        <v>AUDITORS INSTITUTE-LISA SMITH</v>
      </c>
      <c r="G660" s="2">
        <v>320</v>
      </c>
      <c r="H660" t="str">
        <f>"AUDITORS INSTITUTE-LISA SMITH"</f>
        <v>AUDITORS INSTITUTE-LISA SMITH</v>
      </c>
    </row>
    <row r="661" spans="1:8" x14ac:dyDescent="0.25">
      <c r="E661" t="str">
        <f>"201903057612"</f>
        <v>201903057612</v>
      </c>
      <c r="F661" t="str">
        <f>"AUDITORS TRAINING-A. QUINLEY"</f>
        <v>AUDITORS TRAINING-A. QUINLEY</v>
      </c>
      <c r="G661" s="2">
        <v>220</v>
      </c>
      <c r="H661" t="str">
        <f>"AUDITORS TRAINING-A. QUINLEY"</f>
        <v>AUDITORS TRAINING-A. QUINLEY</v>
      </c>
    </row>
    <row r="662" spans="1:8" x14ac:dyDescent="0.25">
      <c r="E662" t="str">
        <f>"241519018"</f>
        <v>241519018</v>
      </c>
      <c r="F662" t="str">
        <f>"AUDITORS TRAINING-R ETHEREDGE"</f>
        <v>AUDITORS TRAINING-R ETHEREDGE</v>
      </c>
      <c r="G662" s="2">
        <v>220</v>
      </c>
      <c r="H662" t="str">
        <f>"AUDITORS TRAINING-R ETHEREDGE"</f>
        <v>AUDITORS TRAINING-R ETHEREDGE</v>
      </c>
    </row>
    <row r="663" spans="1:8" x14ac:dyDescent="0.25">
      <c r="E663" t="str">
        <f>"545619019"</f>
        <v>545619019</v>
      </c>
      <c r="F663" t="str">
        <f>"AUDITORS INSTITUTE-J. PACHECO"</f>
        <v>AUDITORS INSTITUTE-J. PACHECO</v>
      </c>
      <c r="G663" s="2">
        <v>320</v>
      </c>
      <c r="H663" t="str">
        <f>"AUDITORS INSTITUTE-J. PACHECO"</f>
        <v>AUDITORS INSTITUTE-J. PACHECO</v>
      </c>
    </row>
    <row r="664" spans="1:8" x14ac:dyDescent="0.25">
      <c r="E664" t="str">
        <f>"630419018"</f>
        <v>630419018</v>
      </c>
      <c r="F664" t="str">
        <f>"AUDITOR TRAINING-DEANNA CARTER"</f>
        <v>AUDITOR TRAINING-DEANNA CARTER</v>
      </c>
      <c r="G664" s="2">
        <v>220</v>
      </c>
      <c r="H664" t="str">
        <f>"AUDITOR TRAINING-DEANNA CARTER"</f>
        <v>AUDITOR TRAINING-DEANNA CARTER</v>
      </c>
    </row>
    <row r="665" spans="1:8" x14ac:dyDescent="0.25">
      <c r="E665" t="str">
        <f>"630519018"</f>
        <v>630519018</v>
      </c>
      <c r="F665" t="str">
        <f>"AUDITOR TRAINING-SARA WILHELM"</f>
        <v>AUDITOR TRAINING-SARA WILHELM</v>
      </c>
      <c r="G665" s="2">
        <v>220</v>
      </c>
      <c r="H665" t="str">
        <f>"AUDITOR TRAINING-SARA WILHELM"</f>
        <v>AUDITOR TRAINING-SARA WILHELM</v>
      </c>
    </row>
    <row r="666" spans="1:8" x14ac:dyDescent="0.25">
      <c r="A666" t="s">
        <v>205</v>
      </c>
      <c r="B666">
        <v>81561</v>
      </c>
      <c r="C666" s="2">
        <v>320</v>
      </c>
      <c r="D666" s="1">
        <v>43549</v>
      </c>
      <c r="E666" t="str">
        <f>"681119019"</f>
        <v>681119019</v>
      </c>
      <c r="F666" t="str">
        <f>"AUDITORS INSTITUTE-M KINCAID"</f>
        <v>AUDITORS INSTITUTE-M KINCAID</v>
      </c>
      <c r="G666" s="2">
        <v>320</v>
      </c>
      <c r="H666" t="str">
        <f>"AUDITORS INSTITUTE-M KINCAID"</f>
        <v>AUDITORS INSTITUTE-M KINCAID</v>
      </c>
    </row>
    <row r="667" spans="1:8" x14ac:dyDescent="0.25">
      <c r="A667" t="s">
        <v>206</v>
      </c>
      <c r="B667">
        <v>81305</v>
      </c>
      <c r="C667" s="2">
        <v>14</v>
      </c>
      <c r="D667" s="1">
        <v>43535</v>
      </c>
      <c r="E667" t="str">
        <f>"48079"</f>
        <v>48079</v>
      </c>
      <c r="F667" t="str">
        <f>"TIRE SVCS/PCT#4"</f>
        <v>TIRE SVCS/PCT#4</v>
      </c>
      <c r="G667" s="2">
        <v>14</v>
      </c>
      <c r="H667" t="str">
        <f>"TIRE SVCS/PCT#4"</f>
        <v>TIRE SVCS/PCT#4</v>
      </c>
    </row>
    <row r="668" spans="1:8" x14ac:dyDescent="0.25">
      <c r="A668" t="s">
        <v>207</v>
      </c>
      <c r="B668">
        <v>81231</v>
      </c>
      <c r="C668" s="2">
        <v>105.3</v>
      </c>
      <c r="D668" s="1">
        <v>43531</v>
      </c>
      <c r="E668" t="str">
        <f>"201903067872"</f>
        <v>201903067872</v>
      </c>
      <c r="F668" t="str">
        <f>"ACCT#1-09-00072-02 1 /02252019"</f>
        <v>ACCT#1-09-00072-02 1 /02252019</v>
      </c>
      <c r="G668" s="2">
        <v>105.3</v>
      </c>
      <c r="H668" t="str">
        <f>"ACCT#1-09-00072-02 1 /02252019"</f>
        <v>ACCT#1-09-00072-02 1 /02252019</v>
      </c>
    </row>
    <row r="669" spans="1:8" x14ac:dyDescent="0.25">
      <c r="A669" t="s">
        <v>208</v>
      </c>
      <c r="B669">
        <v>81562</v>
      </c>
      <c r="C669" s="2">
        <v>11.16</v>
      </c>
      <c r="D669" s="1">
        <v>43549</v>
      </c>
      <c r="E669" t="str">
        <f>"0556348429"</f>
        <v>0556348429</v>
      </c>
      <c r="F669" t="str">
        <f>"INV 0556348429"</f>
        <v>INV 0556348429</v>
      </c>
      <c r="G669" s="2">
        <v>11.16</v>
      </c>
      <c r="H669" t="str">
        <f>"INV 0556348429"</f>
        <v>INV 0556348429</v>
      </c>
    </row>
    <row r="670" spans="1:8" x14ac:dyDescent="0.25">
      <c r="A670" t="s">
        <v>209</v>
      </c>
      <c r="B670">
        <v>81306</v>
      </c>
      <c r="C670" s="2">
        <v>163.65</v>
      </c>
      <c r="D670" s="1">
        <v>43535</v>
      </c>
      <c r="E670" t="str">
        <f>"1361725-20190228"</f>
        <v>1361725-20190228</v>
      </c>
      <c r="F670" t="str">
        <f>"BILLING ID:1361725/INDIGENT HE"</f>
        <v>BILLING ID:1361725/INDIGENT HE</v>
      </c>
      <c r="G670" s="2">
        <v>88.9</v>
      </c>
      <c r="H670" t="str">
        <f>"BILLING ID:1361725/INDIGENT HE"</f>
        <v>BILLING ID:1361725/INDIGENT HE</v>
      </c>
    </row>
    <row r="671" spans="1:8" x14ac:dyDescent="0.25">
      <c r="E671" t="str">
        <f>"1394645-20190228"</f>
        <v>1394645-20190228</v>
      </c>
      <c r="F671" t="str">
        <f>"BILLING ID:1394645/COUNTY CLER"</f>
        <v>BILLING ID:1394645/COUNTY CLER</v>
      </c>
      <c r="G671" s="2">
        <v>74.75</v>
      </c>
      <c r="H671" t="str">
        <f>"BILLING ID:1394645/COUNTY CLER"</f>
        <v>BILLING ID:1394645/COUNTY CLER</v>
      </c>
    </row>
    <row r="672" spans="1:8" x14ac:dyDescent="0.25">
      <c r="A672" t="s">
        <v>209</v>
      </c>
      <c r="B672">
        <v>81563</v>
      </c>
      <c r="C672" s="2">
        <v>874.95</v>
      </c>
      <c r="D672" s="1">
        <v>43549</v>
      </c>
      <c r="E672" t="str">
        <f>"1211621-20190228"</f>
        <v>1211621-20190228</v>
      </c>
      <c r="F672" t="str">
        <f>"BILLING ID:1211621/HEALTH SVCS"</f>
        <v>BILLING ID:1211621/HEALTH SVCS</v>
      </c>
      <c r="G672" s="2">
        <v>500.65</v>
      </c>
      <c r="H672" t="str">
        <f>"BILLING ID:1211621/HEALTH SVCS"</f>
        <v>BILLING ID:1211621/HEALTH SVCS</v>
      </c>
    </row>
    <row r="673" spans="1:8" x14ac:dyDescent="0.25">
      <c r="E673" t="str">
        <f>"1420944-20190228"</f>
        <v>1420944-20190228</v>
      </c>
      <c r="F673" t="str">
        <f>"BILLING ID:1420944/SHERIFF"</f>
        <v>BILLING ID:1420944/SHERIFF</v>
      </c>
      <c r="G673" s="2">
        <v>324.3</v>
      </c>
      <c r="H673" t="str">
        <f>"BILLING ID:1420944/SHERIFF"</f>
        <v>BILLING ID:1420944/SHERIFF</v>
      </c>
    </row>
    <row r="674" spans="1:8" x14ac:dyDescent="0.25">
      <c r="E674" t="str">
        <f>"1489870-20190228"</f>
        <v>1489870-20190228</v>
      </c>
      <c r="F674" t="str">
        <f>"BILLING ID:1489870/DIST CLERK"</f>
        <v>BILLING ID:1489870/DIST CLERK</v>
      </c>
      <c r="G674" s="2">
        <v>50</v>
      </c>
      <c r="H674" t="str">
        <f>"BILLING ID:1489870/DIST CLERK"</f>
        <v>BILLING ID:1489870/DIST CLERK</v>
      </c>
    </row>
    <row r="675" spans="1:8" x14ac:dyDescent="0.25">
      <c r="A675" t="s">
        <v>210</v>
      </c>
      <c r="B675">
        <v>563</v>
      </c>
      <c r="C675" s="2">
        <v>399.86</v>
      </c>
      <c r="D675" s="1">
        <v>43536</v>
      </c>
      <c r="E675" t="str">
        <f>"201902287548"</f>
        <v>201902287548</v>
      </c>
      <c r="F675" t="str">
        <f>"VEHICLE REGISTRATIONS/PCT#4"</f>
        <v>VEHICLE REGISTRATIONS/PCT#4</v>
      </c>
      <c r="G675" s="2">
        <v>66</v>
      </c>
      <c r="H675" t="str">
        <f>"VEHICLE REGISTRATIONS/PCT#4"</f>
        <v>VEHICLE REGISTRATIONS/PCT#4</v>
      </c>
    </row>
    <row r="676" spans="1:8" x14ac:dyDescent="0.25">
      <c r="E676" t="str">
        <f>"201902287561"</f>
        <v>201902287561</v>
      </c>
      <c r="F676" t="str">
        <f>"FNB CHARGE FOR CHECKS"</f>
        <v>FNB CHARGE FOR CHECKS</v>
      </c>
      <c r="G676" s="2">
        <v>211.36</v>
      </c>
      <c r="H676" t="str">
        <f>"FNB CHARGE FOR CHECKS"</f>
        <v>FNB CHARGE FOR CHECKS</v>
      </c>
    </row>
    <row r="677" spans="1:8" x14ac:dyDescent="0.25">
      <c r="E677" t="str">
        <f>"201903047609"</f>
        <v>201903047609</v>
      </c>
      <c r="F677" t="str">
        <f>"VEHICLE REGISTRATION /P4"</f>
        <v>VEHICLE REGISTRATION /P4</v>
      </c>
      <c r="G677" s="2">
        <v>27</v>
      </c>
      <c r="H677" t="str">
        <f>"VEHICLE REGISTRATION /P4"</f>
        <v>VEHICLE REGISTRATION /P4</v>
      </c>
    </row>
    <row r="678" spans="1:8" x14ac:dyDescent="0.25">
      <c r="E678" t="str">
        <f>"201903057714"</f>
        <v>201903057714</v>
      </c>
      <c r="F678" t="str">
        <f>"VEHICLE REGISTRATIONS/PCT#2"</f>
        <v>VEHICLE REGISTRATIONS/PCT#2</v>
      </c>
      <c r="G678" s="2">
        <v>95.5</v>
      </c>
      <c r="H678" t="str">
        <f>"VEHICLE REGISTRATIONS/PCT#2"</f>
        <v>VEHICLE REGISTRATIONS/PCT#2</v>
      </c>
    </row>
    <row r="679" spans="1:8" x14ac:dyDescent="0.25">
      <c r="A679" t="s">
        <v>210</v>
      </c>
      <c r="B679">
        <v>614</v>
      </c>
      <c r="C679" s="2">
        <v>119.5</v>
      </c>
      <c r="D679" s="1">
        <v>43550</v>
      </c>
      <c r="E679" t="str">
        <f>"201903187917"</f>
        <v>201903187917</v>
      </c>
      <c r="F679" t="str">
        <f>"VEHICLE REGISTRATIONS/PCT#4"</f>
        <v>VEHICLE REGISTRATIONS/PCT#4</v>
      </c>
      <c r="G679" s="2">
        <v>29.5</v>
      </c>
      <c r="H679" t="str">
        <f>"VEHICLE REGISTRATIONS/PCT#4"</f>
        <v>VEHICLE REGISTRATIONS/PCT#4</v>
      </c>
    </row>
    <row r="680" spans="1:8" x14ac:dyDescent="0.25">
      <c r="E680" t="str">
        <f>"201903187918"</f>
        <v>201903187918</v>
      </c>
      <c r="F680" t="str">
        <f>"2017 R&amp;D REGISTRATION/GEN SVCS"</f>
        <v>2017 R&amp;D REGISTRATION/GEN SVCS</v>
      </c>
      <c r="G680" s="2">
        <v>7.5</v>
      </c>
      <c r="H680" t="str">
        <f>"2017 R&amp;D REGISTRATION/GEN SVCS"</f>
        <v>2017 R&amp;D REGISTRATION/GEN SVCS</v>
      </c>
    </row>
    <row r="681" spans="1:8" x14ac:dyDescent="0.25">
      <c r="E681" t="str">
        <f>"201903197954"</f>
        <v>201903197954</v>
      </c>
      <c r="F681" t="str">
        <f>"VEHICLE REGISTRATIONS-SHERIFF"</f>
        <v>VEHICLE REGISTRATIONS-SHERIFF</v>
      </c>
      <c r="G681" s="2">
        <v>82.5</v>
      </c>
      <c r="H681" t="str">
        <f>"VEHICLE REGISTRATIONS-SHERIFF"</f>
        <v>VEHICLE REGISTRATIONS-SHERIFF</v>
      </c>
    </row>
    <row r="682" spans="1:8" x14ac:dyDescent="0.25">
      <c r="A682" t="s">
        <v>211</v>
      </c>
      <c r="B682">
        <v>81564</v>
      </c>
      <c r="C682" s="2">
        <v>30</v>
      </c>
      <c r="D682" s="1">
        <v>43549</v>
      </c>
      <c r="E682" t="str">
        <f>"201903208004"</f>
        <v>201903208004</v>
      </c>
      <c r="F682" t="str">
        <f>"REFUND PET DEPOSIT"</f>
        <v>REFUND PET DEPOSIT</v>
      </c>
      <c r="G682" s="2">
        <v>30</v>
      </c>
      <c r="H682" t="str">
        <f>"REFUND PET DEPOSIT"</f>
        <v>REFUND PET DEPOSIT</v>
      </c>
    </row>
    <row r="683" spans="1:8" x14ac:dyDescent="0.25">
      <c r="A683" t="s">
        <v>212</v>
      </c>
      <c r="B683">
        <v>81307</v>
      </c>
      <c r="C683" s="2">
        <v>750</v>
      </c>
      <c r="D683" s="1">
        <v>43535</v>
      </c>
      <c r="E683" t="str">
        <f>"201903057697"</f>
        <v>201903057697</v>
      </c>
      <c r="F683" t="str">
        <f>"56 581"</f>
        <v>56 581</v>
      </c>
      <c r="G683" s="2">
        <v>250</v>
      </c>
      <c r="H683" t="str">
        <f>"56 581"</f>
        <v>56 581</v>
      </c>
    </row>
    <row r="684" spans="1:8" x14ac:dyDescent="0.25">
      <c r="E684" t="str">
        <f>"201903057698"</f>
        <v>201903057698</v>
      </c>
      <c r="F684" t="str">
        <f>"56 417"</f>
        <v>56 417</v>
      </c>
      <c r="G684" s="2">
        <v>250</v>
      </c>
      <c r="H684" t="str">
        <f>"56 417"</f>
        <v>56 417</v>
      </c>
    </row>
    <row r="685" spans="1:8" x14ac:dyDescent="0.25">
      <c r="E685" t="str">
        <f>"201903057699"</f>
        <v>201903057699</v>
      </c>
      <c r="F685" t="str">
        <f>"56 153"</f>
        <v>56 153</v>
      </c>
      <c r="G685" s="2">
        <v>250</v>
      </c>
      <c r="H685" t="str">
        <f>"56 153"</f>
        <v>56 153</v>
      </c>
    </row>
    <row r="686" spans="1:8" x14ac:dyDescent="0.25">
      <c r="A686" t="s">
        <v>213</v>
      </c>
      <c r="B686">
        <v>594</v>
      </c>
      <c r="C686" s="2">
        <v>2013</v>
      </c>
      <c r="D686" s="1">
        <v>43550</v>
      </c>
      <c r="E686" t="str">
        <f>"97499403"</f>
        <v>97499403</v>
      </c>
      <c r="F686" t="str">
        <f>"CLIENT#3619/PROF SVCS 02/28/19"</f>
        <v>CLIENT#3619/PROF SVCS 02/28/19</v>
      </c>
      <c r="G686" s="2">
        <v>2013</v>
      </c>
      <c r="H686" t="str">
        <f>"CLIENT#3619/PROF SVCS 02/28/19"</f>
        <v>CLIENT#3619/PROF SVCS 02/28/19</v>
      </c>
    </row>
    <row r="687" spans="1:8" x14ac:dyDescent="0.25">
      <c r="A687" t="s">
        <v>214</v>
      </c>
      <c r="B687">
        <v>81565</v>
      </c>
      <c r="C687" s="2">
        <v>60</v>
      </c>
      <c r="D687" s="1">
        <v>43549</v>
      </c>
      <c r="E687" t="str">
        <f>"201903208026"</f>
        <v>201903208026</v>
      </c>
      <c r="F687" t="str">
        <f>"FERAL HOGS"</f>
        <v>FERAL HOGS</v>
      </c>
      <c r="G687" s="2">
        <v>60</v>
      </c>
      <c r="H687" t="str">
        <f>"FERAL HOGS"</f>
        <v>FERAL HOGS</v>
      </c>
    </row>
    <row r="688" spans="1:8" x14ac:dyDescent="0.25">
      <c r="A688" t="s">
        <v>215</v>
      </c>
      <c r="B688">
        <v>543</v>
      </c>
      <c r="C688" s="2">
        <v>11566.69</v>
      </c>
      <c r="D688" s="1">
        <v>43536</v>
      </c>
      <c r="E688" t="str">
        <f>"201903057719"</f>
        <v>201903057719</v>
      </c>
      <c r="F688" t="str">
        <f>"GRANT REIMBURSEMENT"</f>
        <v>GRANT REIMBURSEMENT</v>
      </c>
      <c r="G688" s="2">
        <v>11566.69</v>
      </c>
      <c r="H688" t="str">
        <f>"GRANT REIMBURSEMENT"</f>
        <v>GRANT REIMBURSEMENT</v>
      </c>
    </row>
    <row r="689" spans="1:8" x14ac:dyDescent="0.25">
      <c r="A689" t="s">
        <v>216</v>
      </c>
      <c r="B689">
        <v>549</v>
      </c>
      <c r="C689" s="2">
        <v>585</v>
      </c>
      <c r="D689" s="1">
        <v>43536</v>
      </c>
      <c r="E689" t="str">
        <f>"201903057728"</f>
        <v>201903057728</v>
      </c>
      <c r="F689" t="str">
        <f>"TRASH REMOVAL 02/25-02/28/P4"</f>
        <v>TRASH REMOVAL 02/25-02/28/P4</v>
      </c>
      <c r="G689" s="2">
        <v>312</v>
      </c>
      <c r="H689" t="str">
        <f>"TRASH REMOVAL 02/25-02/28/P4"</f>
        <v>TRASH REMOVAL 02/25-02/28/P4</v>
      </c>
    </row>
    <row r="690" spans="1:8" x14ac:dyDescent="0.25">
      <c r="E690" t="str">
        <f>"201903057729"</f>
        <v>201903057729</v>
      </c>
      <c r="F690" t="str">
        <f>"TRASH REMOVAL 03/04-03/08/P4"</f>
        <v>TRASH REMOVAL 03/04-03/08/P4</v>
      </c>
      <c r="G690" s="2">
        <v>273</v>
      </c>
      <c r="H690" t="str">
        <f>"TRASH REMOVAL 03/04-03/08/P4"</f>
        <v>TRASH REMOVAL 03/04-03/08/P4</v>
      </c>
    </row>
    <row r="691" spans="1:8" x14ac:dyDescent="0.25">
      <c r="A691" t="s">
        <v>216</v>
      </c>
      <c r="B691">
        <v>602</v>
      </c>
      <c r="C691" s="2">
        <v>734.5</v>
      </c>
      <c r="D691" s="1">
        <v>43550</v>
      </c>
      <c r="E691" t="str">
        <f>"201903197948"</f>
        <v>201903197948</v>
      </c>
      <c r="F691" t="str">
        <f>"TRASH REMOVAL/PCT#4"</f>
        <v>TRASH REMOVAL/PCT#4</v>
      </c>
      <c r="G691" s="2">
        <v>734.5</v>
      </c>
      <c r="H691" t="str">
        <f>"TRASH REMOVAL/PCT#4"</f>
        <v>TRASH REMOVAL/PCT#4</v>
      </c>
    </row>
    <row r="692" spans="1:8" x14ac:dyDescent="0.25">
      <c r="A692" t="s">
        <v>217</v>
      </c>
      <c r="B692">
        <v>81566</v>
      </c>
      <c r="C692" s="2">
        <v>110</v>
      </c>
      <c r="D692" s="1">
        <v>43549</v>
      </c>
      <c r="E692" t="str">
        <f>"201903208027"</f>
        <v>201903208027</v>
      </c>
      <c r="F692" t="str">
        <f>"FERAL HOGS"</f>
        <v>FERAL HOGS</v>
      </c>
      <c r="G692" s="2">
        <v>85</v>
      </c>
      <c r="H692" t="str">
        <f>"FERAL HOGS"</f>
        <v>FERAL HOGS</v>
      </c>
    </row>
    <row r="693" spans="1:8" x14ac:dyDescent="0.25">
      <c r="E693" t="str">
        <f>"201903208028"</f>
        <v>201903208028</v>
      </c>
      <c r="F693" t="str">
        <f>"FERAL HOGS"</f>
        <v>FERAL HOGS</v>
      </c>
      <c r="G693" s="2">
        <v>20</v>
      </c>
      <c r="H693" t="str">
        <f>"FERAL HOGS"</f>
        <v>FERAL HOGS</v>
      </c>
    </row>
    <row r="694" spans="1:8" x14ac:dyDescent="0.25">
      <c r="E694" t="str">
        <f>"201903208029"</f>
        <v>201903208029</v>
      </c>
      <c r="F694" t="str">
        <f>"FERAL HOGS"</f>
        <v>FERAL HOGS</v>
      </c>
      <c r="G694" s="2">
        <v>5</v>
      </c>
      <c r="H694" t="str">
        <f>"FERAL HOGS"</f>
        <v>FERAL HOGS</v>
      </c>
    </row>
    <row r="695" spans="1:8" x14ac:dyDescent="0.25">
      <c r="A695" t="s">
        <v>218</v>
      </c>
      <c r="B695">
        <v>81567</v>
      </c>
      <c r="C695" s="2">
        <v>400.02</v>
      </c>
      <c r="D695" s="1">
        <v>43549</v>
      </c>
      <c r="E695" t="str">
        <f>"201903157913"</f>
        <v>201903157913</v>
      </c>
      <c r="F695" t="str">
        <f>"acct# 99006938692"</f>
        <v>acct# 99006938692</v>
      </c>
      <c r="G695" s="2">
        <v>400.02</v>
      </c>
      <c r="H695" t="str">
        <f>"Inv# 911396"</f>
        <v>Inv# 911396</v>
      </c>
    </row>
    <row r="696" spans="1:8" x14ac:dyDescent="0.25">
      <c r="E696" t="str">
        <f>""</f>
        <v/>
      </c>
      <c r="F696" t="str">
        <f>""</f>
        <v/>
      </c>
      <c r="H696" t="str">
        <f>"Inv# 910974"</f>
        <v>Inv# 910974</v>
      </c>
    </row>
    <row r="697" spans="1:8" x14ac:dyDescent="0.25">
      <c r="E697" t="str">
        <f>""</f>
        <v/>
      </c>
      <c r="F697" t="str">
        <f>""</f>
        <v/>
      </c>
      <c r="H697" t="str">
        <f>"Inv# 910049"</f>
        <v>Inv# 910049</v>
      </c>
    </row>
    <row r="698" spans="1:8" x14ac:dyDescent="0.25">
      <c r="E698" t="str">
        <f>""</f>
        <v/>
      </c>
      <c r="F698" t="str">
        <f>""</f>
        <v/>
      </c>
      <c r="H698" t="str">
        <f>"Inv# 913287"</f>
        <v>Inv# 913287</v>
      </c>
    </row>
    <row r="699" spans="1:8" x14ac:dyDescent="0.25">
      <c r="E699" t="str">
        <f>""</f>
        <v/>
      </c>
      <c r="F699" t="str">
        <f>""</f>
        <v/>
      </c>
      <c r="H699" t="str">
        <f>"Inv# 901144"</f>
        <v>Inv# 901144</v>
      </c>
    </row>
    <row r="700" spans="1:8" x14ac:dyDescent="0.25">
      <c r="A700" t="s">
        <v>219</v>
      </c>
      <c r="B700">
        <v>81568</v>
      </c>
      <c r="C700" s="2">
        <v>35</v>
      </c>
      <c r="D700" s="1">
        <v>43549</v>
      </c>
      <c r="E700" t="str">
        <f>"201903208030"</f>
        <v>201903208030</v>
      </c>
      <c r="F700" t="str">
        <f>"FERAL HOGS"</f>
        <v>FERAL HOGS</v>
      </c>
      <c r="G700" s="2">
        <v>15</v>
      </c>
      <c r="H700" t="str">
        <f>"FERAL HOGS"</f>
        <v>FERAL HOGS</v>
      </c>
    </row>
    <row r="701" spans="1:8" x14ac:dyDescent="0.25">
      <c r="E701" t="str">
        <f>"201903208031"</f>
        <v>201903208031</v>
      </c>
      <c r="F701" t="str">
        <f>"FERAL HOGS"</f>
        <v>FERAL HOGS</v>
      </c>
      <c r="G701" s="2">
        <v>20</v>
      </c>
      <c r="H701" t="str">
        <f>"FERAL HOGS"</f>
        <v>FERAL HOGS</v>
      </c>
    </row>
    <row r="702" spans="1:8" x14ac:dyDescent="0.25">
      <c r="A702" t="s">
        <v>220</v>
      </c>
      <c r="B702">
        <v>81308</v>
      </c>
      <c r="C702" s="2">
        <v>41749.08</v>
      </c>
      <c r="D702" s="1">
        <v>43535</v>
      </c>
      <c r="E702" t="str">
        <f>"INVC059491"</f>
        <v>INVC059491</v>
      </c>
      <c r="F702" t="str">
        <f>"ACCT#4301300/APR30521A/19018"</f>
        <v>ACCT#4301300/APR30521A/19018</v>
      </c>
      <c r="G702" s="2">
        <v>41749.08</v>
      </c>
      <c r="H702" t="str">
        <f>"ACCT#4301300/APR30521A/19018"</f>
        <v>ACCT#4301300/APR30521A/19018</v>
      </c>
    </row>
    <row r="703" spans="1:8" x14ac:dyDescent="0.25">
      <c r="A703" t="s">
        <v>221</v>
      </c>
      <c r="B703">
        <v>81569</v>
      </c>
      <c r="C703" s="2">
        <v>244.69</v>
      </c>
      <c r="D703" s="1">
        <v>43549</v>
      </c>
      <c r="E703" t="str">
        <f>"201903117879"</f>
        <v>201903117879</v>
      </c>
      <c r="F703" t="str">
        <f>"CRIMINAL COURT 020619"</f>
        <v>CRIMINAL COURT 020619</v>
      </c>
      <c r="G703" s="2">
        <v>244.69</v>
      </c>
      <c r="H703" t="str">
        <f>"CRIMINAL COURT 020619"</f>
        <v>CRIMINAL COURT 020619</v>
      </c>
    </row>
    <row r="704" spans="1:8" x14ac:dyDescent="0.25">
      <c r="A704" t="s">
        <v>222</v>
      </c>
      <c r="B704">
        <v>598</v>
      </c>
      <c r="C704" s="2">
        <v>250</v>
      </c>
      <c r="D704" s="1">
        <v>43550</v>
      </c>
      <c r="E704" t="str">
        <f>"201903187933"</f>
        <v>201903187933</v>
      </c>
      <c r="F704" t="str">
        <f>"REIMBURSE CONFERENCE FEE"</f>
        <v>REIMBURSE CONFERENCE FEE</v>
      </c>
      <c r="G704" s="2">
        <v>250</v>
      </c>
      <c r="H704" t="str">
        <f>"REIMBURSE CONFERENCE FEE"</f>
        <v>REIMBURSE CONFERENCE FEE</v>
      </c>
    </row>
    <row r="705" spans="1:8" x14ac:dyDescent="0.25">
      <c r="A705" t="s">
        <v>223</v>
      </c>
      <c r="B705">
        <v>81570</v>
      </c>
      <c r="C705" s="2">
        <v>186.93</v>
      </c>
      <c r="D705" s="1">
        <v>43549</v>
      </c>
      <c r="E705" t="str">
        <f>"201903197973"</f>
        <v>201903197973</v>
      </c>
      <c r="F705" t="str">
        <f>"INDIGENT HEALTH"</f>
        <v>INDIGENT HEALTH</v>
      </c>
      <c r="G705" s="2">
        <v>186.93</v>
      </c>
      <c r="H705" t="str">
        <f>"INDIGENT HEALTH"</f>
        <v>INDIGENT HEALTH</v>
      </c>
    </row>
    <row r="706" spans="1:8" x14ac:dyDescent="0.25">
      <c r="A706" t="s">
        <v>224</v>
      </c>
      <c r="B706">
        <v>81571</v>
      </c>
      <c r="C706" s="2">
        <v>361.23</v>
      </c>
      <c r="D706" s="1">
        <v>43549</v>
      </c>
      <c r="E706" t="str">
        <f>"201903197960"</f>
        <v>201903197960</v>
      </c>
      <c r="F706" t="str">
        <f>"LODGING-SPENCER &amp; GRAYSON"</f>
        <v>LODGING-SPENCER &amp; GRAYSON</v>
      </c>
      <c r="G706" s="2">
        <v>361.23</v>
      </c>
      <c r="H706" t="str">
        <f>"LODGING"</f>
        <v>LODGING</v>
      </c>
    </row>
    <row r="707" spans="1:8" x14ac:dyDescent="0.25">
      <c r="A707" t="s">
        <v>225</v>
      </c>
      <c r="B707">
        <v>542</v>
      </c>
      <c r="C707" s="2">
        <v>1700</v>
      </c>
      <c r="D707" s="1">
        <v>43536</v>
      </c>
      <c r="E707" t="str">
        <f>"201903057645"</f>
        <v>201903057645</v>
      </c>
      <c r="F707" t="str">
        <f>"19-19465"</f>
        <v>19-19465</v>
      </c>
      <c r="G707" s="2">
        <v>325</v>
      </c>
      <c r="H707" t="str">
        <f>"19-19465"</f>
        <v>19-19465</v>
      </c>
    </row>
    <row r="708" spans="1:8" x14ac:dyDescent="0.25">
      <c r="E708" t="str">
        <f>"201903057646"</f>
        <v>201903057646</v>
      </c>
      <c r="F708" t="str">
        <f>"18-18885"</f>
        <v>18-18885</v>
      </c>
      <c r="G708" s="2">
        <v>325</v>
      </c>
      <c r="H708" t="str">
        <f>"18-18885"</f>
        <v>18-18885</v>
      </c>
    </row>
    <row r="709" spans="1:8" x14ac:dyDescent="0.25">
      <c r="E709" t="str">
        <f>"201903057647"</f>
        <v>201903057647</v>
      </c>
      <c r="F709" t="str">
        <f>"3030820186  925-348-537X-A001"</f>
        <v>3030820186  925-348-537X-A001</v>
      </c>
      <c r="G709" s="2">
        <v>100</v>
      </c>
      <c r="H709" t="str">
        <f>"3030820186  925-348-537X-A001"</f>
        <v>3030820186  925-348-537X-A001</v>
      </c>
    </row>
    <row r="710" spans="1:8" x14ac:dyDescent="0.25">
      <c r="E710" t="str">
        <f>"201903057648"</f>
        <v>201903057648</v>
      </c>
      <c r="F710" t="str">
        <f>"20170466  925-347-0534-A001 20"</f>
        <v>20170466  925-347-0534-A001 20</v>
      </c>
      <c r="G710" s="2">
        <v>100</v>
      </c>
      <c r="H710" t="str">
        <f>"20170466  925-347-0534-A001 20"</f>
        <v>20170466  925-347-0534-A001 20</v>
      </c>
    </row>
    <row r="711" spans="1:8" x14ac:dyDescent="0.25">
      <c r="E711" t="str">
        <f>"201903057649"</f>
        <v>201903057649</v>
      </c>
      <c r="F711" t="str">
        <f>"56 377"</f>
        <v>56 377</v>
      </c>
      <c r="G711" s="2">
        <v>250</v>
      </c>
      <c r="H711" t="str">
        <f>"56 377"</f>
        <v>56 377</v>
      </c>
    </row>
    <row r="712" spans="1:8" x14ac:dyDescent="0.25">
      <c r="E712" t="str">
        <f>"201903057650"</f>
        <v>201903057650</v>
      </c>
      <c r="F712" t="str">
        <f>"56 680"</f>
        <v>56 680</v>
      </c>
      <c r="G712" s="2">
        <v>250</v>
      </c>
      <c r="H712" t="str">
        <f>"56 680"</f>
        <v>56 680</v>
      </c>
    </row>
    <row r="713" spans="1:8" x14ac:dyDescent="0.25">
      <c r="E713" t="str">
        <f>"201903057651"</f>
        <v>201903057651</v>
      </c>
      <c r="F713" t="str">
        <f>"02-0812-5  925-390-2453-19001"</f>
        <v>02-0812-5  925-390-2453-19001</v>
      </c>
      <c r="G713" s="2">
        <v>100</v>
      </c>
      <c r="H713" t="str">
        <f>"02-0812-5  925-390-2453-19001"</f>
        <v>02-0812-5  925-390-2453-19001</v>
      </c>
    </row>
    <row r="714" spans="1:8" x14ac:dyDescent="0.25">
      <c r="E714" t="str">
        <f>"201903057652"</f>
        <v>201903057652</v>
      </c>
      <c r="F714" t="str">
        <f>"J-3164"</f>
        <v>J-3164</v>
      </c>
      <c r="G714" s="2">
        <v>250</v>
      </c>
      <c r="H714" t="str">
        <f>"J-3164"</f>
        <v>J-3164</v>
      </c>
    </row>
    <row r="715" spans="1:8" x14ac:dyDescent="0.25">
      <c r="A715" t="s">
        <v>226</v>
      </c>
      <c r="B715">
        <v>81572</v>
      </c>
      <c r="C715" s="2">
        <v>233.93</v>
      </c>
      <c r="D715" s="1">
        <v>43549</v>
      </c>
      <c r="E715" t="str">
        <f>"19257905"</f>
        <v>19257905</v>
      </c>
      <c r="F715" t="str">
        <f>"CUST#41472/PCT#1"</f>
        <v>CUST#41472/PCT#1</v>
      </c>
      <c r="G715" s="2">
        <v>23.73</v>
      </c>
      <c r="H715" t="str">
        <f>"CUST#41472/PCT#1"</f>
        <v>CUST#41472/PCT#1</v>
      </c>
    </row>
    <row r="716" spans="1:8" x14ac:dyDescent="0.25">
      <c r="E716" t="str">
        <f>"19257993"</f>
        <v>19257993</v>
      </c>
      <c r="F716" t="str">
        <f>"CUST#45057/PCT#4"</f>
        <v>CUST#45057/PCT#4</v>
      </c>
      <c r="G716" s="2">
        <v>42.73</v>
      </c>
      <c r="H716" t="str">
        <f>"CUST#45057/PCT#4"</f>
        <v>CUST#45057/PCT#4</v>
      </c>
    </row>
    <row r="717" spans="1:8" x14ac:dyDescent="0.25">
      <c r="E717" t="str">
        <f>"19258052"</f>
        <v>19258052</v>
      </c>
      <c r="F717" t="str">
        <f>"INV 19258052"</f>
        <v>INV 19258052</v>
      </c>
      <c r="G717" s="2">
        <v>47.47</v>
      </c>
      <c r="H717" t="str">
        <f>"INV 19258052"</f>
        <v>INV 19258052</v>
      </c>
    </row>
    <row r="718" spans="1:8" x14ac:dyDescent="0.25">
      <c r="E718" t="str">
        <f>"19265873"</f>
        <v>19265873</v>
      </c>
      <c r="F718" t="str">
        <f>"CUST#S9547/PCT#1"</f>
        <v>CUST#S9547/PCT#1</v>
      </c>
      <c r="G718" s="2">
        <v>120</v>
      </c>
      <c r="H718" t="str">
        <f>"CUST#S9547/PCT#1"</f>
        <v>CUST#S9547/PCT#1</v>
      </c>
    </row>
    <row r="719" spans="1:8" x14ac:dyDescent="0.25">
      <c r="A719" t="s">
        <v>227</v>
      </c>
      <c r="B719">
        <v>560</v>
      </c>
      <c r="C719" s="2">
        <v>28.64</v>
      </c>
      <c r="D719" s="1">
        <v>43536</v>
      </c>
      <c r="E719" t="str">
        <f>"668166"</f>
        <v>668166</v>
      </c>
      <c r="F719" t="str">
        <f>"ACCT#0900-98011130-001/SIGN SH"</f>
        <v>ACCT#0900-98011130-001/SIGN SH</v>
      </c>
      <c r="G719" s="2">
        <v>28.64</v>
      </c>
      <c r="H719" t="str">
        <f>"ACCT#0900-98011130-001/SIGN SH"</f>
        <v>ACCT#0900-98011130-001/SIGN SH</v>
      </c>
    </row>
    <row r="720" spans="1:8" x14ac:dyDescent="0.25">
      <c r="A720" t="s">
        <v>227</v>
      </c>
      <c r="B720">
        <v>611</v>
      </c>
      <c r="C720" s="2">
        <v>17.79</v>
      </c>
      <c r="D720" s="1">
        <v>43550</v>
      </c>
      <c r="E720" t="str">
        <f>"669073"</f>
        <v>669073</v>
      </c>
      <c r="F720" t="str">
        <f>"ACCT#900-98011130-001/PCT#3"</f>
        <v>ACCT#900-98011130-001/PCT#3</v>
      </c>
      <c r="G720" s="2">
        <v>17.79</v>
      </c>
      <c r="H720" t="str">
        <f>"ACCT#900-98011130-001/PCT#3"</f>
        <v>ACCT#900-98011130-001/PCT#3</v>
      </c>
    </row>
    <row r="721" spans="1:8" x14ac:dyDescent="0.25">
      <c r="A721" t="s">
        <v>228</v>
      </c>
      <c r="B721">
        <v>81309</v>
      </c>
      <c r="C721" s="2">
        <v>10800.34</v>
      </c>
      <c r="D721" s="1">
        <v>43535</v>
      </c>
      <c r="E721" t="str">
        <f>"201903057614"</f>
        <v>201903057614</v>
      </c>
      <c r="F721" t="str">
        <f>"COLLECTION FEES-FEBRUARY 2019"</f>
        <v>COLLECTION FEES-FEBRUARY 2019</v>
      </c>
      <c r="G721" s="2">
        <v>10800.34</v>
      </c>
      <c r="H721" t="str">
        <f>"COLLECTION FEES-FEBRUARY 2019"</f>
        <v>COLLECTION FEES-FEBRUARY 2019</v>
      </c>
    </row>
    <row r="722" spans="1:8" x14ac:dyDescent="0.25">
      <c r="A722" t="s">
        <v>228</v>
      </c>
      <c r="B722">
        <v>81573</v>
      </c>
      <c r="C722" s="2">
        <v>1250</v>
      </c>
      <c r="D722" s="1">
        <v>43549</v>
      </c>
      <c r="E722" t="str">
        <f>"12249"</f>
        <v>12249</v>
      </c>
      <c r="F722" t="str">
        <f>"ABST FEE  01/22/19"</f>
        <v>ABST FEE  01/22/19</v>
      </c>
      <c r="G722" s="2">
        <v>175</v>
      </c>
      <c r="H722" t="str">
        <f>"ABST FEE  01/22/19"</f>
        <v>ABST FEE  01/22/19</v>
      </c>
    </row>
    <row r="723" spans="1:8" x14ac:dyDescent="0.25">
      <c r="E723" t="str">
        <f>"12741"</f>
        <v>12741</v>
      </c>
      <c r="F723" t="str">
        <f>"ABST FEE  01/11/19"</f>
        <v>ABST FEE  01/11/19</v>
      </c>
      <c r="G723" s="2">
        <v>225</v>
      </c>
      <c r="H723" t="str">
        <f>"ABST FEE  01/11/19"</f>
        <v>ABST FEE  01/11/19</v>
      </c>
    </row>
    <row r="724" spans="1:8" x14ac:dyDescent="0.25">
      <c r="E724" t="str">
        <f>"12878"</f>
        <v>12878</v>
      </c>
      <c r="F724" t="str">
        <f>"ABST FEE 01/22/19"</f>
        <v>ABST FEE 01/22/19</v>
      </c>
      <c r="G724" s="2">
        <v>225</v>
      </c>
      <c r="H724" t="str">
        <f>"ABST FEE 01/22/19"</f>
        <v>ABST FEE 01/22/19</v>
      </c>
    </row>
    <row r="725" spans="1:8" x14ac:dyDescent="0.25">
      <c r="E725" t="str">
        <f>"13079  01/22/19"</f>
        <v>13079  01/22/19</v>
      </c>
      <c r="F725" t="str">
        <f>"ABST FEE"</f>
        <v>ABST FEE</v>
      </c>
      <c r="G725" s="2">
        <v>175</v>
      </c>
      <c r="H725" t="str">
        <f>"ABST FEE"</f>
        <v>ABST FEE</v>
      </c>
    </row>
    <row r="726" spans="1:8" x14ac:dyDescent="0.25">
      <c r="E726" t="str">
        <f>"13108"</f>
        <v>13108</v>
      </c>
      <c r="F726" t="str">
        <f>"ABST FEE  01/17/19"</f>
        <v>ABST FEE  01/17/19</v>
      </c>
      <c r="G726" s="2">
        <v>225</v>
      </c>
      <c r="H726" t="str">
        <f>"ABST FEE  01/17/19"</f>
        <v>ABST FEE  01/17/19</v>
      </c>
    </row>
    <row r="727" spans="1:8" x14ac:dyDescent="0.25">
      <c r="E727" t="str">
        <f>"13135"</f>
        <v>13135</v>
      </c>
      <c r="F727" t="str">
        <f>"ABST FEE  01/29"</f>
        <v>ABST FEE  01/29</v>
      </c>
      <c r="G727" s="2">
        <v>225</v>
      </c>
      <c r="H727" t="str">
        <f>"ABST FEE  01/29"</f>
        <v>ABST FEE  01/29</v>
      </c>
    </row>
    <row r="728" spans="1:8" x14ac:dyDescent="0.25">
      <c r="A728" t="s">
        <v>229</v>
      </c>
      <c r="B728">
        <v>81574</v>
      </c>
      <c r="C728" s="2">
        <v>1673.41</v>
      </c>
      <c r="D728" s="1">
        <v>43549</v>
      </c>
      <c r="E728" t="str">
        <f>"201903197988"</f>
        <v>201903197988</v>
      </c>
      <c r="F728" t="str">
        <f>"INDIGENT HEALTH"</f>
        <v>INDIGENT HEALTH</v>
      </c>
      <c r="G728" s="2">
        <v>1673.41</v>
      </c>
      <c r="H728" t="str">
        <f>"INDIGENT HEALTH"</f>
        <v>INDIGENT HEALTH</v>
      </c>
    </row>
    <row r="729" spans="1:8" x14ac:dyDescent="0.25">
      <c r="A729" t="s">
        <v>230</v>
      </c>
      <c r="B729">
        <v>81310</v>
      </c>
      <c r="C729" s="2">
        <v>2000</v>
      </c>
      <c r="D729" s="1">
        <v>43535</v>
      </c>
      <c r="E729" t="str">
        <f>"201903067837"</f>
        <v>201903067837</v>
      </c>
      <c r="F729" t="str">
        <f>"SURG SVCS 2/21 2/25 2/28 3/4"</f>
        <v>SURG SVCS 2/21 2/25 2/28 3/4</v>
      </c>
      <c r="G729" s="2">
        <v>2000</v>
      </c>
      <c r="H729" t="str">
        <f>"SURG SVCS 2/21 2/25 2/28 3/4"</f>
        <v>SURG SVCS 2/21 2/25 2/28 3/4</v>
      </c>
    </row>
    <row r="730" spans="1:8" x14ac:dyDescent="0.25">
      <c r="A730" t="s">
        <v>230</v>
      </c>
      <c r="B730">
        <v>81575</v>
      </c>
      <c r="C730" s="2">
        <v>1500</v>
      </c>
      <c r="D730" s="1">
        <v>43549</v>
      </c>
      <c r="E730" t="str">
        <f>"201903208005"</f>
        <v>201903208005</v>
      </c>
      <c r="F730" t="str">
        <f>"SURGICAL SVCS MARCH 7 11 14"</f>
        <v>SURGICAL SVCS MARCH 7 11 14</v>
      </c>
      <c r="G730" s="2">
        <v>1500</v>
      </c>
      <c r="H730" t="str">
        <f>"SURGICAL SVCS MARCH 7 11 14"</f>
        <v>SURGICAL SVCS MARCH 7 11 14</v>
      </c>
    </row>
    <row r="731" spans="1:8" x14ac:dyDescent="0.25">
      <c r="A731" t="s">
        <v>231</v>
      </c>
      <c r="B731">
        <v>599</v>
      </c>
      <c r="C731" s="2">
        <v>260</v>
      </c>
      <c r="D731" s="1">
        <v>43550</v>
      </c>
      <c r="E731" t="str">
        <f>"201903207997"</f>
        <v>201903207997</v>
      </c>
      <c r="F731" t="str">
        <f>"REIMBURSE-CONFERENCE/PARKING"</f>
        <v>REIMBURSE-CONFERENCE/PARKING</v>
      </c>
      <c r="G731" s="2">
        <v>260</v>
      </c>
      <c r="H731" t="str">
        <f>"REIMBURSE-CONFERENCE/PARKING"</f>
        <v>REIMBURSE-CONFERENCE/PARKING</v>
      </c>
    </row>
    <row r="732" spans="1:8" x14ac:dyDescent="0.25">
      <c r="A732" t="s">
        <v>232</v>
      </c>
      <c r="B732">
        <v>81576</v>
      </c>
      <c r="C732" s="2">
        <v>36.08</v>
      </c>
      <c r="D732" s="1">
        <v>43549</v>
      </c>
      <c r="E732" t="str">
        <f>"201903127895"</f>
        <v>201903127895</v>
      </c>
      <c r="F732" t="str">
        <f>"MILEAGE REIMBURSEMENT"</f>
        <v>MILEAGE REIMBURSEMENT</v>
      </c>
      <c r="G732" s="2">
        <v>36.08</v>
      </c>
      <c r="H732" t="str">
        <f>"MILEAGE REIMBURSEMENT"</f>
        <v>MILEAGE REIMBURSEMENT</v>
      </c>
    </row>
    <row r="733" spans="1:8" x14ac:dyDescent="0.25">
      <c r="A733" t="s">
        <v>233</v>
      </c>
      <c r="B733">
        <v>81577</v>
      </c>
      <c r="C733" s="2">
        <v>10</v>
      </c>
      <c r="D733" s="1">
        <v>43549</v>
      </c>
      <c r="E733" t="str">
        <f>"201903208032"</f>
        <v>201903208032</v>
      </c>
      <c r="F733" t="str">
        <f>"FERAL HOGS"</f>
        <v>FERAL HOGS</v>
      </c>
      <c r="G733" s="2">
        <v>10</v>
      </c>
      <c r="H733" t="str">
        <f>"FERAL HOGS"</f>
        <v>FERAL HOGS</v>
      </c>
    </row>
    <row r="734" spans="1:8" x14ac:dyDescent="0.25">
      <c r="A734" t="s">
        <v>234</v>
      </c>
      <c r="B734">
        <v>81311</v>
      </c>
      <c r="C734" s="2">
        <v>4392.7</v>
      </c>
      <c r="D734" s="1">
        <v>43535</v>
      </c>
      <c r="E734" t="str">
        <f>"18994"</f>
        <v>18994</v>
      </c>
      <c r="F734" t="str">
        <f t="shared" ref="F734:F739" si="10">"FREIGHT SALES/PCT#2"</f>
        <v>FREIGHT SALES/PCT#2</v>
      </c>
      <c r="G734" s="2">
        <v>2254.75</v>
      </c>
      <c r="H734" t="str">
        <f t="shared" ref="H734:H739" si="11">"FREIGHT SALES/PCT#2"</f>
        <v>FREIGHT SALES/PCT#2</v>
      </c>
    </row>
    <row r="735" spans="1:8" x14ac:dyDescent="0.25">
      <c r="E735" t="str">
        <f>"19050"</f>
        <v>19050</v>
      </c>
      <c r="F735" t="str">
        <f t="shared" si="10"/>
        <v>FREIGHT SALES/PCT#2</v>
      </c>
      <c r="G735" s="2">
        <v>1327.35</v>
      </c>
      <c r="H735" t="str">
        <f t="shared" si="11"/>
        <v>FREIGHT SALES/PCT#2</v>
      </c>
    </row>
    <row r="736" spans="1:8" x14ac:dyDescent="0.25">
      <c r="E736" t="str">
        <f>"201903077875"</f>
        <v>201903077875</v>
      </c>
      <c r="F736" t="str">
        <f t="shared" si="10"/>
        <v>FREIGHT SALES/PCT#2</v>
      </c>
      <c r="G736" s="2">
        <v>810.6</v>
      </c>
      <c r="H736" t="str">
        <f t="shared" si="11"/>
        <v>FREIGHT SALES/PCT#2</v>
      </c>
    </row>
    <row r="737" spans="1:8" x14ac:dyDescent="0.25">
      <c r="A737" t="s">
        <v>234</v>
      </c>
      <c r="B737">
        <v>81578</v>
      </c>
      <c r="C737" s="2">
        <v>4768.8</v>
      </c>
      <c r="D737" s="1">
        <v>43549</v>
      </c>
      <c r="E737" t="str">
        <f>"19073"</f>
        <v>19073</v>
      </c>
      <c r="F737" t="str">
        <f t="shared" si="10"/>
        <v>FREIGHT SALES/PCT#2</v>
      </c>
      <c r="G737" s="2">
        <v>1913.95</v>
      </c>
      <c r="H737" t="str">
        <f t="shared" si="11"/>
        <v>FREIGHT SALES/PCT#2</v>
      </c>
    </row>
    <row r="738" spans="1:8" x14ac:dyDescent="0.25">
      <c r="E738" t="str">
        <f>"19128"</f>
        <v>19128</v>
      </c>
      <c r="F738" t="str">
        <f t="shared" si="10"/>
        <v>FREIGHT SALES/PCT#2</v>
      </c>
      <c r="G738" s="2">
        <v>1649.25</v>
      </c>
      <c r="H738" t="str">
        <f t="shared" si="11"/>
        <v>FREIGHT SALES/PCT#2</v>
      </c>
    </row>
    <row r="739" spans="1:8" x14ac:dyDescent="0.25">
      <c r="E739" t="str">
        <f>"19135"</f>
        <v>19135</v>
      </c>
      <c r="F739" t="str">
        <f t="shared" si="10"/>
        <v>FREIGHT SALES/PCT#2</v>
      </c>
      <c r="G739" s="2">
        <v>1205.5999999999999</v>
      </c>
      <c r="H739" t="str">
        <f t="shared" si="11"/>
        <v>FREIGHT SALES/PCT#2</v>
      </c>
    </row>
    <row r="740" spans="1:8" x14ac:dyDescent="0.25">
      <c r="A740" t="s">
        <v>235</v>
      </c>
      <c r="B740">
        <v>81312</v>
      </c>
      <c r="C740" s="2">
        <v>7000</v>
      </c>
      <c r="D740" s="1">
        <v>43535</v>
      </c>
      <c r="E740" t="str">
        <f>"201903017585"</f>
        <v>201903017585</v>
      </c>
      <c r="F740" t="str">
        <f>"JAN-FEB 2019 MONITORING"</f>
        <v>JAN-FEB 2019 MONITORING</v>
      </c>
      <c r="G740" s="2">
        <v>7000</v>
      </c>
      <c r="H740" t="str">
        <f>"JAN-FEB 2019 MONITORING"</f>
        <v>JAN-FEB 2019 MONITORING</v>
      </c>
    </row>
    <row r="741" spans="1:8" x14ac:dyDescent="0.25">
      <c r="A741" t="s">
        <v>236</v>
      </c>
      <c r="B741">
        <v>612</v>
      </c>
      <c r="C741" s="2">
        <v>563.02</v>
      </c>
      <c r="D741" s="1">
        <v>43550</v>
      </c>
      <c r="E741" t="str">
        <f>"011953902 01219536"</f>
        <v>011953902 01219536</v>
      </c>
      <c r="F741" t="str">
        <f>"INV 011953902"</f>
        <v>INV 011953902</v>
      </c>
      <c r="G741" s="2">
        <v>307.02</v>
      </c>
      <c r="H741" t="str">
        <f>"INV 011953902"</f>
        <v>INV 011953902</v>
      </c>
    </row>
    <row r="742" spans="1:8" x14ac:dyDescent="0.25">
      <c r="E742" t="str">
        <f>""</f>
        <v/>
      </c>
      <c r="F742" t="str">
        <f>""</f>
        <v/>
      </c>
      <c r="H742" t="str">
        <f>"INV 012195367"</f>
        <v>INV 012195367</v>
      </c>
    </row>
    <row r="743" spans="1:8" x14ac:dyDescent="0.25">
      <c r="E743" t="str">
        <f>"012145014"</f>
        <v>012145014</v>
      </c>
      <c r="F743" t="str">
        <f>"INV 012145014"</f>
        <v>INV 012145014</v>
      </c>
      <c r="G743" s="2">
        <v>220</v>
      </c>
      <c r="H743" t="str">
        <f>"INV 012145014"</f>
        <v>INV 012145014</v>
      </c>
    </row>
    <row r="744" spans="1:8" x14ac:dyDescent="0.25">
      <c r="E744" t="str">
        <f>"129656"</f>
        <v>129656</v>
      </c>
      <c r="F744" t="str">
        <f>"INV 129656"</f>
        <v>INV 129656</v>
      </c>
      <c r="G744" s="2">
        <v>12</v>
      </c>
      <c r="H744" t="str">
        <f>"INV 129656"</f>
        <v>INV 129656</v>
      </c>
    </row>
    <row r="745" spans="1:8" x14ac:dyDescent="0.25">
      <c r="E745" t="str">
        <f>"129658"</f>
        <v>129658</v>
      </c>
      <c r="F745" t="str">
        <f>"INV 129658"</f>
        <v>INV 129658</v>
      </c>
      <c r="G745" s="2">
        <v>24</v>
      </c>
      <c r="H745" t="str">
        <f>"INV 129658"</f>
        <v>INV 129658</v>
      </c>
    </row>
    <row r="746" spans="1:8" x14ac:dyDescent="0.25">
      <c r="A746" t="s">
        <v>237</v>
      </c>
      <c r="B746">
        <v>81215</v>
      </c>
      <c r="C746" s="2">
        <v>40</v>
      </c>
      <c r="D746" s="1">
        <v>43525</v>
      </c>
      <c r="E746" t="str">
        <f>"201903017564"</f>
        <v>201903017564</v>
      </c>
      <c r="F746" t="str">
        <f>"Misc"</f>
        <v>Misc</v>
      </c>
      <c r="G746" s="2">
        <v>40</v>
      </c>
      <c r="H746" t="str">
        <f>"ADREA LETRICE BRIDGEMAN"</f>
        <v>ADREA LETRICE BRIDGEMAN</v>
      </c>
    </row>
    <row r="747" spans="1:8" x14ac:dyDescent="0.25">
      <c r="A747" t="s">
        <v>238</v>
      </c>
      <c r="B747">
        <v>81216</v>
      </c>
      <c r="C747" s="2">
        <v>40</v>
      </c>
      <c r="D747" s="1">
        <v>43525</v>
      </c>
      <c r="E747" t="str">
        <f>"201903017565"</f>
        <v>201903017565</v>
      </c>
      <c r="F747" t="str">
        <f>"Misc"</f>
        <v>Misc</v>
      </c>
      <c r="G747" s="2">
        <v>40</v>
      </c>
      <c r="H747" t="str">
        <f>"JOSEPH EDWARD GRUNINGER"</f>
        <v>JOSEPH EDWARD GRUNINGER</v>
      </c>
    </row>
    <row r="748" spans="1:8" x14ac:dyDescent="0.25">
      <c r="A748" t="s">
        <v>239</v>
      </c>
      <c r="B748">
        <v>81217</v>
      </c>
      <c r="C748" s="2">
        <v>40</v>
      </c>
      <c r="D748" s="1">
        <v>43525</v>
      </c>
      <c r="E748" t="str">
        <f>"201903017566"</f>
        <v>201903017566</v>
      </c>
      <c r="F748" t="str">
        <f>"Miscel"</f>
        <v>Miscel</v>
      </c>
      <c r="G748" s="2">
        <v>40</v>
      </c>
      <c r="H748" t="str">
        <f>"JEFFREY RUSSELL KRITZ"</f>
        <v>JEFFREY RUSSELL KRITZ</v>
      </c>
    </row>
    <row r="749" spans="1:8" x14ac:dyDescent="0.25">
      <c r="A749" t="s">
        <v>240</v>
      </c>
      <c r="B749">
        <v>81218</v>
      </c>
      <c r="C749" s="2">
        <v>40</v>
      </c>
      <c r="D749" s="1">
        <v>43525</v>
      </c>
      <c r="E749" t="str">
        <f>"201903017567"</f>
        <v>201903017567</v>
      </c>
      <c r="F749" t="str">
        <f>"Miscell"</f>
        <v>Miscell</v>
      </c>
      <c r="G749" s="2">
        <v>40</v>
      </c>
      <c r="H749" t="str">
        <f>"MICHELLE LYNN HARRIS"</f>
        <v>MICHELLE LYNN HARRIS</v>
      </c>
    </row>
    <row r="750" spans="1:8" x14ac:dyDescent="0.25">
      <c r="A750" t="s">
        <v>241</v>
      </c>
      <c r="B750">
        <v>81219</v>
      </c>
      <c r="C750" s="2">
        <v>40</v>
      </c>
      <c r="D750" s="1">
        <v>43525</v>
      </c>
      <c r="E750" t="str">
        <f>"201903017568"</f>
        <v>201903017568</v>
      </c>
      <c r="F750" t="str">
        <f>"Misce"</f>
        <v>Misce</v>
      </c>
      <c r="G750" s="2">
        <v>40</v>
      </c>
      <c r="H750" t="str">
        <f>"MELANIE MARLENE EASLEY"</f>
        <v>MELANIE MARLENE EASLEY</v>
      </c>
    </row>
    <row r="751" spans="1:8" x14ac:dyDescent="0.25">
      <c r="A751" t="s">
        <v>242</v>
      </c>
      <c r="B751">
        <v>81220</v>
      </c>
      <c r="C751" s="2">
        <v>40</v>
      </c>
      <c r="D751" s="1">
        <v>43525</v>
      </c>
      <c r="E751" t="str">
        <f>"201903017569"</f>
        <v>201903017569</v>
      </c>
      <c r="F751" t="str">
        <f>"Miscellane"</f>
        <v>Miscellane</v>
      </c>
      <c r="G751" s="2">
        <v>40</v>
      </c>
      <c r="H751" t="str">
        <f>"JOHN MICHAEL COON"</f>
        <v>JOHN MICHAEL COON</v>
      </c>
    </row>
    <row r="752" spans="1:8" x14ac:dyDescent="0.25">
      <c r="A752" t="s">
        <v>243</v>
      </c>
      <c r="B752">
        <v>81221</v>
      </c>
      <c r="C752" s="2">
        <v>40</v>
      </c>
      <c r="D752" s="1">
        <v>43525</v>
      </c>
      <c r="E752" t="str">
        <f>"201903017570"</f>
        <v>201903017570</v>
      </c>
      <c r="F752" t="str">
        <f>"Miscel"</f>
        <v>Miscel</v>
      </c>
      <c r="G752" s="2">
        <v>40</v>
      </c>
      <c r="H752" t="str">
        <f>"ELIZABETH RICHVOLDSEN"</f>
        <v>ELIZABETH RICHVOLDSEN</v>
      </c>
    </row>
    <row r="753" spans="1:8" x14ac:dyDescent="0.25">
      <c r="A753" t="s">
        <v>244</v>
      </c>
      <c r="B753">
        <v>81222</v>
      </c>
      <c r="C753" s="2">
        <v>40</v>
      </c>
      <c r="D753" s="1">
        <v>43525</v>
      </c>
      <c r="E753" t="str">
        <f>"201903017571"</f>
        <v>201903017571</v>
      </c>
      <c r="F753" t="str">
        <f>"Miscella"</f>
        <v>Miscella</v>
      </c>
      <c r="G753" s="2">
        <v>40</v>
      </c>
      <c r="H753" t="str">
        <f>"DAVID EARL MCMULLEN"</f>
        <v>DAVID EARL MCMULLEN</v>
      </c>
    </row>
    <row r="754" spans="1:8" x14ac:dyDescent="0.25">
      <c r="A754" t="s">
        <v>245</v>
      </c>
      <c r="B754">
        <v>81223</v>
      </c>
      <c r="C754" s="2">
        <v>40</v>
      </c>
      <c r="D754" s="1">
        <v>43525</v>
      </c>
      <c r="E754" t="str">
        <f>"201903017572"</f>
        <v>201903017572</v>
      </c>
      <c r="F754" t="str">
        <f>"Misce"</f>
        <v>Misce</v>
      </c>
      <c r="G754" s="2">
        <v>40</v>
      </c>
      <c r="H754" t="str">
        <f>"ARRION SAVINO ESPINOZA"</f>
        <v>ARRION SAVINO ESPINOZA</v>
      </c>
    </row>
    <row r="755" spans="1:8" x14ac:dyDescent="0.25">
      <c r="A755" t="s">
        <v>246</v>
      </c>
      <c r="B755">
        <v>81224</v>
      </c>
      <c r="C755" s="2">
        <v>40</v>
      </c>
      <c r="D755" s="1">
        <v>43525</v>
      </c>
      <c r="E755" t="str">
        <f>"201903017573"</f>
        <v>201903017573</v>
      </c>
      <c r="F755" t="str">
        <f>"Miscellaneous"</f>
        <v>Miscellaneous</v>
      </c>
      <c r="G755" s="2">
        <v>40</v>
      </c>
      <c r="H755" t="str">
        <f>"DIXIE ANN KING"</f>
        <v>DIXIE ANN KING</v>
      </c>
    </row>
    <row r="756" spans="1:8" x14ac:dyDescent="0.25">
      <c r="A756" t="s">
        <v>247</v>
      </c>
      <c r="B756">
        <v>81225</v>
      </c>
      <c r="C756" s="2">
        <v>40</v>
      </c>
      <c r="D756" s="1">
        <v>43525</v>
      </c>
      <c r="E756" t="str">
        <f>"201903017574"</f>
        <v>201903017574</v>
      </c>
      <c r="F756" t="str">
        <f>"Miscellaneou"</f>
        <v>Miscellaneou</v>
      </c>
      <c r="G756" s="2">
        <v>40</v>
      </c>
      <c r="H756" t="str">
        <f>"ROBYNE M TAYLOR"</f>
        <v>ROBYNE M TAYLOR</v>
      </c>
    </row>
    <row r="757" spans="1:8" x14ac:dyDescent="0.25">
      <c r="A757" t="s">
        <v>248</v>
      </c>
      <c r="B757">
        <v>81226</v>
      </c>
      <c r="C757" s="2">
        <v>40</v>
      </c>
      <c r="D757" s="1">
        <v>43525</v>
      </c>
      <c r="E757" t="str">
        <f>"201903017575"</f>
        <v>201903017575</v>
      </c>
      <c r="F757" t="str">
        <f>"Miscella"</f>
        <v>Miscella</v>
      </c>
      <c r="G757" s="2">
        <v>40</v>
      </c>
      <c r="H757" t="str">
        <f>"MAIRA LORENA GORMAN"</f>
        <v>MAIRA LORENA GORMAN</v>
      </c>
    </row>
    <row r="758" spans="1:8" x14ac:dyDescent="0.25">
      <c r="A758" t="s">
        <v>249</v>
      </c>
      <c r="B758">
        <v>81391</v>
      </c>
      <c r="C758" s="2">
        <v>216</v>
      </c>
      <c r="D758" s="1">
        <v>43549</v>
      </c>
      <c r="E758" t="str">
        <f>"201903258052"</f>
        <v>201903258052</v>
      </c>
      <c r="F758" t="str">
        <f>"Miscell"</f>
        <v>Miscell</v>
      </c>
      <c r="G758" s="2">
        <v>216</v>
      </c>
      <c r="H758" t="str">
        <f>"Family Crisis Center"</f>
        <v>Family Crisis Center</v>
      </c>
    </row>
    <row r="759" spans="1:8" x14ac:dyDescent="0.25">
      <c r="A759" t="s">
        <v>250</v>
      </c>
      <c r="B759">
        <v>81392</v>
      </c>
      <c r="C759" s="2">
        <v>186</v>
      </c>
      <c r="D759" s="1">
        <v>43549</v>
      </c>
      <c r="E759" t="str">
        <f>"201903258053"</f>
        <v>201903258053</v>
      </c>
      <c r="F759" t="str">
        <f>"M"</f>
        <v>M</v>
      </c>
      <c r="G759" s="2">
        <v>186</v>
      </c>
      <c r="H759" t="str">
        <f>"Children's Advocacy Center"</f>
        <v>Children's Advocacy Center</v>
      </c>
    </row>
    <row r="760" spans="1:8" x14ac:dyDescent="0.25">
      <c r="A760" t="s">
        <v>251</v>
      </c>
      <c r="B760">
        <v>81393</v>
      </c>
      <c r="C760" s="2">
        <v>48</v>
      </c>
      <c r="D760" s="1">
        <v>43549</v>
      </c>
      <c r="E760" t="str">
        <f>"201903258054"</f>
        <v>201903258054</v>
      </c>
      <c r="F760" t="str">
        <f>""</f>
        <v/>
      </c>
      <c r="G760" s="2">
        <v>48</v>
      </c>
      <c r="H760" t="str">
        <f>"COURT APPOINTED SPECIAL ADVOCA"</f>
        <v>COURT APPOINTED SPECIAL ADVOCA</v>
      </c>
    </row>
    <row r="761" spans="1:8" x14ac:dyDescent="0.25">
      <c r="A761" t="s">
        <v>252</v>
      </c>
      <c r="B761">
        <v>81394</v>
      </c>
      <c r="C761" s="2">
        <v>312</v>
      </c>
      <c r="D761" s="1">
        <v>43549</v>
      </c>
      <c r="E761" t="str">
        <f>"201903258055"</f>
        <v>201903258055</v>
      </c>
      <c r="F761" t="str">
        <f>"Mi"</f>
        <v>Mi</v>
      </c>
      <c r="G761" s="2">
        <v>312</v>
      </c>
      <c r="H761" t="str">
        <f>"Child Protective Services"</f>
        <v>Child Protective Services</v>
      </c>
    </row>
    <row r="762" spans="1:8" x14ac:dyDescent="0.25">
      <c r="A762" t="s">
        <v>253</v>
      </c>
      <c r="B762">
        <v>81395</v>
      </c>
      <c r="C762" s="2">
        <v>6</v>
      </c>
      <c r="D762" s="1">
        <v>43549</v>
      </c>
      <c r="E762" t="str">
        <f>"201903258056"</f>
        <v>201903258056</v>
      </c>
      <c r="F762" t="str">
        <f>"Misce"</f>
        <v>Misce</v>
      </c>
      <c r="G762" s="2">
        <v>6</v>
      </c>
      <c r="H762" t="str">
        <f>"GERALD EDWARD ZAMPANTI"</f>
        <v>GERALD EDWARD ZAMPANTI</v>
      </c>
    </row>
    <row r="763" spans="1:8" x14ac:dyDescent="0.25">
      <c r="A763" t="s">
        <v>254</v>
      </c>
      <c r="B763">
        <v>81396</v>
      </c>
      <c r="C763" s="2">
        <v>6</v>
      </c>
      <c r="D763" s="1">
        <v>43549</v>
      </c>
      <c r="E763" t="str">
        <f>"201903258057"</f>
        <v>201903258057</v>
      </c>
      <c r="F763" t="str">
        <f>""</f>
        <v/>
      </c>
      <c r="G763" s="2">
        <v>6</v>
      </c>
      <c r="H763" t="str">
        <f>"SETH RAYMOND STEFANI HARVEY"</f>
        <v>SETH RAYMOND STEFANI HARVEY</v>
      </c>
    </row>
    <row r="764" spans="1:8" x14ac:dyDescent="0.25">
      <c r="A764" t="s">
        <v>255</v>
      </c>
      <c r="B764">
        <v>81397</v>
      </c>
      <c r="C764" s="2">
        <v>6</v>
      </c>
      <c r="D764" s="1">
        <v>43549</v>
      </c>
      <c r="E764" t="str">
        <f>"201903258058"</f>
        <v>201903258058</v>
      </c>
      <c r="F764" t="str">
        <f>"Miscella"</f>
        <v>Miscella</v>
      </c>
      <c r="G764" s="2">
        <v>6</v>
      </c>
      <c r="H764" t="str">
        <f>"CAMILA RACHEL MUNOZ"</f>
        <v>CAMILA RACHEL MUNOZ</v>
      </c>
    </row>
    <row r="765" spans="1:8" x14ac:dyDescent="0.25">
      <c r="A765" t="s">
        <v>256</v>
      </c>
      <c r="B765">
        <v>81398</v>
      </c>
      <c r="C765" s="2">
        <v>6</v>
      </c>
      <c r="D765" s="1">
        <v>43549</v>
      </c>
      <c r="E765" t="str">
        <f>"201903258059"</f>
        <v>201903258059</v>
      </c>
      <c r="F765" t="str">
        <f>"Miscel"</f>
        <v>Miscel</v>
      </c>
      <c r="G765" s="2">
        <v>6</v>
      </c>
      <c r="H765" t="str">
        <f>"DEANNA MICHELLE GUISE"</f>
        <v>DEANNA MICHELLE GUISE</v>
      </c>
    </row>
    <row r="766" spans="1:8" x14ac:dyDescent="0.25">
      <c r="A766" t="s">
        <v>257</v>
      </c>
      <c r="B766">
        <v>81399</v>
      </c>
      <c r="C766" s="2">
        <v>6</v>
      </c>
      <c r="D766" s="1">
        <v>43549</v>
      </c>
      <c r="E766" t="str">
        <f>"201903258060"</f>
        <v>201903258060</v>
      </c>
      <c r="F766" t="str">
        <f>"Miscellaneo"</f>
        <v>Miscellaneo</v>
      </c>
      <c r="G766" s="2">
        <v>6</v>
      </c>
      <c r="H766" t="str">
        <f>"RHONDA GAY MYERS"</f>
        <v>RHONDA GAY MYERS</v>
      </c>
    </row>
    <row r="767" spans="1:8" x14ac:dyDescent="0.25">
      <c r="A767" t="s">
        <v>258</v>
      </c>
      <c r="B767">
        <v>81400</v>
      </c>
      <c r="C767" s="2">
        <v>6</v>
      </c>
      <c r="D767" s="1">
        <v>43549</v>
      </c>
      <c r="E767" t="str">
        <f>"201903258061"</f>
        <v>201903258061</v>
      </c>
      <c r="F767" t="str">
        <f>"Miscell"</f>
        <v>Miscell</v>
      </c>
      <c r="G767" s="2">
        <v>6</v>
      </c>
      <c r="H767" t="str">
        <f>"JOAN MICHELLE SILVES"</f>
        <v>JOAN MICHELLE SILVES</v>
      </c>
    </row>
    <row r="768" spans="1:8" x14ac:dyDescent="0.25">
      <c r="A768" t="s">
        <v>259</v>
      </c>
      <c r="B768">
        <v>81401</v>
      </c>
      <c r="C768" s="2">
        <v>6</v>
      </c>
      <c r="D768" s="1">
        <v>43549</v>
      </c>
      <c r="E768" t="str">
        <f>"201903258062"</f>
        <v>201903258062</v>
      </c>
      <c r="F768" t="str">
        <f>"Miscel"</f>
        <v>Miscel</v>
      </c>
      <c r="G768" s="2">
        <v>6</v>
      </c>
      <c r="H768" t="str">
        <f>"ROBERT LOUIS SNOOK JR"</f>
        <v>ROBERT LOUIS SNOOK JR</v>
      </c>
    </row>
    <row r="769" spans="1:8" x14ac:dyDescent="0.25">
      <c r="A769" t="s">
        <v>260</v>
      </c>
      <c r="B769">
        <v>81402</v>
      </c>
      <c r="C769" s="2">
        <v>6</v>
      </c>
      <c r="D769" s="1">
        <v>43549</v>
      </c>
      <c r="E769" t="str">
        <f>"201903258063"</f>
        <v>201903258063</v>
      </c>
      <c r="F769" t="str">
        <f>"Miscellan"</f>
        <v>Miscellan</v>
      </c>
      <c r="G769" s="2">
        <v>6</v>
      </c>
      <c r="H769" t="str">
        <f>"WILLIE RAY STOGLIN"</f>
        <v>WILLIE RAY STOGLIN</v>
      </c>
    </row>
    <row r="770" spans="1:8" x14ac:dyDescent="0.25">
      <c r="A770" t="s">
        <v>261</v>
      </c>
      <c r="B770">
        <v>81403</v>
      </c>
      <c r="C770" s="2">
        <v>6</v>
      </c>
      <c r="D770" s="1">
        <v>43549</v>
      </c>
      <c r="E770" t="str">
        <f>"201903258064"</f>
        <v>201903258064</v>
      </c>
      <c r="F770" t="str">
        <f>"Miscellaneou"</f>
        <v>Miscellaneou</v>
      </c>
      <c r="G770" s="2">
        <v>6</v>
      </c>
      <c r="H770" t="str">
        <f>"LINDA KAY CUNDY"</f>
        <v>LINDA KAY CUNDY</v>
      </c>
    </row>
    <row r="771" spans="1:8" x14ac:dyDescent="0.25">
      <c r="A771" t="s">
        <v>262</v>
      </c>
      <c r="B771">
        <v>81404</v>
      </c>
      <c r="C771" s="2">
        <v>6</v>
      </c>
      <c r="D771" s="1">
        <v>43549</v>
      </c>
      <c r="E771" t="str">
        <f>"201903258065"</f>
        <v>201903258065</v>
      </c>
      <c r="F771" t="str">
        <f>"Mis"</f>
        <v>Mis</v>
      </c>
      <c r="G771" s="2">
        <v>6</v>
      </c>
      <c r="H771" t="str">
        <f>"MICHELE SPAINHOUR RUMOHR"</f>
        <v>MICHELE SPAINHOUR RUMOHR</v>
      </c>
    </row>
    <row r="772" spans="1:8" x14ac:dyDescent="0.25">
      <c r="A772" t="s">
        <v>263</v>
      </c>
      <c r="B772">
        <v>81405</v>
      </c>
      <c r="C772" s="2">
        <v>6</v>
      </c>
      <c r="D772" s="1">
        <v>43549</v>
      </c>
      <c r="E772" t="str">
        <f>"201903258066"</f>
        <v>201903258066</v>
      </c>
      <c r="F772" t="str">
        <f>"Miscellane"</f>
        <v>Miscellane</v>
      </c>
      <c r="G772" s="2">
        <v>6</v>
      </c>
      <c r="H772" t="str">
        <f>"SCOTT DENNIS MICK"</f>
        <v>SCOTT DENNIS MICK</v>
      </c>
    </row>
    <row r="773" spans="1:8" x14ac:dyDescent="0.25">
      <c r="A773" t="s">
        <v>264</v>
      </c>
      <c r="B773">
        <v>81406</v>
      </c>
      <c r="C773" s="2">
        <v>6</v>
      </c>
      <c r="D773" s="1">
        <v>43549</v>
      </c>
      <c r="E773" t="str">
        <f>"201903258067"</f>
        <v>201903258067</v>
      </c>
      <c r="F773" t="str">
        <f>"Miscellaneous"</f>
        <v>Miscellaneous</v>
      </c>
      <c r="G773" s="2">
        <v>6</v>
      </c>
      <c r="H773" t="str">
        <f>"JOE LANE KYSER"</f>
        <v>JOE LANE KYSER</v>
      </c>
    </row>
    <row r="774" spans="1:8" x14ac:dyDescent="0.25">
      <c r="A774" t="s">
        <v>265</v>
      </c>
      <c r="B774">
        <v>81407</v>
      </c>
      <c r="C774" s="2">
        <v>6</v>
      </c>
      <c r="D774" s="1">
        <v>43549</v>
      </c>
      <c r="E774" t="str">
        <f>"201903258068"</f>
        <v>201903258068</v>
      </c>
      <c r="F774" t="str">
        <f>"Mis"</f>
        <v>Mis</v>
      </c>
      <c r="G774" s="2">
        <v>6</v>
      </c>
      <c r="H774" t="str">
        <f>"ANDREW PORTER VAN CLEAVE"</f>
        <v>ANDREW PORTER VAN CLEAVE</v>
      </c>
    </row>
    <row r="775" spans="1:8" x14ac:dyDescent="0.25">
      <c r="A775" t="s">
        <v>266</v>
      </c>
      <c r="B775">
        <v>81408</v>
      </c>
      <c r="C775" s="2">
        <v>6</v>
      </c>
      <c r="D775" s="1">
        <v>43549</v>
      </c>
      <c r="E775" t="str">
        <f>"201903258069"</f>
        <v>201903258069</v>
      </c>
      <c r="F775" t="str">
        <f>"Miscellaneo"</f>
        <v>Miscellaneo</v>
      </c>
      <c r="G775" s="2">
        <v>6</v>
      </c>
      <c r="H775" t="str">
        <f>"ROBERT F WEGLARZ"</f>
        <v>ROBERT F WEGLARZ</v>
      </c>
    </row>
    <row r="776" spans="1:8" x14ac:dyDescent="0.25">
      <c r="A776" t="s">
        <v>267</v>
      </c>
      <c r="B776">
        <v>81409</v>
      </c>
      <c r="C776" s="2">
        <v>6</v>
      </c>
      <c r="D776" s="1">
        <v>43549</v>
      </c>
      <c r="E776" t="str">
        <f>"201903258070"</f>
        <v>201903258070</v>
      </c>
      <c r="F776" t="str">
        <f>""</f>
        <v/>
      </c>
      <c r="G776" s="2">
        <v>6</v>
      </c>
      <c r="H776" t="str">
        <f>"CHELSEA AMBER TAYLER WEBSTER"</f>
        <v>CHELSEA AMBER TAYLER WEBSTER</v>
      </c>
    </row>
    <row r="777" spans="1:8" x14ac:dyDescent="0.25">
      <c r="A777" t="s">
        <v>268</v>
      </c>
      <c r="B777">
        <v>81410</v>
      </c>
      <c r="C777" s="2">
        <v>6</v>
      </c>
      <c r="D777" s="1">
        <v>43549</v>
      </c>
      <c r="E777" t="str">
        <f>"201903258071"</f>
        <v>201903258071</v>
      </c>
      <c r="F777" t="str">
        <f>"Miscellan"</f>
        <v>Miscellan</v>
      </c>
      <c r="G777" s="2">
        <v>6</v>
      </c>
      <c r="H777" t="str">
        <f>"ABEL A GONZALEZ JR"</f>
        <v>ABEL A GONZALEZ JR</v>
      </c>
    </row>
    <row r="778" spans="1:8" x14ac:dyDescent="0.25">
      <c r="A778" t="s">
        <v>269</v>
      </c>
      <c r="B778">
        <v>81411</v>
      </c>
      <c r="C778" s="2">
        <v>6</v>
      </c>
      <c r="D778" s="1">
        <v>43549</v>
      </c>
      <c r="E778" t="str">
        <f>"201903258072"</f>
        <v>201903258072</v>
      </c>
      <c r="F778" t="str">
        <f>"Miscellane"</f>
        <v>Miscellane</v>
      </c>
      <c r="G778" s="2">
        <v>6</v>
      </c>
      <c r="H778" t="str">
        <f>"MARK STEVEN HINER"</f>
        <v>MARK STEVEN HINER</v>
      </c>
    </row>
    <row r="779" spans="1:8" x14ac:dyDescent="0.25">
      <c r="A779" t="s">
        <v>270</v>
      </c>
      <c r="B779">
        <v>81412</v>
      </c>
      <c r="C779" s="2">
        <v>6</v>
      </c>
      <c r="D779" s="1">
        <v>43549</v>
      </c>
      <c r="E779" t="str">
        <f>"201903258073"</f>
        <v>201903258073</v>
      </c>
      <c r="F779" t="str">
        <f>"Miscel"</f>
        <v>Miscel</v>
      </c>
      <c r="G779" s="2">
        <v>6</v>
      </c>
      <c r="H779" t="str">
        <f>"BRANDON JAMES PAVLICA"</f>
        <v>BRANDON JAMES PAVLICA</v>
      </c>
    </row>
    <row r="780" spans="1:8" x14ac:dyDescent="0.25">
      <c r="A780" t="s">
        <v>271</v>
      </c>
      <c r="B780">
        <v>81413</v>
      </c>
      <c r="C780" s="2">
        <v>6</v>
      </c>
      <c r="D780" s="1">
        <v>43549</v>
      </c>
      <c r="E780" t="str">
        <f>"201903258074"</f>
        <v>201903258074</v>
      </c>
      <c r="F780" t="str">
        <f>"Miscella"</f>
        <v>Miscella</v>
      </c>
      <c r="G780" s="2">
        <v>6</v>
      </c>
      <c r="H780" t="str">
        <f>"SONJAH MESHEL JONES"</f>
        <v>SONJAH MESHEL JONES</v>
      </c>
    </row>
    <row r="781" spans="1:8" x14ac:dyDescent="0.25">
      <c r="A781" t="s">
        <v>272</v>
      </c>
      <c r="B781">
        <v>81414</v>
      </c>
      <c r="C781" s="2">
        <v>6</v>
      </c>
      <c r="D781" s="1">
        <v>43549</v>
      </c>
      <c r="E781" t="str">
        <f>"201903258075"</f>
        <v>201903258075</v>
      </c>
      <c r="F781" t="str">
        <f>"Miscel"</f>
        <v>Miscel</v>
      </c>
      <c r="G781" s="2">
        <v>6</v>
      </c>
      <c r="H781" t="str">
        <f>"CHRISTOPHER C HERRERA"</f>
        <v>CHRISTOPHER C HERRERA</v>
      </c>
    </row>
    <row r="782" spans="1:8" x14ac:dyDescent="0.25">
      <c r="A782" t="s">
        <v>273</v>
      </c>
      <c r="B782">
        <v>81415</v>
      </c>
      <c r="C782" s="2">
        <v>6</v>
      </c>
      <c r="D782" s="1">
        <v>43549</v>
      </c>
      <c r="E782" t="str">
        <f>"201903258076"</f>
        <v>201903258076</v>
      </c>
      <c r="F782" t="str">
        <f>"Miscell"</f>
        <v>Miscell</v>
      </c>
      <c r="G782" s="2">
        <v>6</v>
      </c>
      <c r="H782" t="str">
        <f>"DANNY ELDON SKIDMORE"</f>
        <v>DANNY ELDON SKIDMORE</v>
      </c>
    </row>
    <row r="783" spans="1:8" x14ac:dyDescent="0.25">
      <c r="A783" t="s">
        <v>274</v>
      </c>
      <c r="B783">
        <v>81416</v>
      </c>
      <c r="C783" s="2">
        <v>6</v>
      </c>
      <c r="D783" s="1">
        <v>43549</v>
      </c>
      <c r="E783" t="str">
        <f>"201903258077"</f>
        <v>201903258077</v>
      </c>
      <c r="F783" t="str">
        <f>"Miscellan"</f>
        <v>Miscellan</v>
      </c>
      <c r="G783" s="2">
        <v>6</v>
      </c>
      <c r="H783" t="str">
        <f>"HAZEL MARIE REIFEL"</f>
        <v>HAZEL MARIE REIFEL</v>
      </c>
    </row>
    <row r="784" spans="1:8" x14ac:dyDescent="0.25">
      <c r="A784" t="s">
        <v>275</v>
      </c>
      <c r="B784">
        <v>81417</v>
      </c>
      <c r="C784" s="2">
        <v>6</v>
      </c>
      <c r="D784" s="1">
        <v>43549</v>
      </c>
      <c r="E784" t="str">
        <f>"201903258078"</f>
        <v>201903258078</v>
      </c>
      <c r="F784" t="str">
        <f>"Miscellane"</f>
        <v>Miscellane</v>
      </c>
      <c r="G784" s="2">
        <v>6</v>
      </c>
      <c r="H784" t="str">
        <f>"RONALD WAYNE BOAZ"</f>
        <v>RONALD WAYNE BOAZ</v>
      </c>
    </row>
    <row r="785" spans="1:8" x14ac:dyDescent="0.25">
      <c r="A785" t="s">
        <v>276</v>
      </c>
      <c r="B785">
        <v>81418</v>
      </c>
      <c r="C785" s="2">
        <v>6</v>
      </c>
      <c r="D785" s="1">
        <v>43549</v>
      </c>
      <c r="E785" t="str">
        <f>"201903258079"</f>
        <v>201903258079</v>
      </c>
      <c r="F785" t="str">
        <f>"Miscella"</f>
        <v>Miscella</v>
      </c>
      <c r="G785" s="2">
        <v>6</v>
      </c>
      <c r="H785" t="str">
        <f>"DOMINIC ADAM CAMELO"</f>
        <v>DOMINIC ADAM CAMELO</v>
      </c>
    </row>
    <row r="786" spans="1:8" x14ac:dyDescent="0.25">
      <c r="A786" t="s">
        <v>277</v>
      </c>
      <c r="B786">
        <v>81419</v>
      </c>
      <c r="C786" s="2">
        <v>6</v>
      </c>
      <c r="D786" s="1">
        <v>43549</v>
      </c>
      <c r="E786" t="str">
        <f>"201903258080"</f>
        <v>201903258080</v>
      </c>
      <c r="F786" t="str">
        <f>"Misce"</f>
        <v>Misce</v>
      </c>
      <c r="G786" s="2">
        <v>6</v>
      </c>
      <c r="H786" t="str">
        <f>"KALLI NICOLE MANSFIELD"</f>
        <v>KALLI NICOLE MANSFIELD</v>
      </c>
    </row>
    <row r="787" spans="1:8" x14ac:dyDescent="0.25">
      <c r="A787" t="s">
        <v>278</v>
      </c>
      <c r="B787">
        <v>81420</v>
      </c>
      <c r="C787" s="2">
        <v>6</v>
      </c>
      <c r="D787" s="1">
        <v>43549</v>
      </c>
      <c r="E787" t="str">
        <f>"201903258081"</f>
        <v>201903258081</v>
      </c>
      <c r="F787" t="str">
        <f>"Miscellane"</f>
        <v>Miscellane</v>
      </c>
      <c r="G787" s="2">
        <v>6</v>
      </c>
      <c r="H787" t="str">
        <f>"DENISE LYNN THORN"</f>
        <v>DENISE LYNN THORN</v>
      </c>
    </row>
    <row r="788" spans="1:8" x14ac:dyDescent="0.25">
      <c r="A788" t="s">
        <v>279</v>
      </c>
      <c r="B788">
        <v>81421</v>
      </c>
      <c r="C788" s="2">
        <v>6</v>
      </c>
      <c r="D788" s="1">
        <v>43549</v>
      </c>
      <c r="E788" t="str">
        <f>"201903258082"</f>
        <v>201903258082</v>
      </c>
      <c r="F788" t="str">
        <f>"Miscell"</f>
        <v>Miscell</v>
      </c>
      <c r="G788" s="2">
        <v>6</v>
      </c>
      <c r="H788" t="str">
        <f>"JIMMIE LEE TAYLOR JR"</f>
        <v>JIMMIE LEE TAYLOR JR</v>
      </c>
    </row>
    <row r="789" spans="1:8" x14ac:dyDescent="0.25">
      <c r="A789" t="s">
        <v>280</v>
      </c>
      <c r="B789">
        <v>81422</v>
      </c>
      <c r="C789" s="2">
        <v>6</v>
      </c>
      <c r="D789" s="1">
        <v>43549</v>
      </c>
      <c r="E789" t="str">
        <f>"201903258083"</f>
        <v>201903258083</v>
      </c>
      <c r="F789" t="str">
        <f>"Miscellane"</f>
        <v>Miscellane</v>
      </c>
      <c r="G789" s="2">
        <v>6</v>
      </c>
      <c r="H789" t="str">
        <f>"TRINA BETH MILLER"</f>
        <v>TRINA BETH MILLER</v>
      </c>
    </row>
    <row r="790" spans="1:8" x14ac:dyDescent="0.25">
      <c r="A790" t="s">
        <v>281</v>
      </c>
      <c r="B790">
        <v>81423</v>
      </c>
      <c r="C790" s="2">
        <v>6</v>
      </c>
      <c r="D790" s="1">
        <v>43549</v>
      </c>
      <c r="E790" t="str">
        <f>"201903258084"</f>
        <v>201903258084</v>
      </c>
      <c r="F790" t="str">
        <f>"Mis"</f>
        <v>Mis</v>
      </c>
      <c r="G790" s="2">
        <v>6</v>
      </c>
      <c r="H790" t="str">
        <f>"JOHNNY MCCURRY GUILLIAMS"</f>
        <v>JOHNNY MCCURRY GUILLIAMS</v>
      </c>
    </row>
    <row r="791" spans="1:8" x14ac:dyDescent="0.25">
      <c r="A791" t="s">
        <v>282</v>
      </c>
      <c r="B791">
        <v>81424</v>
      </c>
      <c r="C791" s="2">
        <v>6</v>
      </c>
      <c r="D791" s="1">
        <v>43549</v>
      </c>
      <c r="E791" t="str">
        <f>"201903258085"</f>
        <v>201903258085</v>
      </c>
      <c r="F791" t="str">
        <f>"Miscel"</f>
        <v>Miscel</v>
      </c>
      <c r="G791" s="2">
        <v>6</v>
      </c>
      <c r="H791" t="str">
        <f>"JOANN GALVAN BIRDSONG"</f>
        <v>JOANN GALVAN BIRDSONG</v>
      </c>
    </row>
    <row r="792" spans="1:8" x14ac:dyDescent="0.25">
      <c r="A792" t="s">
        <v>283</v>
      </c>
      <c r="B792">
        <v>81425</v>
      </c>
      <c r="C792" s="2">
        <v>6</v>
      </c>
      <c r="D792" s="1">
        <v>43549</v>
      </c>
      <c r="E792" t="str">
        <f>"201903258086"</f>
        <v>201903258086</v>
      </c>
      <c r="F792" t="str">
        <f>"Miscel"</f>
        <v>Miscel</v>
      </c>
      <c r="G792" s="2">
        <v>6</v>
      </c>
      <c r="H792" t="str">
        <f>"JOSEPH RENE RODRIGUEZ"</f>
        <v>JOSEPH RENE RODRIGUEZ</v>
      </c>
    </row>
    <row r="793" spans="1:8" x14ac:dyDescent="0.25">
      <c r="A793" t="s">
        <v>284</v>
      </c>
      <c r="B793">
        <v>81426</v>
      </c>
      <c r="C793" s="2">
        <v>6</v>
      </c>
      <c r="D793" s="1">
        <v>43549</v>
      </c>
      <c r="E793" t="str">
        <f>"201903258087"</f>
        <v>201903258087</v>
      </c>
      <c r="F793" t="str">
        <f>"Miscellan"</f>
        <v>Miscellan</v>
      </c>
      <c r="G793" s="2">
        <v>6</v>
      </c>
      <c r="H793" t="str">
        <f>"JESSICA LYNN MORIN"</f>
        <v>JESSICA LYNN MORIN</v>
      </c>
    </row>
    <row r="794" spans="1:8" x14ac:dyDescent="0.25">
      <c r="A794" t="s">
        <v>285</v>
      </c>
      <c r="B794">
        <v>81427</v>
      </c>
      <c r="C794" s="2">
        <v>6</v>
      </c>
      <c r="D794" s="1">
        <v>43549</v>
      </c>
      <c r="E794" t="str">
        <f>"201903258088"</f>
        <v>201903258088</v>
      </c>
      <c r="F794" t="str">
        <f>"Miscellane"</f>
        <v>Miscellane</v>
      </c>
      <c r="G794" s="2">
        <v>6</v>
      </c>
      <c r="H794" t="str">
        <f>"PAULA LYNN HARPER"</f>
        <v>PAULA LYNN HARPER</v>
      </c>
    </row>
    <row r="795" spans="1:8" x14ac:dyDescent="0.25">
      <c r="A795" t="s">
        <v>286</v>
      </c>
      <c r="B795">
        <v>81428</v>
      </c>
      <c r="C795" s="2">
        <v>6</v>
      </c>
      <c r="D795" s="1">
        <v>43549</v>
      </c>
      <c r="E795" t="str">
        <f>"201903258089"</f>
        <v>201903258089</v>
      </c>
      <c r="F795" t="str">
        <f>"Miscel"</f>
        <v>Miscel</v>
      </c>
      <c r="G795" s="2">
        <v>6</v>
      </c>
      <c r="H795" t="str">
        <f>"IVONNE AZENETH TORRES"</f>
        <v>IVONNE AZENETH TORRES</v>
      </c>
    </row>
    <row r="796" spans="1:8" x14ac:dyDescent="0.25">
      <c r="A796" t="s">
        <v>287</v>
      </c>
      <c r="B796">
        <v>81429</v>
      </c>
      <c r="C796" s="2">
        <v>6</v>
      </c>
      <c r="D796" s="1">
        <v>43549</v>
      </c>
      <c r="E796" t="str">
        <f>"201903258090"</f>
        <v>201903258090</v>
      </c>
      <c r="F796" t="str">
        <f>"Miscellane"</f>
        <v>Miscellane</v>
      </c>
      <c r="G796" s="2">
        <v>6</v>
      </c>
      <c r="H796" t="str">
        <f>"SHIRLEY ANN TYMEL"</f>
        <v>SHIRLEY ANN TYMEL</v>
      </c>
    </row>
    <row r="797" spans="1:8" x14ac:dyDescent="0.25">
      <c r="A797" t="s">
        <v>288</v>
      </c>
      <c r="B797">
        <v>81430</v>
      </c>
      <c r="C797" s="2">
        <v>86</v>
      </c>
      <c r="D797" s="1">
        <v>43549</v>
      </c>
      <c r="E797" t="str">
        <f>"201903258091"</f>
        <v>201903258091</v>
      </c>
      <c r="F797" t="str">
        <f>"Mis"</f>
        <v>Mis</v>
      </c>
      <c r="G797" s="2">
        <v>86</v>
      </c>
      <c r="H797" t="str">
        <f>"HUMBERTO MARTINEZ-TORRES"</f>
        <v>HUMBERTO MARTINEZ-TORRES</v>
      </c>
    </row>
    <row r="798" spans="1:8" x14ac:dyDescent="0.25">
      <c r="A798" t="s">
        <v>289</v>
      </c>
      <c r="B798">
        <v>81431</v>
      </c>
      <c r="C798" s="2">
        <v>126</v>
      </c>
      <c r="D798" s="1">
        <v>43549</v>
      </c>
      <c r="E798" t="str">
        <f>"201903258092"</f>
        <v>201903258092</v>
      </c>
      <c r="F798" t="str">
        <f>"Miscella"</f>
        <v>Miscella</v>
      </c>
      <c r="G798" s="2">
        <v>126</v>
      </c>
      <c r="H798" t="str">
        <f>"MARTHA LINDA WARNER"</f>
        <v>MARTHA LINDA WARNER</v>
      </c>
    </row>
    <row r="799" spans="1:8" x14ac:dyDescent="0.25">
      <c r="A799" t="s">
        <v>290</v>
      </c>
      <c r="B799">
        <v>81432</v>
      </c>
      <c r="C799" s="2">
        <v>126</v>
      </c>
      <c r="D799" s="1">
        <v>43549</v>
      </c>
      <c r="E799" t="str">
        <f>"201903258093"</f>
        <v>201903258093</v>
      </c>
      <c r="F799" t="str">
        <f>"Misce"</f>
        <v>Misce</v>
      </c>
      <c r="G799" s="2">
        <v>126</v>
      </c>
      <c r="H799" t="str">
        <f>"ROSYNA GONZALEZ WATSON"</f>
        <v>ROSYNA GONZALEZ WATSON</v>
      </c>
    </row>
    <row r="800" spans="1:8" x14ac:dyDescent="0.25">
      <c r="A800" t="s">
        <v>291</v>
      </c>
      <c r="B800">
        <v>81433</v>
      </c>
      <c r="C800" s="2">
        <v>6</v>
      </c>
      <c r="D800" s="1">
        <v>43549</v>
      </c>
      <c r="E800" t="str">
        <f>"201903258094"</f>
        <v>201903258094</v>
      </c>
      <c r="F800" t="str">
        <f>"Miscellaneous"</f>
        <v>Miscellaneous</v>
      </c>
      <c r="G800" s="2">
        <v>6</v>
      </c>
      <c r="H800" t="str">
        <f>"JOHN N SEGUIN"</f>
        <v>JOHN N SEGUIN</v>
      </c>
    </row>
    <row r="801" spans="1:8" x14ac:dyDescent="0.25">
      <c r="A801" t="s">
        <v>292</v>
      </c>
      <c r="B801">
        <v>81434</v>
      </c>
      <c r="C801" s="2">
        <v>6</v>
      </c>
      <c r="D801" s="1">
        <v>43549</v>
      </c>
      <c r="E801" t="str">
        <f>"201903258095"</f>
        <v>201903258095</v>
      </c>
      <c r="F801" t="str">
        <f>"Miscellan"</f>
        <v>Miscellan</v>
      </c>
      <c r="G801" s="2">
        <v>6</v>
      </c>
      <c r="H801" t="str">
        <f>"ABBY MICHELLE LOEB"</f>
        <v>ABBY MICHELLE LOEB</v>
      </c>
    </row>
    <row r="802" spans="1:8" x14ac:dyDescent="0.25">
      <c r="A802" t="s">
        <v>293</v>
      </c>
      <c r="B802">
        <v>81435</v>
      </c>
      <c r="C802" s="2">
        <v>6</v>
      </c>
      <c r="D802" s="1">
        <v>43549</v>
      </c>
      <c r="E802" t="str">
        <f>"201903258096"</f>
        <v>201903258096</v>
      </c>
      <c r="F802" t="str">
        <f>"Miscellaneou"</f>
        <v>Miscellaneou</v>
      </c>
      <c r="G802" s="2">
        <v>6</v>
      </c>
      <c r="H802" t="str">
        <f>"MARGARET COOPER"</f>
        <v>MARGARET COOPER</v>
      </c>
    </row>
    <row r="803" spans="1:8" x14ac:dyDescent="0.25">
      <c r="A803" t="s">
        <v>294</v>
      </c>
      <c r="B803">
        <v>81436</v>
      </c>
      <c r="C803" s="2">
        <v>126</v>
      </c>
      <c r="D803" s="1">
        <v>43549</v>
      </c>
      <c r="E803" t="str">
        <f>"201903258097"</f>
        <v>201903258097</v>
      </c>
      <c r="F803" t="str">
        <f>"Miscel"</f>
        <v>Miscel</v>
      </c>
      <c r="G803" s="2">
        <v>126</v>
      </c>
      <c r="H803" t="str">
        <f>"CATALINA SANCHEZ LEAL"</f>
        <v>CATALINA SANCHEZ LEAL</v>
      </c>
    </row>
    <row r="804" spans="1:8" x14ac:dyDescent="0.25">
      <c r="A804" t="s">
        <v>295</v>
      </c>
      <c r="B804">
        <v>81437</v>
      </c>
      <c r="C804" s="2">
        <v>6</v>
      </c>
      <c r="D804" s="1">
        <v>43549</v>
      </c>
      <c r="E804" t="str">
        <f>"201903258098"</f>
        <v>201903258098</v>
      </c>
      <c r="F804" t="str">
        <f>"Mi"</f>
        <v>Mi</v>
      </c>
      <c r="G804" s="2">
        <v>6</v>
      </c>
      <c r="H804" t="str">
        <f>"HERBERT RICHARD WOERNDELL"</f>
        <v>HERBERT RICHARD WOERNDELL</v>
      </c>
    </row>
    <row r="805" spans="1:8" x14ac:dyDescent="0.25">
      <c r="A805" t="s">
        <v>296</v>
      </c>
      <c r="B805">
        <v>81438</v>
      </c>
      <c r="C805" s="2">
        <v>126</v>
      </c>
      <c r="D805" s="1">
        <v>43549</v>
      </c>
      <c r="E805" t="str">
        <f>"201903258099"</f>
        <v>201903258099</v>
      </c>
      <c r="F805" t="str">
        <f>"Miscell"</f>
        <v>Miscell</v>
      </c>
      <c r="G805" s="2">
        <v>126</v>
      </c>
      <c r="H805" t="str">
        <f>"CYNTHIA RENEE FOWLER"</f>
        <v>CYNTHIA RENEE FOWLER</v>
      </c>
    </row>
    <row r="806" spans="1:8" x14ac:dyDescent="0.25">
      <c r="A806" t="s">
        <v>297</v>
      </c>
      <c r="B806">
        <v>81439</v>
      </c>
      <c r="C806" s="2">
        <v>6</v>
      </c>
      <c r="D806" s="1">
        <v>43549</v>
      </c>
      <c r="E806" t="str">
        <f>"201903258100"</f>
        <v>201903258100</v>
      </c>
      <c r="F806" t="str">
        <f>"Miscellaneous"</f>
        <v>Miscellaneous</v>
      </c>
      <c r="G806" s="2">
        <v>6</v>
      </c>
      <c r="H806" t="str">
        <f>"LEO ROY BUSH"</f>
        <v>LEO ROY BUSH</v>
      </c>
    </row>
    <row r="807" spans="1:8" x14ac:dyDescent="0.25">
      <c r="A807" t="s">
        <v>298</v>
      </c>
      <c r="B807">
        <v>81440</v>
      </c>
      <c r="C807" s="2">
        <v>6</v>
      </c>
      <c r="D807" s="1">
        <v>43549</v>
      </c>
      <c r="E807" t="str">
        <f>"201903258101"</f>
        <v>201903258101</v>
      </c>
      <c r="F807" t="str">
        <f>"Misc"</f>
        <v>Misc</v>
      </c>
      <c r="G807" s="2">
        <v>6</v>
      </c>
      <c r="H807" t="str">
        <f>"SHARLETTA VELMA JOHNSON"</f>
        <v>SHARLETTA VELMA JOHNSON</v>
      </c>
    </row>
    <row r="808" spans="1:8" x14ac:dyDescent="0.25">
      <c r="A808" t="s">
        <v>299</v>
      </c>
      <c r="B808">
        <v>81441</v>
      </c>
      <c r="C808" s="2">
        <v>126</v>
      </c>
      <c r="D808" s="1">
        <v>43549</v>
      </c>
      <c r="E808" t="str">
        <f>"201903258102"</f>
        <v>201903258102</v>
      </c>
      <c r="F808" t="str">
        <f>"Miscellaneo"</f>
        <v>Miscellaneo</v>
      </c>
      <c r="G808" s="2">
        <v>126</v>
      </c>
      <c r="H808" t="str">
        <f>"RICHARD ORONA JR"</f>
        <v>RICHARD ORONA JR</v>
      </c>
    </row>
    <row r="809" spans="1:8" x14ac:dyDescent="0.25">
      <c r="A809" t="s">
        <v>300</v>
      </c>
      <c r="B809">
        <v>81442</v>
      </c>
      <c r="C809" s="2">
        <v>6</v>
      </c>
      <c r="D809" s="1">
        <v>43549</v>
      </c>
      <c r="E809" t="str">
        <f>"201903258103"</f>
        <v>201903258103</v>
      </c>
      <c r="F809" t="str">
        <f>"Miscellaneou"</f>
        <v>Miscellaneou</v>
      </c>
      <c r="G809" s="2">
        <v>6</v>
      </c>
      <c r="H809" t="str">
        <f>"JOHN MACK YOUNG"</f>
        <v>JOHN MACK YOUNG</v>
      </c>
    </row>
    <row r="810" spans="1:8" x14ac:dyDescent="0.25">
      <c r="A810" t="s">
        <v>301</v>
      </c>
      <c r="B810">
        <v>81443</v>
      </c>
      <c r="C810" s="2">
        <v>6</v>
      </c>
      <c r="D810" s="1">
        <v>43549</v>
      </c>
      <c r="E810" t="str">
        <f>"201903258104"</f>
        <v>201903258104</v>
      </c>
      <c r="F810" t="str">
        <f>"Miscella"</f>
        <v>Miscella</v>
      </c>
      <c r="G810" s="2">
        <v>6</v>
      </c>
      <c r="H810" t="str">
        <f>"JOSEPH ROBERT CLINE"</f>
        <v>JOSEPH ROBERT CLINE</v>
      </c>
    </row>
    <row r="811" spans="1:8" x14ac:dyDescent="0.25">
      <c r="A811" t="s">
        <v>302</v>
      </c>
      <c r="B811">
        <v>81444</v>
      </c>
      <c r="C811" s="2">
        <v>6</v>
      </c>
      <c r="D811" s="1">
        <v>43549</v>
      </c>
      <c r="E811" t="str">
        <f>"201903258105"</f>
        <v>201903258105</v>
      </c>
      <c r="F811" t="str">
        <f>"Misc"</f>
        <v>Misc</v>
      </c>
      <c r="G811" s="2">
        <v>6</v>
      </c>
      <c r="H811" t="str">
        <f>"SALLY KAY SALINAS-LOPEZ"</f>
        <v>SALLY KAY SALINAS-LOPEZ</v>
      </c>
    </row>
    <row r="812" spans="1:8" x14ac:dyDescent="0.25">
      <c r="A812" t="s">
        <v>303</v>
      </c>
      <c r="B812">
        <v>81445</v>
      </c>
      <c r="C812" s="2">
        <v>126</v>
      </c>
      <c r="D812" s="1">
        <v>43549</v>
      </c>
      <c r="E812" t="str">
        <f>"201903258106"</f>
        <v>201903258106</v>
      </c>
      <c r="F812" t="str">
        <f>"Miscell"</f>
        <v>Miscell</v>
      </c>
      <c r="G812" s="2">
        <v>126</v>
      </c>
      <c r="H812" t="str">
        <f>"MICHEAL LEE GRADY JR"</f>
        <v>MICHEAL LEE GRADY JR</v>
      </c>
    </row>
    <row r="813" spans="1:8" x14ac:dyDescent="0.25">
      <c r="A813" t="s">
        <v>304</v>
      </c>
      <c r="B813">
        <v>81446</v>
      </c>
      <c r="C813" s="2">
        <v>6</v>
      </c>
      <c r="D813" s="1">
        <v>43549</v>
      </c>
      <c r="E813" t="str">
        <f>"201903258107"</f>
        <v>201903258107</v>
      </c>
      <c r="F813" t="str">
        <f>"Miscell"</f>
        <v>Miscell</v>
      </c>
      <c r="G813" s="2">
        <v>6</v>
      </c>
      <c r="H813" t="str">
        <f>"MICHAEL TODD PAINTER"</f>
        <v>MICHAEL TODD PAINTER</v>
      </c>
    </row>
    <row r="814" spans="1:8" x14ac:dyDescent="0.25">
      <c r="A814" t="s">
        <v>305</v>
      </c>
      <c r="B814">
        <v>81447</v>
      </c>
      <c r="C814" s="2">
        <v>6</v>
      </c>
      <c r="D814" s="1">
        <v>43549</v>
      </c>
      <c r="E814" t="str">
        <f>"201903258108"</f>
        <v>201903258108</v>
      </c>
      <c r="F814" t="str">
        <f>"Miscellane"</f>
        <v>Miscellane</v>
      </c>
      <c r="G814" s="2">
        <v>6</v>
      </c>
      <c r="H814" t="str">
        <f>"VENESSA ANN WYATT"</f>
        <v>VENESSA ANN WYATT</v>
      </c>
    </row>
    <row r="815" spans="1:8" x14ac:dyDescent="0.25">
      <c r="A815" t="s">
        <v>306</v>
      </c>
      <c r="B815">
        <v>81448</v>
      </c>
      <c r="C815" s="2">
        <v>6</v>
      </c>
      <c r="D815" s="1">
        <v>43549</v>
      </c>
      <c r="E815" t="str">
        <f>"201903258109"</f>
        <v>201903258109</v>
      </c>
      <c r="F815" t="str">
        <f>"Miscellane"</f>
        <v>Miscellane</v>
      </c>
      <c r="G815" s="2">
        <v>6</v>
      </c>
      <c r="H815" t="str">
        <f>"JOHN THOMAS INMON"</f>
        <v>JOHN THOMAS INMON</v>
      </c>
    </row>
    <row r="816" spans="1:8" x14ac:dyDescent="0.25">
      <c r="A816" t="s">
        <v>307</v>
      </c>
      <c r="B816">
        <v>81449</v>
      </c>
      <c r="C816" s="2">
        <v>6</v>
      </c>
      <c r="D816" s="1">
        <v>43549</v>
      </c>
      <c r="E816" t="str">
        <f>"201903258110"</f>
        <v>201903258110</v>
      </c>
      <c r="F816" t="str">
        <f>"Miscell"</f>
        <v>Miscell</v>
      </c>
      <c r="G816" s="2">
        <v>6</v>
      </c>
      <c r="H816" t="str">
        <f>"SHANNON EARL SAEGERT"</f>
        <v>SHANNON EARL SAEGERT</v>
      </c>
    </row>
    <row r="817" spans="1:8" x14ac:dyDescent="0.25">
      <c r="A817" t="s">
        <v>308</v>
      </c>
      <c r="B817">
        <v>81450</v>
      </c>
      <c r="C817" s="2">
        <v>6</v>
      </c>
      <c r="D817" s="1">
        <v>43549</v>
      </c>
      <c r="E817" t="str">
        <f>"201903258111"</f>
        <v>201903258111</v>
      </c>
      <c r="F817" t="str">
        <f>"Miscellane"</f>
        <v>Miscellane</v>
      </c>
      <c r="G817" s="2">
        <v>6</v>
      </c>
      <c r="H817" t="str">
        <f>"SARA BETH CARROLL"</f>
        <v>SARA BETH CARROLL</v>
      </c>
    </row>
    <row r="818" spans="1:8" x14ac:dyDescent="0.25">
      <c r="A818" t="s">
        <v>309</v>
      </c>
      <c r="B818">
        <v>81451</v>
      </c>
      <c r="C818" s="2">
        <v>6</v>
      </c>
      <c r="D818" s="1">
        <v>43549</v>
      </c>
      <c r="E818" t="str">
        <f>"201903258112"</f>
        <v>201903258112</v>
      </c>
      <c r="F818" t="str">
        <f>"Miscellan"</f>
        <v>Miscellan</v>
      </c>
      <c r="G818" s="2">
        <v>6</v>
      </c>
      <c r="H818" t="str">
        <f>"FELIPE ROBLEDO III"</f>
        <v>FELIPE ROBLEDO III</v>
      </c>
    </row>
    <row r="819" spans="1:8" x14ac:dyDescent="0.25">
      <c r="A819" t="s">
        <v>310</v>
      </c>
      <c r="B819">
        <v>81452</v>
      </c>
      <c r="C819" s="2">
        <v>6</v>
      </c>
      <c r="D819" s="1">
        <v>43549</v>
      </c>
      <c r="E819" t="str">
        <f>"201903258113"</f>
        <v>201903258113</v>
      </c>
      <c r="F819" t="str">
        <f>"Miscellan"</f>
        <v>Miscellan</v>
      </c>
      <c r="G819" s="2">
        <v>6</v>
      </c>
      <c r="H819" t="str">
        <f>"ERNEST PETE WILSON"</f>
        <v>ERNEST PETE WILSON</v>
      </c>
    </row>
    <row r="820" spans="1:8" x14ac:dyDescent="0.25">
      <c r="A820" t="s">
        <v>311</v>
      </c>
      <c r="B820">
        <v>81453</v>
      </c>
      <c r="C820" s="2">
        <v>6</v>
      </c>
      <c r="D820" s="1">
        <v>43549</v>
      </c>
      <c r="E820" t="str">
        <f>"201903258114"</f>
        <v>201903258114</v>
      </c>
      <c r="F820" t="str">
        <f>"Misce"</f>
        <v>Misce</v>
      </c>
      <c r="G820" s="2">
        <v>6</v>
      </c>
      <c r="H820" t="str">
        <f>"RICHARD ALAN MICHALSKI"</f>
        <v>RICHARD ALAN MICHALSKI</v>
      </c>
    </row>
    <row r="821" spans="1:8" x14ac:dyDescent="0.25">
      <c r="A821" t="s">
        <v>312</v>
      </c>
      <c r="B821">
        <v>81454</v>
      </c>
      <c r="C821" s="2">
        <v>6</v>
      </c>
      <c r="D821" s="1">
        <v>43549</v>
      </c>
      <c r="E821" t="str">
        <f>"201903258115"</f>
        <v>201903258115</v>
      </c>
      <c r="F821" t="str">
        <f>"Miscella"</f>
        <v>Miscella</v>
      </c>
      <c r="G821" s="2">
        <v>6</v>
      </c>
      <c r="H821" t="str">
        <f>"DEVIE YUVETTE HYDER"</f>
        <v>DEVIE YUVETTE HYDER</v>
      </c>
    </row>
    <row r="822" spans="1:8" x14ac:dyDescent="0.25">
      <c r="A822" t="s">
        <v>313</v>
      </c>
      <c r="B822">
        <v>81455</v>
      </c>
      <c r="C822" s="2">
        <v>6</v>
      </c>
      <c r="D822" s="1">
        <v>43549</v>
      </c>
      <c r="E822" t="str">
        <f>"201903258116"</f>
        <v>201903258116</v>
      </c>
      <c r="F822" t="str">
        <f>"Miscellan"</f>
        <v>Miscellan</v>
      </c>
      <c r="G822" s="2">
        <v>6</v>
      </c>
      <c r="H822" t="str">
        <f>"DEANNA LEE WALSTON"</f>
        <v>DEANNA LEE WALSTON</v>
      </c>
    </row>
    <row r="823" spans="1:8" x14ac:dyDescent="0.25">
      <c r="A823" t="s">
        <v>314</v>
      </c>
      <c r="B823">
        <v>81456</v>
      </c>
      <c r="C823" s="2">
        <v>126</v>
      </c>
      <c r="D823" s="1">
        <v>43549</v>
      </c>
      <c r="E823" t="str">
        <f>"201903258117"</f>
        <v>201903258117</v>
      </c>
      <c r="F823" t="str">
        <f>"Misce"</f>
        <v>Misce</v>
      </c>
      <c r="G823" s="2">
        <v>126</v>
      </c>
      <c r="H823" t="str">
        <f>"ROBERT KEITH MCFARLAND"</f>
        <v>ROBERT KEITH MCFARLAND</v>
      </c>
    </row>
    <row r="824" spans="1:8" x14ac:dyDescent="0.25">
      <c r="A824" t="s">
        <v>315</v>
      </c>
      <c r="B824">
        <v>81457</v>
      </c>
      <c r="C824" s="2">
        <v>6</v>
      </c>
      <c r="D824" s="1">
        <v>43549</v>
      </c>
      <c r="E824" t="str">
        <f>"201903258118"</f>
        <v>201903258118</v>
      </c>
      <c r="F824" t="str">
        <f>"Miscella"</f>
        <v>Miscella</v>
      </c>
      <c r="G824" s="2">
        <v>6</v>
      </c>
      <c r="H824" t="str">
        <f>"RONNIE MARK FULFORD"</f>
        <v>RONNIE MARK FULFORD</v>
      </c>
    </row>
    <row r="825" spans="1:8" x14ac:dyDescent="0.25">
      <c r="A825" t="s">
        <v>316</v>
      </c>
      <c r="B825">
        <v>81458</v>
      </c>
      <c r="C825" s="2">
        <v>6</v>
      </c>
      <c r="D825" s="1">
        <v>43549</v>
      </c>
      <c r="E825" t="str">
        <f>"201903258119"</f>
        <v>201903258119</v>
      </c>
      <c r="F825" t="str">
        <f>"Miscellaneo"</f>
        <v>Miscellaneo</v>
      </c>
      <c r="G825" s="2">
        <v>6</v>
      </c>
      <c r="H825" t="str">
        <f>"ERIC CARL HARDEN"</f>
        <v>ERIC CARL HARDEN</v>
      </c>
    </row>
    <row r="826" spans="1:8" x14ac:dyDescent="0.25">
      <c r="A826" t="s">
        <v>317</v>
      </c>
      <c r="B826">
        <v>81459</v>
      </c>
      <c r="C826" s="2">
        <v>126</v>
      </c>
      <c r="D826" s="1">
        <v>43549</v>
      </c>
      <c r="E826" t="str">
        <f>"201903258120"</f>
        <v>201903258120</v>
      </c>
      <c r="F826" t="str">
        <f>"Miscellaneou"</f>
        <v>Miscellaneou</v>
      </c>
      <c r="G826" s="2">
        <v>126</v>
      </c>
      <c r="H826" t="str">
        <f>"MARY LOU LARSON"</f>
        <v>MARY LOU LARSON</v>
      </c>
    </row>
    <row r="827" spans="1:8" x14ac:dyDescent="0.25">
      <c r="A827" t="s">
        <v>318</v>
      </c>
      <c r="B827">
        <v>81460</v>
      </c>
      <c r="C827" s="2">
        <v>6</v>
      </c>
      <c r="D827" s="1">
        <v>43549</v>
      </c>
      <c r="E827" t="str">
        <f>"201903258121"</f>
        <v>201903258121</v>
      </c>
      <c r="F827" t="str">
        <f>"Misc"</f>
        <v>Misc</v>
      </c>
      <c r="G827" s="2">
        <v>6</v>
      </c>
      <c r="H827" t="str">
        <f>"MICHAEL DAVID SEVERANCE"</f>
        <v>MICHAEL DAVID SEVERANCE</v>
      </c>
    </row>
    <row r="828" spans="1:8" x14ac:dyDescent="0.25">
      <c r="A828" t="s">
        <v>319</v>
      </c>
      <c r="B828">
        <v>81461</v>
      </c>
      <c r="C828" s="2">
        <v>6</v>
      </c>
      <c r="D828" s="1">
        <v>43549</v>
      </c>
      <c r="E828" t="str">
        <f>"201903258122"</f>
        <v>201903258122</v>
      </c>
      <c r="F828" t="str">
        <f>"Miscella"</f>
        <v>Miscella</v>
      </c>
      <c r="G828" s="2">
        <v>6</v>
      </c>
      <c r="H828" t="str">
        <f>"CHRISTIE LEE MILLER"</f>
        <v>CHRISTIE LEE MILLER</v>
      </c>
    </row>
    <row r="829" spans="1:8" x14ac:dyDescent="0.25">
      <c r="A829" t="s">
        <v>320</v>
      </c>
      <c r="B829">
        <v>81462</v>
      </c>
      <c r="C829" s="2">
        <v>6</v>
      </c>
      <c r="D829" s="1">
        <v>43549</v>
      </c>
      <c r="E829" t="str">
        <f>"201903258123"</f>
        <v>201903258123</v>
      </c>
      <c r="F829" t="str">
        <f>"Miscellaneous"</f>
        <v>Miscellaneous</v>
      </c>
      <c r="G829" s="2">
        <v>6</v>
      </c>
      <c r="H829" t="str">
        <f>"NANCY D SILVIA"</f>
        <v>NANCY D SILVIA</v>
      </c>
    </row>
    <row r="830" spans="1:8" x14ac:dyDescent="0.25">
      <c r="A830" t="s">
        <v>321</v>
      </c>
      <c r="B830">
        <v>81463</v>
      </c>
      <c r="C830" s="2">
        <v>6</v>
      </c>
      <c r="D830" s="1">
        <v>43549</v>
      </c>
      <c r="E830" t="str">
        <f>"201903258124"</f>
        <v>201903258124</v>
      </c>
      <c r="F830" t="str">
        <f>"Mi"</f>
        <v>Mi</v>
      </c>
      <c r="G830" s="2">
        <v>6</v>
      </c>
      <c r="H830" t="str">
        <f>"MELISSA AGUILAR HERNANDEZ"</f>
        <v>MELISSA AGUILAR HERNANDEZ</v>
      </c>
    </row>
    <row r="831" spans="1:8" x14ac:dyDescent="0.25">
      <c r="A831" t="s">
        <v>322</v>
      </c>
      <c r="B831">
        <v>81464</v>
      </c>
      <c r="C831" s="2">
        <v>6</v>
      </c>
      <c r="D831" s="1">
        <v>43549</v>
      </c>
      <c r="E831" t="str">
        <f>"201903258125"</f>
        <v>201903258125</v>
      </c>
      <c r="F831" t="str">
        <f>"Misce"</f>
        <v>Misce</v>
      </c>
      <c r="G831" s="2">
        <v>6</v>
      </c>
      <c r="H831" t="str">
        <f>"MICHAEL DEREK LUNDGREN"</f>
        <v>MICHAEL DEREK LUNDGREN</v>
      </c>
    </row>
    <row r="832" spans="1:8" x14ac:dyDescent="0.25">
      <c r="A832" t="s">
        <v>323</v>
      </c>
      <c r="B832">
        <v>81465</v>
      </c>
      <c r="C832" s="2">
        <v>6</v>
      </c>
      <c r="D832" s="1">
        <v>43549</v>
      </c>
      <c r="E832" t="str">
        <f>"201903258126"</f>
        <v>201903258126</v>
      </c>
      <c r="F832" t="str">
        <f>"Miscellane"</f>
        <v>Miscellane</v>
      </c>
      <c r="G832" s="2">
        <v>6</v>
      </c>
      <c r="H832" t="str">
        <f>"CHERYL EVETTE LEE"</f>
        <v>CHERYL EVETTE LEE</v>
      </c>
    </row>
    <row r="833" spans="1:8" x14ac:dyDescent="0.25">
      <c r="A833" t="s">
        <v>324</v>
      </c>
      <c r="B833">
        <v>81466</v>
      </c>
      <c r="C833" s="2">
        <v>6</v>
      </c>
      <c r="D833" s="1">
        <v>43549</v>
      </c>
      <c r="E833" t="str">
        <f>"201903258127"</f>
        <v>201903258127</v>
      </c>
      <c r="F833" t="str">
        <f>"Misc"</f>
        <v>Misc</v>
      </c>
      <c r="G833" s="2">
        <v>6</v>
      </c>
      <c r="H833" t="str">
        <f>"DANE ANTHONY SIEWERT II"</f>
        <v>DANE ANTHONY SIEWERT II</v>
      </c>
    </row>
    <row r="834" spans="1:8" x14ac:dyDescent="0.25">
      <c r="A834" t="s">
        <v>325</v>
      </c>
      <c r="B834">
        <v>81388</v>
      </c>
      <c r="C834" s="2">
        <v>495</v>
      </c>
      <c r="D834" s="1">
        <v>43542</v>
      </c>
      <c r="E834" t="str">
        <f>"2597"</f>
        <v>2597</v>
      </c>
      <c r="F834" t="str">
        <f>"DUMPSTER RENTAL / DEC 2018"</f>
        <v>DUMPSTER RENTAL / DEC 2018</v>
      </c>
      <c r="G834" s="2">
        <v>165</v>
      </c>
      <c r="H834" t="str">
        <f>"DUMPSTER RENTAL / DEC 2018"</f>
        <v>DUMPSTER RENTAL / DEC 2018</v>
      </c>
    </row>
    <row r="835" spans="1:8" x14ac:dyDescent="0.25">
      <c r="E835" t="str">
        <f>"3329"</f>
        <v>3329</v>
      </c>
      <c r="F835" t="str">
        <f>"DUMPSTER RENTAL / JAN 2019"</f>
        <v>DUMPSTER RENTAL / JAN 2019</v>
      </c>
      <c r="G835" s="2">
        <v>165</v>
      </c>
      <c r="H835" t="str">
        <f>"DUMPSTER RENTAL / JAN 2019"</f>
        <v>DUMPSTER RENTAL / JAN 2019</v>
      </c>
    </row>
    <row r="836" spans="1:8" x14ac:dyDescent="0.25">
      <c r="E836" t="str">
        <f>"3967"</f>
        <v>3967</v>
      </c>
      <c r="F836" t="str">
        <f>"DUMPSTER RENTAL / FEB 2019"</f>
        <v>DUMPSTER RENTAL / FEB 2019</v>
      </c>
      <c r="G836" s="2">
        <v>165</v>
      </c>
      <c r="H836" t="str">
        <f>"DUMPSTER RENTAL / FEB 2019"</f>
        <v>DUMPSTER RENTAL / FEB 2019</v>
      </c>
    </row>
    <row r="837" spans="1:8" x14ac:dyDescent="0.25">
      <c r="A837" t="s">
        <v>326</v>
      </c>
      <c r="B837">
        <v>81313</v>
      </c>
      <c r="C837" s="2">
        <v>1830</v>
      </c>
      <c r="D837" s="1">
        <v>43535</v>
      </c>
      <c r="E837" t="str">
        <f>"201903067813"</f>
        <v>201903067813</v>
      </c>
      <c r="F837" t="str">
        <f>"5 Motorola 700/800 Antenn"</f>
        <v>5 Motorola 700/800 Antenn</v>
      </c>
      <c r="G837" s="2">
        <v>150</v>
      </c>
      <c r="H837" t="str">
        <f>"NAF5085A"</f>
        <v>NAF5085A</v>
      </c>
    </row>
    <row r="838" spans="1:8" x14ac:dyDescent="0.25">
      <c r="E838" t="str">
        <f>"201903067814"</f>
        <v>201903067814</v>
      </c>
      <c r="F838" t="str">
        <f>"XTS 2500 Batteries"</f>
        <v>XTS 2500 Batteries</v>
      </c>
      <c r="G838" s="2">
        <v>1680</v>
      </c>
      <c r="H838" t="str">
        <f>"XTS 2500 Batteries"</f>
        <v>XTS 2500 Batteries</v>
      </c>
    </row>
    <row r="839" spans="1:8" x14ac:dyDescent="0.25">
      <c r="E839" t="str">
        <f>""</f>
        <v/>
      </c>
      <c r="F839" t="str">
        <f>""</f>
        <v/>
      </c>
      <c r="H839" t="str">
        <f>"XTS 2500 Batteries"</f>
        <v>XTS 2500 Batteries</v>
      </c>
    </row>
    <row r="840" spans="1:8" x14ac:dyDescent="0.25">
      <c r="A840" t="s">
        <v>326</v>
      </c>
      <c r="B840">
        <v>81579</v>
      </c>
      <c r="C840" s="2">
        <v>20462.48</v>
      </c>
      <c r="D840" s="1">
        <v>43549</v>
      </c>
      <c r="E840" t="str">
        <f>"8230216090"</f>
        <v>8230216090</v>
      </c>
      <c r="F840" t="str">
        <f>"ACCT#1036215277"</f>
        <v>ACCT#1036215277</v>
      </c>
      <c r="G840" s="2">
        <v>20462.48</v>
      </c>
      <c r="H840" t="str">
        <f>"ACCT#1036215277"</f>
        <v>ACCT#1036215277</v>
      </c>
    </row>
    <row r="841" spans="1:8" x14ac:dyDescent="0.25">
      <c r="A841" t="s">
        <v>327</v>
      </c>
      <c r="B841">
        <v>81580</v>
      </c>
      <c r="C841" s="2">
        <v>826.8</v>
      </c>
      <c r="D841" s="1">
        <v>43549</v>
      </c>
      <c r="E841" t="str">
        <f>"86629104"</f>
        <v>86629104</v>
      </c>
      <c r="F841" t="str">
        <f>"ACCT#150344157/WATER TREATMENT"</f>
        <v>ACCT#150344157/WATER TREATMENT</v>
      </c>
      <c r="G841" s="2">
        <v>826.8</v>
      </c>
      <c r="H841" t="str">
        <f>"ACCT#150344157/WATER TREATMENT"</f>
        <v>ACCT#150344157/WATER TREATMENT</v>
      </c>
    </row>
    <row r="842" spans="1:8" x14ac:dyDescent="0.25">
      <c r="A842" t="s">
        <v>328</v>
      </c>
      <c r="B842">
        <v>81314</v>
      </c>
      <c r="C842" s="2">
        <v>170</v>
      </c>
      <c r="D842" s="1">
        <v>43535</v>
      </c>
      <c r="E842" t="str">
        <f>"3-4-19-02"</f>
        <v>3-4-19-02</v>
      </c>
      <c r="F842" t="str">
        <f>"JOB #3-4-19-02"</f>
        <v>JOB #3-4-19-02</v>
      </c>
      <c r="G842" s="2">
        <v>170</v>
      </c>
      <c r="H842" t="str">
        <f>"JOB #3-4-19-02"</f>
        <v>JOB #3-4-19-02</v>
      </c>
    </row>
    <row r="843" spans="1:8" x14ac:dyDescent="0.25">
      <c r="A843" t="s">
        <v>328</v>
      </c>
      <c r="B843">
        <v>81581</v>
      </c>
      <c r="C843" s="2">
        <v>1147.5</v>
      </c>
      <c r="D843" s="1">
        <v>43549</v>
      </c>
      <c r="E843" t="str">
        <f>"201903197957"</f>
        <v>201903197957</v>
      </c>
      <c r="F843" t="str">
        <f>"JOB #3-14-19 01"</f>
        <v>JOB #3-14-19 01</v>
      </c>
      <c r="G843" s="2">
        <v>552.5</v>
      </c>
      <c r="H843" t="str">
        <f>"JOB #3-14-19 01"</f>
        <v>JOB #3-14-19 01</v>
      </c>
    </row>
    <row r="844" spans="1:8" x14ac:dyDescent="0.25">
      <c r="E844" t="str">
        <f>"201903197958"</f>
        <v>201903197958</v>
      </c>
      <c r="F844" t="str">
        <f>"JOB #3-12-19-02"</f>
        <v>JOB #3-12-19-02</v>
      </c>
      <c r="G844" s="2">
        <v>255</v>
      </c>
      <c r="H844" t="str">
        <f>"JOB #3-12-19-02"</f>
        <v>JOB #3-12-19-02</v>
      </c>
    </row>
    <row r="845" spans="1:8" x14ac:dyDescent="0.25">
      <c r="E845" t="str">
        <f>"201903197959"</f>
        <v>201903197959</v>
      </c>
      <c r="F845" t="str">
        <f>"JOB #3-6-19-02"</f>
        <v>JOB #3-6-19-02</v>
      </c>
      <c r="G845" s="2">
        <v>340</v>
      </c>
      <c r="H845" t="str">
        <f>"JOB #3-6-19-02"</f>
        <v>JOB #3-6-19-02</v>
      </c>
    </row>
    <row r="846" spans="1:8" x14ac:dyDescent="0.25">
      <c r="A846" t="s">
        <v>329</v>
      </c>
      <c r="B846">
        <v>532</v>
      </c>
      <c r="C846" s="2">
        <v>9362.4500000000007</v>
      </c>
      <c r="D846" s="1">
        <v>43536</v>
      </c>
      <c r="E846" t="str">
        <f>"IN0818120 IN081900"</f>
        <v>IN0818120 IN081900</v>
      </c>
      <c r="F846" t="str">
        <f>"INV IN0818120"</f>
        <v>INV IN0818120</v>
      </c>
      <c r="G846" s="2">
        <v>4915.25</v>
      </c>
      <c r="H846" t="str">
        <f>"INV IN0818120"</f>
        <v>INV IN0818120</v>
      </c>
    </row>
    <row r="847" spans="1:8" x14ac:dyDescent="0.25">
      <c r="E847" t="str">
        <f>""</f>
        <v/>
      </c>
      <c r="F847" t="str">
        <f>""</f>
        <v/>
      </c>
      <c r="H847" t="str">
        <f>"INV IN0819005"</f>
        <v>INV IN0819005</v>
      </c>
    </row>
    <row r="848" spans="1:8" x14ac:dyDescent="0.25">
      <c r="E848" t="str">
        <f>"IN0818918"</f>
        <v>IN0818918</v>
      </c>
      <c r="F848" t="str">
        <f>"INV IN0818918"</f>
        <v>INV IN0818918</v>
      </c>
      <c r="G848" s="2">
        <v>4447.2</v>
      </c>
      <c r="H848" t="str">
        <f>"INV IN0818918"</f>
        <v>INV IN0818918</v>
      </c>
    </row>
    <row r="849" spans="1:8" x14ac:dyDescent="0.25">
      <c r="A849" t="s">
        <v>329</v>
      </c>
      <c r="B849">
        <v>583</v>
      </c>
      <c r="C849" s="2">
        <v>5084.8599999999997</v>
      </c>
      <c r="D849" s="1">
        <v>43550</v>
      </c>
      <c r="E849" t="str">
        <f>"IN0816030 IN081849"</f>
        <v>IN0816030 IN081849</v>
      </c>
      <c r="F849" t="str">
        <f>"INV IN0816030"</f>
        <v>INV IN0816030</v>
      </c>
      <c r="G849" s="2">
        <v>5084.8599999999997</v>
      </c>
      <c r="H849" t="str">
        <f>"INV IN0816030"</f>
        <v>INV IN0816030</v>
      </c>
    </row>
    <row r="850" spans="1:8" x14ac:dyDescent="0.25">
      <c r="E850" t="str">
        <f>""</f>
        <v/>
      </c>
      <c r="F850" t="str">
        <f>""</f>
        <v/>
      </c>
      <c r="H850" t="str">
        <f>"INV IN0818492"</f>
        <v>INV IN0818492</v>
      </c>
    </row>
    <row r="851" spans="1:8" x14ac:dyDescent="0.25">
      <c r="A851" t="s">
        <v>330</v>
      </c>
      <c r="B851">
        <v>622</v>
      </c>
      <c r="C851" s="2">
        <v>131.03</v>
      </c>
      <c r="D851" s="1">
        <v>43550</v>
      </c>
      <c r="E851" t="str">
        <f>"0581-443"</f>
        <v>0581-443</v>
      </c>
      <c r="F851" t="str">
        <f>"INV 0581-443815"</f>
        <v>INV 0581-443815</v>
      </c>
      <c r="G851" s="2">
        <v>19.89</v>
      </c>
      <c r="H851" t="str">
        <f>"INV 0581-443"</f>
        <v>INV 0581-443</v>
      </c>
    </row>
    <row r="852" spans="1:8" x14ac:dyDescent="0.25">
      <c r="E852" t="str">
        <f>"201903127897"</f>
        <v>201903127897</v>
      </c>
      <c r="F852" t="str">
        <f>"CUST#99088/PCT#4"</f>
        <v>CUST#99088/PCT#4</v>
      </c>
      <c r="G852" s="2">
        <v>111.14</v>
      </c>
      <c r="H852" t="str">
        <f>"CUST#99088/PCT#4"</f>
        <v>CUST#99088/PCT#4</v>
      </c>
    </row>
    <row r="853" spans="1:8" x14ac:dyDescent="0.25">
      <c r="A853" t="s">
        <v>331</v>
      </c>
      <c r="B853">
        <v>81315</v>
      </c>
      <c r="C853" s="2">
        <v>819.68</v>
      </c>
      <c r="D853" s="1">
        <v>43535</v>
      </c>
      <c r="E853" t="str">
        <f>"1535704 1538679 15"</f>
        <v>1535704 1538679 15</v>
      </c>
      <c r="F853" t="str">
        <f>"INV 1535704"</f>
        <v>INV 1535704</v>
      </c>
      <c r="G853" s="2">
        <v>819.68</v>
      </c>
      <c r="H853" t="str">
        <f>"INV 1535704"</f>
        <v>INV 1535704</v>
      </c>
    </row>
    <row r="854" spans="1:8" x14ac:dyDescent="0.25">
      <c r="E854" t="str">
        <f>""</f>
        <v/>
      </c>
      <c r="F854" t="str">
        <f>""</f>
        <v/>
      </c>
      <c r="H854" t="str">
        <f>"INV 1538679"</f>
        <v>INV 1538679</v>
      </c>
    </row>
    <row r="855" spans="1:8" x14ac:dyDescent="0.25">
      <c r="E855" t="str">
        <f>""</f>
        <v/>
      </c>
      <c r="F855" t="str">
        <f>""</f>
        <v/>
      </c>
      <c r="H855" t="str">
        <f>"INV 1543687"</f>
        <v>INV 1543687</v>
      </c>
    </row>
    <row r="856" spans="1:8" x14ac:dyDescent="0.25">
      <c r="E856" t="str">
        <f>""</f>
        <v/>
      </c>
      <c r="F856" t="str">
        <f>""</f>
        <v/>
      </c>
      <c r="H856" t="str">
        <f>"INV 1546802"</f>
        <v>INV 1546802</v>
      </c>
    </row>
    <row r="857" spans="1:8" x14ac:dyDescent="0.25">
      <c r="A857" t="s">
        <v>331</v>
      </c>
      <c r="B857">
        <v>81582</v>
      </c>
      <c r="C857" s="2">
        <v>884.5</v>
      </c>
      <c r="D857" s="1">
        <v>43549</v>
      </c>
      <c r="E857" t="str">
        <f>"1551904 1554990 15"</f>
        <v>1551904 1554990 15</v>
      </c>
      <c r="F857" t="str">
        <f>"INV 1551904"</f>
        <v>INV 1551904</v>
      </c>
      <c r="G857" s="2">
        <v>884.5</v>
      </c>
      <c r="H857" t="str">
        <f>"INV 1551904"</f>
        <v>INV 1551904</v>
      </c>
    </row>
    <row r="858" spans="1:8" x14ac:dyDescent="0.25">
      <c r="E858" t="str">
        <f>""</f>
        <v/>
      </c>
      <c r="F858" t="str">
        <f>""</f>
        <v/>
      </c>
      <c r="H858" t="str">
        <f>"INV 1554990"</f>
        <v>INV 1554990</v>
      </c>
    </row>
    <row r="859" spans="1:8" x14ac:dyDescent="0.25">
      <c r="E859" t="str">
        <f>""</f>
        <v/>
      </c>
      <c r="F859" t="str">
        <f>""</f>
        <v/>
      </c>
      <c r="H859" t="str">
        <f>"INV 1559138"</f>
        <v>INV 1559138</v>
      </c>
    </row>
    <row r="860" spans="1:8" x14ac:dyDescent="0.25">
      <c r="E860" t="str">
        <f>""</f>
        <v/>
      </c>
      <c r="F860" t="str">
        <f>""</f>
        <v/>
      </c>
      <c r="H860" t="str">
        <f>"INV 1561945"</f>
        <v>INV 1561945</v>
      </c>
    </row>
    <row r="861" spans="1:8" x14ac:dyDescent="0.25">
      <c r="A861" t="s">
        <v>332</v>
      </c>
      <c r="B861">
        <v>81316</v>
      </c>
      <c r="C861" s="2">
        <v>3113.86</v>
      </c>
      <c r="D861" s="1">
        <v>43535</v>
      </c>
      <c r="E861" t="str">
        <f>"10966165"</f>
        <v>10966165</v>
      </c>
      <c r="F861" t="str">
        <f>"Bill# 10966165"</f>
        <v>Bill# 10966165</v>
      </c>
      <c r="G861" s="2">
        <v>1558.54</v>
      </c>
      <c r="H861" t="str">
        <f>"Order# 276943046001"</f>
        <v>Order# 276943046001</v>
      </c>
    </row>
    <row r="862" spans="1:8" x14ac:dyDescent="0.25">
      <c r="E862" t="str">
        <f>""</f>
        <v/>
      </c>
      <c r="F862" t="str">
        <f>""</f>
        <v/>
      </c>
      <c r="H862" t="str">
        <f>"Order# 276946118001"</f>
        <v>Order# 276946118001</v>
      </c>
    </row>
    <row r="863" spans="1:8" x14ac:dyDescent="0.25">
      <c r="E863" t="str">
        <f>""</f>
        <v/>
      </c>
      <c r="F863" t="str">
        <f>""</f>
        <v/>
      </c>
      <c r="H863" t="str">
        <f>"Order# 277977607001"</f>
        <v>Order# 277977607001</v>
      </c>
    </row>
    <row r="864" spans="1:8" x14ac:dyDescent="0.25">
      <c r="E864" t="str">
        <f>""</f>
        <v/>
      </c>
      <c r="F864" t="str">
        <f>""</f>
        <v/>
      </c>
      <c r="H864" t="str">
        <f>"Order# 277498163001"</f>
        <v>Order# 277498163001</v>
      </c>
    </row>
    <row r="865" spans="5:8" x14ac:dyDescent="0.25">
      <c r="E865" t="str">
        <f>""</f>
        <v/>
      </c>
      <c r="F865" t="str">
        <f>""</f>
        <v/>
      </c>
      <c r="H865" t="str">
        <f>"Order# 277536720001"</f>
        <v>Order# 277536720001</v>
      </c>
    </row>
    <row r="866" spans="5:8" x14ac:dyDescent="0.25">
      <c r="E866" t="str">
        <f>""</f>
        <v/>
      </c>
      <c r="F866" t="str">
        <f>""</f>
        <v/>
      </c>
      <c r="H866" t="str">
        <f>"Order# 277750291001"</f>
        <v>Order# 277750291001</v>
      </c>
    </row>
    <row r="867" spans="5:8" x14ac:dyDescent="0.25">
      <c r="E867" t="str">
        <f>""</f>
        <v/>
      </c>
      <c r="F867" t="str">
        <f>""</f>
        <v/>
      </c>
      <c r="H867" t="str">
        <f>"Order# 281880641001"</f>
        <v>Order# 281880641001</v>
      </c>
    </row>
    <row r="868" spans="5:8" x14ac:dyDescent="0.25">
      <c r="E868" t="str">
        <f>""</f>
        <v/>
      </c>
      <c r="F868" t="str">
        <f>""</f>
        <v/>
      </c>
      <c r="H868" t="str">
        <f>"Order# 281915588001"</f>
        <v>Order# 281915588001</v>
      </c>
    </row>
    <row r="869" spans="5:8" x14ac:dyDescent="0.25">
      <c r="E869" t="str">
        <f>""</f>
        <v/>
      </c>
      <c r="F869" t="str">
        <f>""</f>
        <v/>
      </c>
      <c r="H869" t="str">
        <f>"Order# 281189497001"</f>
        <v>Order# 281189497001</v>
      </c>
    </row>
    <row r="870" spans="5:8" x14ac:dyDescent="0.25">
      <c r="E870" t="str">
        <f>""</f>
        <v/>
      </c>
      <c r="F870" t="str">
        <f>""</f>
        <v/>
      </c>
      <c r="H870" t="str">
        <f>"Order# 27745580001"</f>
        <v>Order# 27745580001</v>
      </c>
    </row>
    <row r="871" spans="5:8" x14ac:dyDescent="0.25">
      <c r="E871" t="str">
        <f>""</f>
        <v/>
      </c>
      <c r="F871" t="str">
        <f>""</f>
        <v/>
      </c>
      <c r="H871" t="str">
        <f>"Order# 276902124001"</f>
        <v>Order# 276902124001</v>
      </c>
    </row>
    <row r="872" spans="5:8" x14ac:dyDescent="0.25">
      <c r="E872" t="str">
        <f>""</f>
        <v/>
      </c>
      <c r="F872" t="str">
        <f>""</f>
        <v/>
      </c>
      <c r="H872" t="str">
        <f>"Order# 281360465001"</f>
        <v>Order# 281360465001</v>
      </c>
    </row>
    <row r="873" spans="5:8" x14ac:dyDescent="0.25">
      <c r="E873" t="str">
        <f>""</f>
        <v/>
      </c>
      <c r="F873" t="str">
        <f>""</f>
        <v/>
      </c>
      <c r="H873" t="str">
        <f>"Order# 281361014001"</f>
        <v>Order# 281361014001</v>
      </c>
    </row>
    <row r="874" spans="5:8" x14ac:dyDescent="0.25">
      <c r="E874" t="str">
        <f>"201903077876"</f>
        <v>201903077876</v>
      </c>
      <c r="F874" t="str">
        <f>"Bill# 10848097"</f>
        <v>Bill# 10848097</v>
      </c>
      <c r="G874" s="2">
        <v>1555.32</v>
      </c>
      <c r="H874" t="str">
        <f>"Ord# 270938973001"</f>
        <v>Ord# 270938973001</v>
      </c>
    </row>
    <row r="875" spans="5:8" x14ac:dyDescent="0.25">
      <c r="E875" t="str">
        <f>""</f>
        <v/>
      </c>
      <c r="F875" t="str">
        <f>""</f>
        <v/>
      </c>
      <c r="H875" t="str">
        <f>"Ord# 270961277001"</f>
        <v>Ord# 270961277001</v>
      </c>
    </row>
    <row r="876" spans="5:8" x14ac:dyDescent="0.25">
      <c r="E876" t="str">
        <f>""</f>
        <v/>
      </c>
      <c r="F876" t="str">
        <f>""</f>
        <v/>
      </c>
      <c r="H876" t="str">
        <f>"Ord# 272061645001"</f>
        <v>Ord# 272061645001</v>
      </c>
    </row>
    <row r="877" spans="5:8" x14ac:dyDescent="0.25">
      <c r="E877" t="str">
        <f>""</f>
        <v/>
      </c>
      <c r="F877" t="str">
        <f>""</f>
        <v/>
      </c>
      <c r="H877" t="str">
        <f>"Ord# 272064164001"</f>
        <v>Ord# 272064164001</v>
      </c>
    </row>
    <row r="878" spans="5:8" x14ac:dyDescent="0.25">
      <c r="E878" t="str">
        <f>""</f>
        <v/>
      </c>
      <c r="F878" t="str">
        <f>""</f>
        <v/>
      </c>
      <c r="H878" t="str">
        <f>"Ord# 272064165001"</f>
        <v>Ord# 272064165001</v>
      </c>
    </row>
    <row r="879" spans="5:8" x14ac:dyDescent="0.25">
      <c r="E879" t="str">
        <f>""</f>
        <v/>
      </c>
      <c r="F879" t="str">
        <f>""</f>
        <v/>
      </c>
      <c r="H879" t="str">
        <f>"Ord# 272153291001"</f>
        <v>Ord# 272153291001</v>
      </c>
    </row>
    <row r="880" spans="5:8" x14ac:dyDescent="0.25">
      <c r="E880" t="str">
        <f>""</f>
        <v/>
      </c>
      <c r="F880" t="str">
        <f>""</f>
        <v/>
      </c>
      <c r="H880" t="str">
        <f>"Ord# 2721588001"</f>
        <v>Ord# 2721588001</v>
      </c>
    </row>
    <row r="881" spans="1:8" x14ac:dyDescent="0.25">
      <c r="E881" t="str">
        <f>""</f>
        <v/>
      </c>
      <c r="F881" t="str">
        <f>""</f>
        <v/>
      </c>
      <c r="H881" t="str">
        <f>"Ord# 268718686001"</f>
        <v>Ord# 268718686001</v>
      </c>
    </row>
    <row r="882" spans="1:8" x14ac:dyDescent="0.25">
      <c r="E882" t="str">
        <f>""</f>
        <v/>
      </c>
      <c r="F882" t="str">
        <f>""</f>
        <v/>
      </c>
      <c r="H882" t="str">
        <f>"Ord# 268719456001"</f>
        <v>Ord# 268719456001</v>
      </c>
    </row>
    <row r="883" spans="1:8" x14ac:dyDescent="0.25">
      <c r="E883" t="str">
        <f>""</f>
        <v/>
      </c>
      <c r="F883" t="str">
        <f>""</f>
        <v/>
      </c>
      <c r="H883" t="str">
        <f>"Ord# 268719458001"</f>
        <v>Ord# 268719458001</v>
      </c>
    </row>
    <row r="884" spans="1:8" x14ac:dyDescent="0.25">
      <c r="E884" t="str">
        <f>""</f>
        <v/>
      </c>
      <c r="F884" t="str">
        <f>""</f>
        <v/>
      </c>
      <c r="H884" t="str">
        <f>"Ord# 271630521001"</f>
        <v>Ord# 271630521001</v>
      </c>
    </row>
    <row r="885" spans="1:8" x14ac:dyDescent="0.25">
      <c r="E885" t="str">
        <f>""</f>
        <v/>
      </c>
      <c r="F885" t="str">
        <f>""</f>
        <v/>
      </c>
      <c r="H885" t="str">
        <f>"Ord# 271646077001"</f>
        <v>Ord# 271646077001</v>
      </c>
    </row>
    <row r="886" spans="1:8" x14ac:dyDescent="0.25">
      <c r="E886" t="str">
        <f>""</f>
        <v/>
      </c>
      <c r="F886" t="str">
        <f>""</f>
        <v/>
      </c>
      <c r="H886" t="str">
        <f>"Ord# 269889068001"</f>
        <v>Ord# 269889068001</v>
      </c>
    </row>
    <row r="887" spans="1:8" x14ac:dyDescent="0.25">
      <c r="E887" t="str">
        <f>""</f>
        <v/>
      </c>
      <c r="F887" t="str">
        <f>""</f>
        <v/>
      </c>
      <c r="H887" t="str">
        <f>"Ord# 272532058001"</f>
        <v>Ord# 272532058001</v>
      </c>
    </row>
    <row r="888" spans="1:8" x14ac:dyDescent="0.25">
      <c r="E888" t="str">
        <f>""</f>
        <v/>
      </c>
      <c r="F888" t="str">
        <f>""</f>
        <v/>
      </c>
      <c r="H888" t="str">
        <f>"Ord# 272537833001"</f>
        <v>Ord# 272537833001</v>
      </c>
    </row>
    <row r="889" spans="1:8" x14ac:dyDescent="0.25">
      <c r="E889" t="str">
        <f>""</f>
        <v/>
      </c>
      <c r="F889" t="str">
        <f>""</f>
        <v/>
      </c>
      <c r="H889" t="str">
        <f>"Ord# 271422320001"</f>
        <v>Ord# 271422320001</v>
      </c>
    </row>
    <row r="890" spans="1:8" x14ac:dyDescent="0.25">
      <c r="E890" t="str">
        <f>""</f>
        <v/>
      </c>
      <c r="F890" t="str">
        <f>""</f>
        <v/>
      </c>
      <c r="H890" t="str">
        <f>"Ord# 274979352001"</f>
        <v>Ord# 274979352001</v>
      </c>
    </row>
    <row r="891" spans="1:8" x14ac:dyDescent="0.25">
      <c r="E891" t="str">
        <f>""</f>
        <v/>
      </c>
      <c r="F891" t="str">
        <f>""</f>
        <v/>
      </c>
      <c r="H891" t="str">
        <f>"Ord# 27093973001"</f>
        <v>Ord# 27093973001</v>
      </c>
    </row>
    <row r="892" spans="1:8" x14ac:dyDescent="0.25">
      <c r="E892" t="str">
        <f>""</f>
        <v/>
      </c>
      <c r="F892" t="str">
        <f>""</f>
        <v/>
      </c>
      <c r="H892" t="str">
        <f>"Ord# 265448202001"</f>
        <v>Ord# 265448202001</v>
      </c>
    </row>
    <row r="893" spans="1:8" x14ac:dyDescent="0.25">
      <c r="E893" t="str">
        <f>""</f>
        <v/>
      </c>
      <c r="F893" t="str">
        <f>""</f>
        <v/>
      </c>
      <c r="H893" t="str">
        <f>"Ord# 265449073001"</f>
        <v>Ord# 265449073001</v>
      </c>
    </row>
    <row r="894" spans="1:8" x14ac:dyDescent="0.25">
      <c r="A894" t="s">
        <v>333</v>
      </c>
      <c r="B894">
        <v>81317</v>
      </c>
      <c r="C894" s="2">
        <v>541.25</v>
      </c>
      <c r="D894" s="1">
        <v>43535</v>
      </c>
      <c r="E894" t="str">
        <f>"19-17"</f>
        <v>19-17</v>
      </c>
      <c r="F894" t="str">
        <f>"LOCATE CORNERS/PCT#2"</f>
        <v>LOCATE CORNERS/PCT#2</v>
      </c>
      <c r="G894" s="2">
        <v>541.25</v>
      </c>
      <c r="H894" t="str">
        <f>"LOCATE CORNERS/PCT#2"</f>
        <v>LOCATE CORNERS/PCT#2</v>
      </c>
    </row>
    <row r="895" spans="1:8" x14ac:dyDescent="0.25">
      <c r="A895" t="s">
        <v>334</v>
      </c>
      <c r="B895">
        <v>81318</v>
      </c>
      <c r="C895" s="2">
        <v>20</v>
      </c>
      <c r="D895" s="1">
        <v>43535</v>
      </c>
      <c r="E895" t="str">
        <f>"285145"</f>
        <v>285145</v>
      </c>
      <c r="F895" t="str">
        <f>"CUST ID:BASCOU/DRUG SCREENING"</f>
        <v>CUST ID:BASCOU/DRUG SCREENING</v>
      </c>
      <c r="G895" s="2">
        <v>20</v>
      </c>
      <c r="H895" t="str">
        <f>"CUST ID:BASCOU/DRUG SCREENING"</f>
        <v>CUST ID:BASCOU/DRUG SCREENING</v>
      </c>
    </row>
    <row r="896" spans="1:8" x14ac:dyDescent="0.25">
      <c r="A896" t="s">
        <v>335</v>
      </c>
      <c r="B896">
        <v>81319</v>
      </c>
      <c r="C896" s="2">
        <v>627</v>
      </c>
      <c r="D896" s="1">
        <v>43535</v>
      </c>
      <c r="E896" t="str">
        <f>"18780"</f>
        <v>18780</v>
      </c>
      <c r="F896" t="str">
        <f>"INV 18780"</f>
        <v>INV 18780</v>
      </c>
      <c r="G896" s="2">
        <v>627</v>
      </c>
      <c r="H896" t="str">
        <f>"INV 18780"</f>
        <v>INV 18780</v>
      </c>
    </row>
    <row r="897" spans="1:9" x14ac:dyDescent="0.25">
      <c r="A897" t="s">
        <v>336</v>
      </c>
      <c r="B897">
        <v>81583</v>
      </c>
      <c r="C897" s="2">
        <v>1059</v>
      </c>
      <c r="D897" s="1">
        <v>43549</v>
      </c>
      <c r="E897" t="str">
        <f>"263160"</f>
        <v>263160</v>
      </c>
      <c r="F897" t="str">
        <f>"Sign Materials"</f>
        <v>Sign Materials</v>
      </c>
      <c r="G897" s="2">
        <v>1059</v>
      </c>
      <c r="H897" t="str">
        <f>"24 x50yds Black YD 3"</f>
        <v>24 x50yds Black YD 3</v>
      </c>
    </row>
    <row r="898" spans="1:9" x14ac:dyDescent="0.25">
      <c r="E898" t="str">
        <f>""</f>
        <v/>
      </c>
      <c r="F898" t="str">
        <f>""</f>
        <v/>
      </c>
      <c r="H898" t="str">
        <f>"36 x50yds Black YD 3"</f>
        <v>36 x50yds Black YD 3</v>
      </c>
    </row>
    <row r="899" spans="1:9" x14ac:dyDescent="0.25">
      <c r="E899" t="str">
        <f>""</f>
        <v/>
      </c>
      <c r="F899" t="str">
        <f>""</f>
        <v/>
      </c>
      <c r="H899" t="str">
        <f>"4 x8  Yellow High In"</f>
        <v>4 x8  Yellow High In</v>
      </c>
    </row>
    <row r="900" spans="1:9" x14ac:dyDescent="0.25">
      <c r="A900" t="s">
        <v>337</v>
      </c>
      <c r="B900">
        <v>81584</v>
      </c>
      <c r="C900" s="2">
        <v>1825</v>
      </c>
      <c r="D900" s="1">
        <v>43549</v>
      </c>
      <c r="E900" t="str">
        <f>"43536"</f>
        <v>43536</v>
      </c>
      <c r="F900" t="str">
        <f>"PERSONNEL TRAINING &amp; DEV SUPP"</f>
        <v>PERSONNEL TRAINING &amp; DEV SUPP</v>
      </c>
      <c r="G900" s="2">
        <v>1825</v>
      </c>
      <c r="H900" t="str">
        <f>"PERSONNEL TRAINING &amp; DEV SUPP"</f>
        <v>PERSONNEL TRAINING &amp; DEV SUPP</v>
      </c>
    </row>
    <row r="901" spans="1:9" x14ac:dyDescent="0.25">
      <c r="A901" t="s">
        <v>338</v>
      </c>
      <c r="B901">
        <v>81585</v>
      </c>
      <c r="C901" s="2">
        <v>155</v>
      </c>
      <c r="D901" s="1">
        <v>43549</v>
      </c>
      <c r="E901" t="str">
        <f>"201903208033"</f>
        <v>201903208033</v>
      </c>
      <c r="F901" t="str">
        <f>"FERAL HOGS"</f>
        <v>FERAL HOGS</v>
      </c>
      <c r="G901" s="2">
        <v>55</v>
      </c>
      <c r="H901" t="str">
        <f>"FERAL HOGS"</f>
        <v>FERAL HOGS</v>
      </c>
    </row>
    <row r="902" spans="1:9" x14ac:dyDescent="0.25">
      <c r="E902" t="str">
        <f>"201903208034"</f>
        <v>201903208034</v>
      </c>
      <c r="F902" t="str">
        <f>"FERAL HOGS"</f>
        <v>FERAL HOGS</v>
      </c>
      <c r="G902" s="2">
        <v>40</v>
      </c>
      <c r="H902" t="str">
        <f>"FERAL HOGS"</f>
        <v>FERAL HOGS</v>
      </c>
    </row>
    <row r="903" spans="1:9" x14ac:dyDescent="0.25">
      <c r="E903" t="str">
        <f>"201903208035"</f>
        <v>201903208035</v>
      </c>
      <c r="F903" t="str">
        <f>"FERAL HOGS"</f>
        <v>FERAL HOGS</v>
      </c>
      <c r="G903" s="2">
        <v>60</v>
      </c>
      <c r="H903" t="str">
        <f>"FERAL HOGS"</f>
        <v>FERAL HOGS</v>
      </c>
    </row>
    <row r="904" spans="1:9" x14ac:dyDescent="0.25">
      <c r="A904" t="s">
        <v>339</v>
      </c>
      <c r="B904">
        <v>81320</v>
      </c>
      <c r="C904" s="2">
        <v>356.24</v>
      </c>
      <c r="D904" s="1">
        <v>43535</v>
      </c>
      <c r="E904" t="str">
        <f>"66003"</f>
        <v>66003</v>
      </c>
      <c r="F904" t="str">
        <f>"ORD#1005104511/GEN SVCS"</f>
        <v>ORD#1005104511/GEN SVCS</v>
      </c>
      <c r="G904" s="2">
        <v>319.66000000000003</v>
      </c>
      <c r="H904" t="str">
        <f>"ORD#1005104511/GEN SVCS"</f>
        <v>ORD#1005104511/GEN SVCS</v>
      </c>
    </row>
    <row r="905" spans="1:9" x14ac:dyDescent="0.25">
      <c r="E905" t="str">
        <f>"66073"</f>
        <v>66073</v>
      </c>
      <c r="F905" t="str">
        <f>"LABOR/SCREW KIT"</f>
        <v>LABOR/SCREW KIT</v>
      </c>
      <c r="G905" s="2">
        <v>36.58</v>
      </c>
      <c r="H905" t="str">
        <f>"LABOR/SCREW KIT"</f>
        <v>LABOR/SCREW KIT</v>
      </c>
    </row>
    <row r="906" spans="1:9" x14ac:dyDescent="0.25">
      <c r="A906" t="s">
        <v>340</v>
      </c>
      <c r="B906">
        <v>81321</v>
      </c>
      <c r="C906" s="2">
        <v>13.18</v>
      </c>
      <c r="D906" s="1">
        <v>43535</v>
      </c>
      <c r="E906" t="str">
        <f>"201903057724"</f>
        <v>201903057724</v>
      </c>
      <c r="F906" t="str">
        <f>"ACCT#1137/PCT#4"</f>
        <v>ACCT#1137/PCT#4</v>
      </c>
      <c r="G906" s="2">
        <v>13.18</v>
      </c>
      <c r="H906" t="str">
        <f>"ACCT#1137/PCT#4"</f>
        <v>ACCT#1137/PCT#4</v>
      </c>
    </row>
    <row r="907" spans="1:9" x14ac:dyDescent="0.25">
      <c r="A907" t="s">
        <v>341</v>
      </c>
      <c r="B907">
        <v>589</v>
      </c>
      <c r="C907" s="2">
        <v>1531.95</v>
      </c>
      <c r="D907" s="1">
        <v>43550</v>
      </c>
      <c r="E907" t="str">
        <f>"2008372"</f>
        <v>2008372</v>
      </c>
      <c r="F907" t="str">
        <f>"REPLACE SIGN &amp; FLAG POLE LIGHT"</f>
        <v>REPLACE SIGN &amp; FLAG POLE LIGHT</v>
      </c>
      <c r="G907" s="2">
        <v>986.3</v>
      </c>
      <c r="H907" t="str">
        <f>"REPLACE SIGN &amp; FLAG POLE LIGHT"</f>
        <v>REPLACE SIGN &amp; FLAG POLE LIGHT</v>
      </c>
    </row>
    <row r="908" spans="1:9" x14ac:dyDescent="0.25">
      <c r="E908" t="str">
        <f>"2008373"</f>
        <v>2008373</v>
      </c>
      <c r="F908" t="str">
        <f>"EXTEND PUMP OUTLETS"</f>
        <v>EXTEND PUMP OUTLETS</v>
      </c>
      <c r="G908" s="2">
        <v>545.65</v>
      </c>
      <c r="H908" t="str">
        <f>"EXTEND PUMP OUTLETS"</f>
        <v>EXTEND PUMP OUTLETS</v>
      </c>
    </row>
    <row r="909" spans="1:9" x14ac:dyDescent="0.25">
      <c r="A909" t="s">
        <v>342</v>
      </c>
      <c r="B909">
        <v>81322</v>
      </c>
      <c r="C909" s="2">
        <v>2191.42</v>
      </c>
      <c r="D909" s="1">
        <v>43535</v>
      </c>
      <c r="E909" t="str">
        <f>"201903067835"</f>
        <v>201903067835</v>
      </c>
      <c r="F909" t="str">
        <f>"ACCT#0200140783"</f>
        <v>ACCT#0200140783</v>
      </c>
      <c r="G909" s="2">
        <v>2191.42</v>
      </c>
      <c r="H909" t="str">
        <f>"ACCT#0200140783"</f>
        <v>ACCT#0200140783</v>
      </c>
    </row>
    <row r="910" spans="1:9" x14ac:dyDescent="0.25">
      <c r="A910" t="s">
        <v>343</v>
      </c>
      <c r="B910">
        <v>81586</v>
      </c>
      <c r="C910" s="2">
        <v>811.93</v>
      </c>
      <c r="D910" s="1">
        <v>43549</v>
      </c>
      <c r="E910" t="str">
        <f>"136401"</f>
        <v>136401</v>
      </c>
      <c r="F910" t="str">
        <f>"INV 136401"</f>
        <v>INV 136401</v>
      </c>
      <c r="G910" s="2">
        <v>811.93</v>
      </c>
      <c r="H910" t="str">
        <f>"INV 136401"</f>
        <v>INV 136401</v>
      </c>
    </row>
    <row r="911" spans="1:9" x14ac:dyDescent="0.25">
      <c r="A911" t="s">
        <v>344</v>
      </c>
      <c r="B911">
        <v>81587</v>
      </c>
      <c r="C911" s="2">
        <v>2</v>
      </c>
      <c r="D911" s="1">
        <v>43549</v>
      </c>
      <c r="E911" t="s">
        <v>345</v>
      </c>
      <c r="F911" t="s">
        <v>346</v>
      </c>
      <c r="G911" s="2" t="str">
        <f>"OVERPAYMENT"</f>
        <v>OVERPAYMENT</v>
      </c>
      <c r="H911" t="str">
        <f>"210-0000"</f>
        <v>210-0000</v>
      </c>
      <c r="I911" t="str">
        <f>""</f>
        <v/>
      </c>
    </row>
    <row r="912" spans="1:9" x14ac:dyDescent="0.25">
      <c r="A912" t="s">
        <v>347</v>
      </c>
      <c r="B912">
        <v>561</v>
      </c>
      <c r="C912" s="2">
        <v>2989</v>
      </c>
      <c r="D912" s="1">
        <v>43536</v>
      </c>
      <c r="E912" t="str">
        <f>"201903057653"</f>
        <v>201903057653</v>
      </c>
      <c r="F912" t="str">
        <f>"18-19050"</f>
        <v>18-19050</v>
      </c>
      <c r="G912" s="2">
        <v>348</v>
      </c>
      <c r="H912" t="str">
        <f>"18-19050"</f>
        <v>18-19050</v>
      </c>
    </row>
    <row r="913" spans="1:9" x14ac:dyDescent="0.25">
      <c r="E913" t="str">
        <f>"201903057654"</f>
        <v>201903057654</v>
      </c>
      <c r="F913" t="str">
        <f>"18-18974"</f>
        <v>18-18974</v>
      </c>
      <c r="G913" s="2">
        <v>505</v>
      </c>
      <c r="H913" t="str">
        <f>"18-18974"</f>
        <v>18-18974</v>
      </c>
    </row>
    <row r="914" spans="1:9" x14ac:dyDescent="0.25">
      <c r="E914" t="str">
        <f>"201903057655"</f>
        <v>201903057655</v>
      </c>
      <c r="F914" t="str">
        <f>"19-19463"</f>
        <v>19-19463</v>
      </c>
      <c r="G914" s="2">
        <v>100</v>
      </c>
      <c r="H914" t="str">
        <f>"19-19463"</f>
        <v>19-19463</v>
      </c>
    </row>
    <row r="915" spans="1:9" x14ac:dyDescent="0.25">
      <c r="E915" t="str">
        <f>"201903057656"</f>
        <v>201903057656</v>
      </c>
      <c r="F915" t="str">
        <f>"56526"</f>
        <v>56526</v>
      </c>
      <c r="G915" s="2">
        <v>250</v>
      </c>
      <c r="H915" t="str">
        <f>"56526"</f>
        <v>56526</v>
      </c>
    </row>
    <row r="916" spans="1:9" x14ac:dyDescent="0.25">
      <c r="E916" t="str">
        <f>"201903057657"</f>
        <v>201903057657</v>
      </c>
      <c r="F916" t="str">
        <f>"55870"</f>
        <v>55870</v>
      </c>
      <c r="G916" s="2">
        <v>250</v>
      </c>
      <c r="H916" t="str">
        <f>"55870"</f>
        <v>55870</v>
      </c>
    </row>
    <row r="917" spans="1:9" x14ac:dyDescent="0.25">
      <c r="E917" t="str">
        <f>"201903057658"</f>
        <v>201903057658</v>
      </c>
      <c r="F917" t="str">
        <f>"18-18992"</f>
        <v>18-18992</v>
      </c>
      <c r="G917" s="2">
        <v>225</v>
      </c>
      <c r="H917" t="str">
        <f>"18-18992"</f>
        <v>18-18992</v>
      </c>
    </row>
    <row r="918" spans="1:9" x14ac:dyDescent="0.25">
      <c r="E918" t="str">
        <f>"201903057659"</f>
        <v>201903057659</v>
      </c>
      <c r="F918" t="str">
        <f>"17-18635"</f>
        <v>17-18635</v>
      </c>
      <c r="G918" s="2">
        <v>358</v>
      </c>
      <c r="H918" t="str">
        <f>"17-18635"</f>
        <v>17-18635</v>
      </c>
    </row>
    <row r="919" spans="1:9" x14ac:dyDescent="0.25">
      <c r="E919" t="str">
        <f>"201903057660"</f>
        <v>201903057660</v>
      </c>
      <c r="F919" t="str">
        <f>"17-18718"</f>
        <v>17-18718</v>
      </c>
      <c r="G919" s="2">
        <v>468</v>
      </c>
      <c r="H919" t="str">
        <f>"17-18718"</f>
        <v>17-18718</v>
      </c>
    </row>
    <row r="920" spans="1:9" x14ac:dyDescent="0.25">
      <c r="E920" t="str">
        <f>"201903057661"</f>
        <v>201903057661</v>
      </c>
      <c r="F920" t="str">
        <f>"18-19039"</f>
        <v>18-19039</v>
      </c>
      <c r="G920" s="2">
        <v>235</v>
      </c>
      <c r="H920" t="str">
        <f>"18-19039"</f>
        <v>18-19039</v>
      </c>
    </row>
    <row r="921" spans="1:9" x14ac:dyDescent="0.25">
      <c r="E921" t="str">
        <f>"201903057662"</f>
        <v>201903057662</v>
      </c>
      <c r="F921" t="str">
        <f>"18-19239"</f>
        <v>18-19239</v>
      </c>
      <c r="G921" s="2">
        <v>250</v>
      </c>
      <c r="H921" t="str">
        <f>"18-19239"</f>
        <v>18-19239</v>
      </c>
    </row>
    <row r="922" spans="1:9" x14ac:dyDescent="0.25">
      <c r="A922" t="s">
        <v>348</v>
      </c>
      <c r="B922">
        <v>81323</v>
      </c>
      <c r="C922" s="2">
        <v>174</v>
      </c>
      <c r="D922" s="1">
        <v>43535</v>
      </c>
      <c r="E922" t="str">
        <f>"003158"</f>
        <v>003158</v>
      </c>
      <c r="F922" t="str">
        <f>"INSPECTIONS/PCT#3"</f>
        <v>INSPECTIONS/PCT#3</v>
      </c>
      <c r="G922" s="2">
        <v>174</v>
      </c>
      <c r="H922" t="str">
        <f>"INSPECTIONS/PCT#3"</f>
        <v>INSPECTIONS/PCT#3</v>
      </c>
    </row>
    <row r="923" spans="1:9" x14ac:dyDescent="0.25">
      <c r="A923" t="s">
        <v>349</v>
      </c>
      <c r="B923">
        <v>81324</v>
      </c>
      <c r="C923" s="2">
        <v>2005</v>
      </c>
      <c r="D923" s="1">
        <v>43535</v>
      </c>
      <c r="E923" t="str">
        <f>"201903057711"</f>
        <v>201903057711</v>
      </c>
      <c r="F923" t="str">
        <f>"18-19093"</f>
        <v>18-19093</v>
      </c>
      <c r="G923" s="2">
        <v>525</v>
      </c>
      <c r="H923" t="str">
        <f>"18-19093"</f>
        <v>18-19093</v>
      </c>
    </row>
    <row r="924" spans="1:9" x14ac:dyDescent="0.25">
      <c r="E924" t="str">
        <f>"201903057712"</f>
        <v>201903057712</v>
      </c>
      <c r="F924" t="str">
        <f>"18-18924"</f>
        <v>18-18924</v>
      </c>
      <c r="G924" s="2">
        <v>1480</v>
      </c>
      <c r="H924" t="str">
        <f>"18-18924"</f>
        <v>18-18924</v>
      </c>
    </row>
    <row r="925" spans="1:9" x14ac:dyDescent="0.25">
      <c r="A925" t="s">
        <v>350</v>
      </c>
      <c r="B925">
        <v>546</v>
      </c>
      <c r="C925" s="2">
        <v>204.58</v>
      </c>
      <c r="D925" s="1">
        <v>43536</v>
      </c>
      <c r="E925" t="str">
        <f>"201903057725"</f>
        <v>201903057725</v>
      </c>
      <c r="F925" t="str">
        <f>"ACCT#0005/PCT#4"</f>
        <v>ACCT#0005/PCT#4</v>
      </c>
      <c r="G925" s="2">
        <v>204.58</v>
      </c>
      <c r="H925" t="str">
        <f>"ACCT#0005/PCT#4"</f>
        <v>ACCT#0005/PCT#4</v>
      </c>
    </row>
    <row r="926" spans="1:9" x14ac:dyDescent="0.25">
      <c r="A926" t="s">
        <v>351</v>
      </c>
      <c r="B926">
        <v>81325</v>
      </c>
      <c r="C926" s="2">
        <v>1000</v>
      </c>
      <c r="D926" s="1">
        <v>43535</v>
      </c>
      <c r="E926" t="s">
        <v>44</v>
      </c>
      <c r="F926" t="s">
        <v>352</v>
      </c>
      <c r="G926" s="2" t="str">
        <f>"RESTITUTION-JEREMY NASH"</f>
        <v>RESTITUTION-JEREMY NASH</v>
      </c>
      <c r="H926" t="str">
        <f>"210-0000"</f>
        <v>210-0000</v>
      </c>
      <c r="I926" t="str">
        <f>""</f>
        <v/>
      </c>
    </row>
    <row r="927" spans="1:9" x14ac:dyDescent="0.25">
      <c r="A927" t="s">
        <v>353</v>
      </c>
      <c r="B927">
        <v>81588</v>
      </c>
      <c r="C927" s="2">
        <v>325</v>
      </c>
      <c r="D927" s="1">
        <v>43549</v>
      </c>
      <c r="E927" t="str">
        <f>"238982"</f>
        <v>238982</v>
      </c>
      <c r="F927" t="str">
        <f>"INV 238982 - J. DAVENPORT"</f>
        <v>INV 238982 - J. DAVENPORT</v>
      </c>
      <c r="G927" s="2">
        <v>325</v>
      </c>
      <c r="H927" t="str">
        <f>"INV 238982 - J. DAVENPORT"</f>
        <v>INV 238982 - J. DAVENPORT</v>
      </c>
    </row>
    <row r="928" spans="1:9" x14ac:dyDescent="0.25">
      <c r="A928" t="s">
        <v>354</v>
      </c>
      <c r="B928">
        <v>547</v>
      </c>
      <c r="C928" s="2">
        <v>11874</v>
      </c>
      <c r="D928" s="1">
        <v>43536</v>
      </c>
      <c r="E928" t="str">
        <f>"008957"</f>
        <v>008957</v>
      </c>
      <c r="F928" t="str">
        <f>"2019 ACCESSORIES/PCT#3"</f>
        <v>2019 ACCESSORIES/PCT#3</v>
      </c>
      <c r="G928" s="2">
        <v>5757.1</v>
      </c>
      <c r="H928" t="str">
        <f>"2019 ACCESSORIES/PCT#3"</f>
        <v>2019 ACCESSORIES/PCT#3</v>
      </c>
    </row>
    <row r="929" spans="1:9" x14ac:dyDescent="0.25">
      <c r="E929" t="str">
        <f>"008960"</f>
        <v>008960</v>
      </c>
      <c r="F929" t="str">
        <f>"ALLEY/STROBE LIGHTS/PCT#3"</f>
        <v>ALLEY/STROBE LIGHTS/PCT#3</v>
      </c>
      <c r="G929" s="2">
        <v>359.8</v>
      </c>
      <c r="H929" t="str">
        <f>"ALLEY/STROBE LIGHTS/PCT#3"</f>
        <v>ALLEY/STROBE LIGHTS/PCT#3</v>
      </c>
    </row>
    <row r="930" spans="1:9" x14ac:dyDescent="0.25">
      <c r="E930" t="str">
        <f>"008973"</f>
        <v>008973</v>
      </c>
      <c r="F930" t="str">
        <f>"2019 RAM ACCESSORIES/PCT#3"</f>
        <v>2019 RAM ACCESSORIES/PCT#3</v>
      </c>
      <c r="G930" s="2">
        <v>5757.1</v>
      </c>
      <c r="H930" t="str">
        <f>"2019 RAM ACCESSORIES/PCT#3"</f>
        <v>2019 RAM ACCESSORIES/PCT#3</v>
      </c>
    </row>
    <row r="931" spans="1:9" x14ac:dyDescent="0.25">
      <c r="A931" t="s">
        <v>354</v>
      </c>
      <c r="B931">
        <v>601</v>
      </c>
      <c r="C931" s="2">
        <v>524.95000000000005</v>
      </c>
      <c r="D931" s="1">
        <v>43550</v>
      </c>
      <c r="E931" t="str">
        <f>"009012"</f>
        <v>009012</v>
      </c>
      <c r="F931" t="str">
        <f>"PUMP/HOUSING/SWIVEL/PCT#3"</f>
        <v>PUMP/HOUSING/SWIVEL/PCT#3</v>
      </c>
      <c r="G931" s="2">
        <v>524.95000000000005</v>
      </c>
      <c r="H931" t="str">
        <f>"PUMP/HOUSING/SWIVEL/PCT#3"</f>
        <v>PUMP/HOUSING/SWIVEL/PCT#3</v>
      </c>
    </row>
    <row r="932" spans="1:9" x14ac:dyDescent="0.25">
      <c r="A932" t="s">
        <v>355</v>
      </c>
      <c r="B932">
        <v>81326</v>
      </c>
      <c r="C932" s="2">
        <v>108</v>
      </c>
      <c r="D932" s="1">
        <v>43535</v>
      </c>
      <c r="E932" t="s">
        <v>356</v>
      </c>
      <c r="F932" t="s">
        <v>357</v>
      </c>
      <c r="G932" s="2" t="str">
        <f>"RESTITUTION-FRANCISCO OSTEGUIN"</f>
        <v>RESTITUTION-FRANCISCO OSTEGUIN</v>
      </c>
      <c r="H932" t="str">
        <f>"210-0000"</f>
        <v>210-0000</v>
      </c>
      <c r="I932" t="str">
        <f>""</f>
        <v/>
      </c>
    </row>
    <row r="933" spans="1:9" x14ac:dyDescent="0.25">
      <c r="A933" t="s">
        <v>358</v>
      </c>
      <c r="B933">
        <v>81589</v>
      </c>
      <c r="C933" s="2">
        <v>980</v>
      </c>
      <c r="D933" s="1">
        <v>43549</v>
      </c>
      <c r="E933" t="str">
        <f>"0003370"</f>
        <v>0003370</v>
      </c>
      <c r="F933" t="str">
        <f>"TRAINING - INV 003370"</f>
        <v>TRAINING - INV 003370</v>
      </c>
      <c r="G933" s="2">
        <v>980</v>
      </c>
      <c r="H933" t="str">
        <f>"INV 0003370"</f>
        <v>INV 0003370</v>
      </c>
    </row>
    <row r="934" spans="1:9" x14ac:dyDescent="0.25">
      <c r="A934" t="s">
        <v>359</v>
      </c>
      <c r="B934">
        <v>81590</v>
      </c>
      <c r="C934" s="2">
        <v>99961</v>
      </c>
      <c r="D934" s="1">
        <v>43549</v>
      </c>
      <c r="E934" t="str">
        <f>"201903197996"</f>
        <v>201903197996</v>
      </c>
      <c r="F934" t="str">
        <f>"Mel Hamner"</f>
        <v>Mel Hamner</v>
      </c>
      <c r="G934" s="2">
        <v>99961</v>
      </c>
      <c r="H934" t="str">
        <f>"Mel Hamner"</f>
        <v>Mel Hamner</v>
      </c>
    </row>
    <row r="935" spans="1:9" x14ac:dyDescent="0.25">
      <c r="A935" t="s">
        <v>360</v>
      </c>
      <c r="B935">
        <v>584</v>
      </c>
      <c r="C935" s="2">
        <v>73.849999999999994</v>
      </c>
      <c r="D935" s="1">
        <v>43550</v>
      </c>
      <c r="E935" t="str">
        <f>"19C0121569859"</f>
        <v>19C0121569859</v>
      </c>
      <c r="F935" t="str">
        <f>"ACCT#0121569859/JP#4"</f>
        <v>ACCT#0121569859/JP#4</v>
      </c>
      <c r="G935" s="2">
        <v>40.92</v>
      </c>
      <c r="H935" t="str">
        <f>"ACCT#0121569859/JP#4"</f>
        <v>ACCT#0121569859/JP#4</v>
      </c>
    </row>
    <row r="936" spans="1:9" x14ac:dyDescent="0.25">
      <c r="E936" t="str">
        <f>"19C0121587851"</f>
        <v>19C0121587851</v>
      </c>
      <c r="F936" t="str">
        <f>"ACCT#0121587851/PCT#4"</f>
        <v>ACCT#0121587851/PCT#4</v>
      </c>
      <c r="G936" s="2">
        <v>32.93</v>
      </c>
      <c r="H936" t="str">
        <f>"ACCT#0121587851/PCT#4"</f>
        <v>ACCT#0121587851/PCT#4</v>
      </c>
    </row>
    <row r="937" spans="1:9" x14ac:dyDescent="0.25">
      <c r="A937" t="s">
        <v>361</v>
      </c>
      <c r="B937">
        <v>81591</v>
      </c>
      <c r="C937" s="2">
        <v>405.98</v>
      </c>
      <c r="D937" s="1">
        <v>43549</v>
      </c>
      <c r="E937" t="str">
        <f>"20190310019610"</f>
        <v>20190310019610</v>
      </c>
      <c r="F937" t="str">
        <f>"CUST#19610/GEN SVCS"</f>
        <v>CUST#19610/GEN SVCS</v>
      </c>
      <c r="G937" s="2">
        <v>193.49</v>
      </c>
      <c r="H937" t="str">
        <f>"CUST#19610/GEN SVCS"</f>
        <v>CUST#19610/GEN SVCS</v>
      </c>
    </row>
    <row r="938" spans="1:9" x14ac:dyDescent="0.25">
      <c r="E938" t="str">
        <f>"20190310019610-P3"</f>
        <v>20190310019610-P3</v>
      </c>
      <c r="F938" t="str">
        <f>"ACCT#19610/PCT#3"</f>
        <v>ACCT#19610/PCT#3</v>
      </c>
      <c r="G938" s="2">
        <v>212.49</v>
      </c>
      <c r="H938" t="str">
        <f>"ACCT#19610/PCT#3"</f>
        <v>ACCT#19610/PCT#3</v>
      </c>
    </row>
    <row r="939" spans="1:9" x14ac:dyDescent="0.25">
      <c r="A939" t="s">
        <v>362</v>
      </c>
      <c r="B939">
        <v>81327</v>
      </c>
      <c r="C939" s="2">
        <v>3985</v>
      </c>
      <c r="D939" s="1">
        <v>43535</v>
      </c>
      <c r="E939" t="str">
        <f>"201903047607"</f>
        <v>201903047607</v>
      </c>
      <c r="F939" t="str">
        <f>"TURN KEY HEAD WALL/PCT#2"</f>
        <v>TURN KEY HEAD WALL/PCT#2</v>
      </c>
      <c r="G939" s="2">
        <v>3985</v>
      </c>
      <c r="H939" t="str">
        <f>"TURN KEY HEAD WALL/PCT#2"</f>
        <v>TURN KEY HEAD WALL/PCT#2</v>
      </c>
    </row>
    <row r="940" spans="1:9" x14ac:dyDescent="0.25">
      <c r="A940" t="s">
        <v>363</v>
      </c>
      <c r="B940">
        <v>564</v>
      </c>
      <c r="C940" s="2">
        <v>1000</v>
      </c>
      <c r="D940" s="1">
        <v>43536</v>
      </c>
      <c r="E940" t="str">
        <f>"201903057682"</f>
        <v>201903057682</v>
      </c>
      <c r="F940" t="str">
        <f>"20160306"</f>
        <v>20160306</v>
      </c>
      <c r="G940" s="2">
        <v>250</v>
      </c>
      <c r="H940" t="str">
        <f>"20160306"</f>
        <v>20160306</v>
      </c>
    </row>
    <row r="941" spans="1:9" x14ac:dyDescent="0.25">
      <c r="E941" t="str">
        <f>"201903057683"</f>
        <v>201903057683</v>
      </c>
      <c r="F941" t="str">
        <f>"C160115"</f>
        <v>C160115</v>
      </c>
      <c r="G941" s="2">
        <v>250</v>
      </c>
      <c r="H941" t="str">
        <f>"C160115"</f>
        <v>C160115</v>
      </c>
    </row>
    <row r="942" spans="1:9" x14ac:dyDescent="0.25">
      <c r="E942" t="str">
        <f>"201903057684"</f>
        <v>201903057684</v>
      </c>
      <c r="F942" t="str">
        <f>"AC-20170528"</f>
        <v>AC-20170528</v>
      </c>
      <c r="G942" s="2">
        <v>250</v>
      </c>
      <c r="H942" t="str">
        <f>"AC-20170528"</f>
        <v>AC-20170528</v>
      </c>
    </row>
    <row r="943" spans="1:9" x14ac:dyDescent="0.25">
      <c r="E943" t="str">
        <f>"201903057685"</f>
        <v>201903057685</v>
      </c>
      <c r="F943" t="str">
        <f>"AC-2017-0305"</f>
        <v>AC-2017-0305</v>
      </c>
      <c r="G943" s="2">
        <v>250</v>
      </c>
      <c r="H943" t="str">
        <f>"AC-2017-0305"</f>
        <v>AC-2017-0305</v>
      </c>
    </row>
    <row r="944" spans="1:9" x14ac:dyDescent="0.25">
      <c r="A944" t="s">
        <v>364</v>
      </c>
      <c r="B944">
        <v>530</v>
      </c>
      <c r="C944" s="2">
        <v>325</v>
      </c>
      <c r="D944" s="1">
        <v>43536</v>
      </c>
      <c r="E944" t="str">
        <f>"I012802"</f>
        <v>I012802</v>
      </c>
      <c r="F944" t="str">
        <f>"INV I012802 / UNIT 5564"</f>
        <v>INV I012802 / UNIT 5564</v>
      </c>
      <c r="G944" s="2">
        <v>325</v>
      </c>
      <c r="H944" t="str">
        <f>"INV I012802 / UNIT 5564"</f>
        <v>INV I012802 / UNIT 5564</v>
      </c>
    </row>
    <row r="945" spans="1:8" x14ac:dyDescent="0.25">
      <c r="A945" t="s">
        <v>365</v>
      </c>
      <c r="B945">
        <v>597</v>
      </c>
      <c r="C945" s="2">
        <v>850</v>
      </c>
      <c r="D945" s="1">
        <v>43550</v>
      </c>
      <c r="E945" t="str">
        <f>"WACOTBFEB21"</f>
        <v>WACOTBFEB21</v>
      </c>
      <c r="F945" t="str">
        <f>"INV WACOTBFEB21"</f>
        <v>INV WACOTBFEB21</v>
      </c>
      <c r="G945" s="2">
        <v>850</v>
      </c>
      <c r="H945" t="str">
        <f>"INV WACOTBFEB21"</f>
        <v>INV WACOTBFEB21</v>
      </c>
    </row>
    <row r="946" spans="1:8" x14ac:dyDescent="0.25">
      <c r="A946" t="s">
        <v>366</v>
      </c>
      <c r="B946">
        <v>81328</v>
      </c>
      <c r="C946" s="2">
        <v>21.46</v>
      </c>
      <c r="D946" s="1">
        <v>43535</v>
      </c>
      <c r="E946" t="str">
        <f>"201903067842"</f>
        <v>201903067842</v>
      </c>
      <c r="F946" t="str">
        <f>"MILEAGE REIMBURSEMENT"</f>
        <v>MILEAGE REIMBURSEMENT</v>
      </c>
      <c r="G946" s="2">
        <v>21.46</v>
      </c>
      <c r="H946" t="str">
        <f>"MILEAGE REIMBURSEMENT"</f>
        <v>MILEAGE REIMBURSEMENT</v>
      </c>
    </row>
    <row r="947" spans="1:8" x14ac:dyDescent="0.25">
      <c r="A947" t="s">
        <v>367</v>
      </c>
      <c r="B947">
        <v>81329</v>
      </c>
      <c r="C947" s="2">
        <v>143.34</v>
      </c>
      <c r="D947" s="1">
        <v>43535</v>
      </c>
      <c r="E947" t="str">
        <f>"4547395"</f>
        <v>4547395</v>
      </c>
      <c r="F947" t="str">
        <f>"CUST ID:90564/GEN SVCS"</f>
        <v>CUST ID:90564/GEN SVCS</v>
      </c>
      <c r="G947" s="2">
        <v>-44.8</v>
      </c>
      <c r="H947" t="str">
        <f>"CUST ID:90564/GEN SVCS"</f>
        <v>CUST ID:90564/GEN SVCS</v>
      </c>
    </row>
    <row r="948" spans="1:8" x14ac:dyDescent="0.25">
      <c r="E948" t="str">
        <f>"4544538"</f>
        <v>4544538</v>
      </c>
      <c r="F948" t="str">
        <f>"CUST#90564/ORD#2536052/GEN SVC"</f>
        <v>CUST#90564/ORD#2536052/GEN SVC</v>
      </c>
      <c r="G948" s="2">
        <v>47.74</v>
      </c>
      <c r="H948" t="str">
        <f>"CUST#90564/ORD#2536052/GEN SVC"</f>
        <v>CUST#90564/ORD#2536052/GEN SVC</v>
      </c>
    </row>
    <row r="949" spans="1:8" x14ac:dyDescent="0.25">
      <c r="E949" t="str">
        <f>"4545138"</f>
        <v>4545138</v>
      </c>
      <c r="F949" t="str">
        <f>"ACCT#90564/GEN SVCS"</f>
        <v>ACCT#90564/GEN SVCS</v>
      </c>
      <c r="G949" s="2">
        <v>60.4</v>
      </c>
      <c r="H949" t="str">
        <f>"ACCT#90564/GEN SVCS"</f>
        <v>ACCT#90564/GEN SVCS</v>
      </c>
    </row>
    <row r="950" spans="1:8" x14ac:dyDescent="0.25">
      <c r="E950" t="str">
        <f>"4547450"</f>
        <v>4547450</v>
      </c>
      <c r="F950" t="str">
        <f>"CUST ID:90564/GEN SVCS"</f>
        <v>CUST ID:90564/GEN SVCS</v>
      </c>
      <c r="G950" s="2">
        <v>80</v>
      </c>
      <c r="H950" t="str">
        <f>"CUST ID:90564/GEN SVCS"</f>
        <v>CUST ID:90564/GEN SVCS</v>
      </c>
    </row>
    <row r="951" spans="1:8" x14ac:dyDescent="0.25">
      <c r="A951" t="s">
        <v>367</v>
      </c>
      <c r="B951">
        <v>81592</v>
      </c>
      <c r="C951" s="2">
        <v>277.92</v>
      </c>
      <c r="D951" s="1">
        <v>43549</v>
      </c>
      <c r="E951" t="str">
        <f>"4555923"</f>
        <v>4555923</v>
      </c>
      <c r="F951" t="str">
        <f>"INV 4555923"</f>
        <v>INV 4555923</v>
      </c>
      <c r="G951" s="2">
        <v>58.27</v>
      </c>
      <c r="H951" t="str">
        <f>"INV 4555923"</f>
        <v>INV 4555923</v>
      </c>
    </row>
    <row r="952" spans="1:8" x14ac:dyDescent="0.25">
      <c r="E952" t="str">
        <f>"4556228"</f>
        <v>4556228</v>
      </c>
      <c r="F952" t="str">
        <f>"INV 4556228"</f>
        <v>INV 4556228</v>
      </c>
      <c r="G952" s="2">
        <v>219.65</v>
      </c>
      <c r="H952" t="str">
        <f>"INV 4556228"</f>
        <v>INV 4556228</v>
      </c>
    </row>
    <row r="953" spans="1:8" x14ac:dyDescent="0.25">
      <c r="A953" t="s">
        <v>368</v>
      </c>
      <c r="B953">
        <v>544</v>
      </c>
      <c r="C953" s="2">
        <v>4650</v>
      </c>
      <c r="D953" s="1">
        <v>43536</v>
      </c>
      <c r="E953" t="str">
        <f>"WA2012-2018"</f>
        <v>WA2012-2018</v>
      </c>
      <c r="F953" t="str">
        <f>"RIGHT OF WAY DETERMINATION/P3"</f>
        <v>RIGHT OF WAY DETERMINATION/P3</v>
      </c>
      <c r="G953" s="2">
        <v>4650</v>
      </c>
      <c r="H953" t="str">
        <f>"RIGHT OF WAY DETERMINATION/P3"</f>
        <v>RIGHT OF WAY DETERMINATION/P3</v>
      </c>
    </row>
    <row r="954" spans="1:8" x14ac:dyDescent="0.25">
      <c r="A954" t="s">
        <v>369</v>
      </c>
      <c r="B954">
        <v>81593</v>
      </c>
      <c r="C954" s="2">
        <v>80</v>
      </c>
      <c r="D954" s="1">
        <v>43549</v>
      </c>
      <c r="E954" t="str">
        <f>"13108"</f>
        <v>13108</v>
      </c>
      <c r="F954" t="str">
        <f>"SERVICE  01/17/19"</f>
        <v>SERVICE  01/17/19</v>
      </c>
      <c r="G954" s="2">
        <v>80</v>
      </c>
      <c r="H954" t="str">
        <f>"SERVICE  01/17/19"</f>
        <v>SERVICE  01/17/19</v>
      </c>
    </row>
    <row r="955" spans="1:8" x14ac:dyDescent="0.25">
      <c r="A955" t="s">
        <v>370</v>
      </c>
      <c r="B955">
        <v>81330</v>
      </c>
      <c r="C955" s="2">
        <v>984</v>
      </c>
      <c r="D955" s="1">
        <v>43535</v>
      </c>
      <c r="E955" t="str">
        <f>"201903057627"</f>
        <v>201903057627</v>
      </c>
      <c r="F955" t="str">
        <f>"LPHCP RECORDING FEES"</f>
        <v>LPHCP RECORDING FEES</v>
      </c>
      <c r="G955" s="2">
        <v>984</v>
      </c>
      <c r="H955" t="str">
        <f>"LPHCP RECORDING FEES"</f>
        <v>LPHCP RECORDING FEES</v>
      </c>
    </row>
    <row r="956" spans="1:8" x14ac:dyDescent="0.25">
      <c r="A956" t="s">
        <v>370</v>
      </c>
      <c r="B956">
        <v>81331</v>
      </c>
      <c r="C956" s="2">
        <v>333</v>
      </c>
      <c r="D956" s="1">
        <v>43535</v>
      </c>
      <c r="E956" t="str">
        <f>"201903057720"</f>
        <v>201903057720</v>
      </c>
      <c r="F956" t="str">
        <f>"DEVELOPMENT SVCS RECORDING FEE"</f>
        <v>DEVELOPMENT SVCS RECORDING FEE</v>
      </c>
      <c r="G956" s="2">
        <v>333</v>
      </c>
      <c r="H956" t="str">
        <f>"DEVELOPMENT SVCS RECORDING FEE"</f>
        <v>DEVELOPMENT SVCS RECORDING FEE</v>
      </c>
    </row>
    <row r="957" spans="1:8" x14ac:dyDescent="0.25">
      <c r="A957" t="s">
        <v>370</v>
      </c>
      <c r="B957">
        <v>81594</v>
      </c>
      <c r="C957" s="2">
        <v>318</v>
      </c>
      <c r="D957" s="1">
        <v>43549</v>
      </c>
      <c r="E957" t="str">
        <f>"201903197953"</f>
        <v>201903197953</v>
      </c>
      <c r="F957" t="str">
        <f>"LPHCP RECORDING FEES"</f>
        <v>LPHCP RECORDING FEES</v>
      </c>
      <c r="G957" s="2">
        <v>318</v>
      </c>
      <c r="H957" t="str">
        <f>"LPHCP RECORDING FEES"</f>
        <v>LPHCP RECORDING FEES</v>
      </c>
    </row>
    <row r="958" spans="1:8" x14ac:dyDescent="0.25">
      <c r="A958" t="s">
        <v>370</v>
      </c>
      <c r="B958">
        <v>81595</v>
      </c>
      <c r="C958" s="2">
        <v>122</v>
      </c>
      <c r="D958" s="1">
        <v>43549</v>
      </c>
      <c r="E958" t="str">
        <f>"201903197952"</f>
        <v>201903197952</v>
      </c>
      <c r="F958" t="str">
        <f>"DEVELOPMENT SVCS RECORDING FEE"</f>
        <v>DEVELOPMENT SVCS RECORDING FEE</v>
      </c>
      <c r="G958" s="2">
        <v>61</v>
      </c>
      <c r="H958" t="str">
        <f>"DEVELOPMENT SVCS RECORDING FEE"</f>
        <v>DEVELOPMENT SVCS RECORDING FEE</v>
      </c>
    </row>
    <row r="959" spans="1:8" x14ac:dyDescent="0.25">
      <c r="E959" t="str">
        <f>"201903208013"</f>
        <v>201903208013</v>
      </c>
      <c r="F959" t="str">
        <f>"DEVELOPMENT SVCS RECORDING FEE"</f>
        <v>DEVELOPMENT SVCS RECORDING FEE</v>
      </c>
      <c r="G959" s="2">
        <v>61</v>
      </c>
      <c r="H959" t="str">
        <f>"DEVELOPMENT SVCS RECORDING FEE"</f>
        <v>DEVELOPMENT SVCS RECORDING FEE</v>
      </c>
    </row>
    <row r="960" spans="1:8" x14ac:dyDescent="0.25">
      <c r="A960" t="s">
        <v>371</v>
      </c>
      <c r="B960">
        <v>81596</v>
      </c>
      <c r="C960" s="2">
        <v>20</v>
      </c>
      <c r="D960" s="1">
        <v>43549</v>
      </c>
      <c r="E960" t="str">
        <f>"201903208036"</f>
        <v>201903208036</v>
      </c>
      <c r="F960" t="str">
        <f>"FERAL HOGS"</f>
        <v>FERAL HOGS</v>
      </c>
      <c r="G960" s="2">
        <v>5</v>
      </c>
      <c r="H960" t="str">
        <f>"FERAL HOGS"</f>
        <v>FERAL HOGS</v>
      </c>
    </row>
    <row r="961" spans="1:9" x14ac:dyDescent="0.25">
      <c r="E961" t="str">
        <f>"201903208037"</f>
        <v>201903208037</v>
      </c>
      <c r="F961" t="str">
        <f>"FERAL HOGS"</f>
        <v>FERAL HOGS</v>
      </c>
      <c r="G961" s="2">
        <v>10</v>
      </c>
      <c r="H961" t="str">
        <f>"FERAL HOGS"</f>
        <v>FERAL HOGS</v>
      </c>
    </row>
    <row r="962" spans="1:9" x14ac:dyDescent="0.25">
      <c r="E962" t="str">
        <f>"201903208038"</f>
        <v>201903208038</v>
      </c>
      <c r="F962" t="str">
        <f>"FERAL HOGS"</f>
        <v>FERAL HOGS</v>
      </c>
      <c r="G962" s="2">
        <v>5</v>
      </c>
      <c r="H962" t="str">
        <f>"FERAL HOGS"</f>
        <v>FERAL HOGS</v>
      </c>
    </row>
    <row r="963" spans="1:9" x14ac:dyDescent="0.25">
      <c r="A963" t="s">
        <v>372</v>
      </c>
      <c r="B963">
        <v>81332</v>
      </c>
      <c r="C963" s="2">
        <v>74.36</v>
      </c>
      <c r="D963" s="1">
        <v>43535</v>
      </c>
      <c r="E963" t="str">
        <f>"27848"</f>
        <v>27848</v>
      </c>
      <c r="F963" t="str">
        <f>"ACCT#35019/PCT#2"</f>
        <v>ACCT#35019/PCT#2</v>
      </c>
      <c r="G963" s="2">
        <v>74.36</v>
      </c>
      <c r="H963" t="str">
        <f>"ACCT#35019/PCT#2"</f>
        <v>ACCT#35019/PCT#2</v>
      </c>
    </row>
    <row r="964" spans="1:9" x14ac:dyDescent="0.25">
      <c r="A964" t="s">
        <v>373</v>
      </c>
      <c r="B964">
        <v>615</v>
      </c>
      <c r="C964" s="2">
        <v>273.27</v>
      </c>
      <c r="D964" s="1">
        <v>43550</v>
      </c>
      <c r="E964" t="str">
        <f>"201903197972"</f>
        <v>201903197972</v>
      </c>
      <c r="F964" t="str">
        <f>"INDIGENT HEALTH"</f>
        <v>INDIGENT HEALTH</v>
      </c>
      <c r="G964" s="2">
        <v>273.27</v>
      </c>
      <c r="H964" t="str">
        <f>"INDIGENT HEALTH"</f>
        <v>INDIGENT HEALTH</v>
      </c>
    </row>
    <row r="965" spans="1:9" x14ac:dyDescent="0.25">
      <c r="A965" t="s">
        <v>374</v>
      </c>
      <c r="B965">
        <v>616</v>
      </c>
      <c r="C965" s="2">
        <v>4405</v>
      </c>
      <c r="D965" s="1">
        <v>43550</v>
      </c>
      <c r="E965" t="str">
        <f>"6333"</f>
        <v>6333</v>
      </c>
      <c r="F965" t="str">
        <f>"Panic Buttons for JP1 &amp; T"</f>
        <v>Panic Buttons for JP1 &amp; T</v>
      </c>
      <c r="G965" s="2">
        <v>260</v>
      </c>
      <c r="H965" t="str">
        <f>"Single Button Duress"</f>
        <v>Single Button Duress</v>
      </c>
    </row>
    <row r="966" spans="1:9" x14ac:dyDescent="0.25">
      <c r="E966" t="str">
        <f>""</f>
        <v/>
      </c>
      <c r="F966" t="str">
        <f>""</f>
        <v/>
      </c>
      <c r="H966" t="str">
        <f>"shipping"</f>
        <v>shipping</v>
      </c>
    </row>
    <row r="967" spans="1:9" x14ac:dyDescent="0.25">
      <c r="E967" t="str">
        <f>"6334"</f>
        <v>6334</v>
      </c>
      <c r="F967" t="str">
        <f>"Panic Buttons &amp; Receivers"</f>
        <v>Panic Buttons &amp; Receivers</v>
      </c>
      <c r="G967" s="2">
        <v>4145</v>
      </c>
      <c r="H967" t="str">
        <f>"Quote# 2707"</f>
        <v>Quote# 2707</v>
      </c>
    </row>
    <row r="968" spans="1:9" x14ac:dyDescent="0.25">
      <c r="E968" t="str">
        <f>""</f>
        <v/>
      </c>
      <c r="F968" t="str">
        <f>""</f>
        <v/>
      </c>
      <c r="H968" t="str">
        <f>"Quote# 2706"</f>
        <v>Quote# 2706</v>
      </c>
    </row>
    <row r="969" spans="1:9" x14ac:dyDescent="0.25">
      <c r="A969" t="s">
        <v>375</v>
      </c>
      <c r="B969">
        <v>591</v>
      </c>
      <c r="C969" s="2">
        <v>2342</v>
      </c>
      <c r="D969" s="1">
        <v>43550</v>
      </c>
      <c r="E969" t="str">
        <f>"PPDINV0012131"</f>
        <v>PPDINV0012131</v>
      </c>
      <c r="F969" t="str">
        <f>"INV PPDINV0012131"</f>
        <v>INV PPDINV0012131</v>
      </c>
      <c r="G969" s="2">
        <v>2342</v>
      </c>
      <c r="H969" t="str">
        <f>"INV PPDINV0012131"</f>
        <v>INV PPDINV0012131</v>
      </c>
    </row>
    <row r="970" spans="1:9" x14ac:dyDescent="0.25">
      <c r="A970" t="s">
        <v>376</v>
      </c>
      <c r="B970">
        <v>81597</v>
      </c>
      <c r="C970" s="2">
        <v>2072.7600000000002</v>
      </c>
      <c r="D970" s="1">
        <v>43549</v>
      </c>
      <c r="E970" t="str">
        <f>"201903197974"</f>
        <v>201903197974</v>
      </c>
      <c r="F970" t="str">
        <f>"INDIGENT HEALTH"</f>
        <v>INDIGENT HEALTH</v>
      </c>
      <c r="G970" s="2">
        <v>2072.7600000000002</v>
      </c>
      <c r="H970" t="str">
        <f>"INDIGENT HEALTH"</f>
        <v>INDIGENT HEALTH</v>
      </c>
    </row>
    <row r="971" spans="1:9" x14ac:dyDescent="0.25">
      <c r="A971" t="s">
        <v>377</v>
      </c>
      <c r="B971">
        <v>81333</v>
      </c>
      <c r="C971" s="2">
        <v>30</v>
      </c>
      <c r="D971" s="1">
        <v>43535</v>
      </c>
      <c r="E971" t="s">
        <v>378</v>
      </c>
      <c r="F971" t="s">
        <v>379</v>
      </c>
      <c r="G971" s="2" t="str">
        <f>"RESTITUTION-DEBRA MCCOMB"</f>
        <v>RESTITUTION-DEBRA MCCOMB</v>
      </c>
      <c r="H971" t="str">
        <f>"210-0000"</f>
        <v>210-0000</v>
      </c>
      <c r="I971" t="str">
        <f>""</f>
        <v/>
      </c>
    </row>
    <row r="972" spans="1:9" x14ac:dyDescent="0.25">
      <c r="A972" t="s">
        <v>380</v>
      </c>
      <c r="B972">
        <v>81334</v>
      </c>
      <c r="C972" s="2">
        <v>817.46</v>
      </c>
      <c r="D972" s="1">
        <v>43535</v>
      </c>
      <c r="E972" t="str">
        <f>"201903067838"</f>
        <v>201903067838</v>
      </c>
      <c r="F972" t="str">
        <f>"ACCT#20147/ANIMAL SERVICES"</f>
        <v>ACCT#20147/ANIMAL SERVICES</v>
      </c>
      <c r="G972" s="2">
        <v>817.46</v>
      </c>
      <c r="H972" t="str">
        <f>"ACCT#20147/ANIMAL SERVICES"</f>
        <v>ACCT#20147/ANIMAL SERVICES</v>
      </c>
    </row>
    <row r="973" spans="1:9" x14ac:dyDescent="0.25">
      <c r="A973" t="s">
        <v>381</v>
      </c>
      <c r="B973">
        <v>81335</v>
      </c>
      <c r="C973" s="2">
        <v>19252</v>
      </c>
      <c r="D973" s="1">
        <v>43535</v>
      </c>
      <c r="E973" t="str">
        <f>"GB00316652"</f>
        <v>GB00316652</v>
      </c>
      <c r="F973" t="str">
        <f>"CommVault Software Suppor"</f>
        <v>CommVault Software Suppor</v>
      </c>
      <c r="G973" s="2">
        <v>19252</v>
      </c>
      <c r="H973" t="str">
        <f>"Part#: S-PREM-RNWL"</f>
        <v>Part#: S-PREM-RNWL</v>
      </c>
    </row>
    <row r="974" spans="1:9" x14ac:dyDescent="0.25">
      <c r="E974" t="str">
        <f>""</f>
        <v/>
      </c>
      <c r="F974" t="str">
        <f>""</f>
        <v/>
      </c>
      <c r="H974" t="str">
        <f>"Part#: ED-OD-PRO-MNT"</f>
        <v>Part#: ED-OD-PRO-MNT</v>
      </c>
    </row>
    <row r="975" spans="1:9" x14ac:dyDescent="0.25">
      <c r="A975" t="s">
        <v>381</v>
      </c>
      <c r="B975">
        <v>81599</v>
      </c>
      <c r="C975" s="2">
        <v>5040</v>
      </c>
      <c r="D975" s="1">
        <v>43549</v>
      </c>
      <c r="E975" t="str">
        <f>"GB00317358"</f>
        <v>GB00317358</v>
      </c>
      <c r="F975" t="str">
        <f>"3 Battery Back-Ups for El"</f>
        <v>3 Battery Back-Ups for El</v>
      </c>
      <c r="G975" s="2">
        <v>312</v>
      </c>
      <c r="H975" t="str">
        <f>"Part#: BE850M2"</f>
        <v>Part#: BE850M2</v>
      </c>
    </row>
    <row r="976" spans="1:9" x14ac:dyDescent="0.25">
      <c r="E976" t="str">
        <f>"GB00317441"</f>
        <v>GB00317441</v>
      </c>
      <c r="F976" t="str">
        <f>"SolarWinds Help Desk Lice"</f>
        <v>SolarWinds Help Desk Lice</v>
      </c>
      <c r="G976" s="2">
        <v>3822</v>
      </c>
      <c r="H976" t="str">
        <f>"Part#: 18296"</f>
        <v>Part#: 18296</v>
      </c>
    </row>
    <row r="977" spans="1:8" x14ac:dyDescent="0.25">
      <c r="E977" t="str">
        <f>"GB00317609"</f>
        <v>GB00317609</v>
      </c>
      <c r="F977" t="str">
        <f>"JP 3 Fujitsu Scanner"</f>
        <v>JP 3 Fujitsu Scanner</v>
      </c>
      <c r="G977" s="2">
        <v>906</v>
      </c>
      <c r="H977" t="str">
        <f>"PA03670-B065"</f>
        <v>PA03670-B065</v>
      </c>
    </row>
    <row r="978" spans="1:8" x14ac:dyDescent="0.25">
      <c r="A978" t="s">
        <v>382</v>
      </c>
      <c r="B978">
        <v>81336</v>
      </c>
      <c r="C978" s="2">
        <v>622.97</v>
      </c>
      <c r="D978" s="1">
        <v>43535</v>
      </c>
      <c r="E978" t="str">
        <f>"19-22131"</f>
        <v>19-22131</v>
      </c>
      <c r="F978" t="str">
        <f>"INV 8126784931"</f>
        <v>INV 8126784931</v>
      </c>
      <c r="G978" s="2">
        <v>252.54</v>
      </c>
      <c r="H978" t="str">
        <f>"INV 8126784931 - LE"</f>
        <v>INV 8126784931 - LE</v>
      </c>
    </row>
    <row r="979" spans="1:8" x14ac:dyDescent="0.25">
      <c r="E979" t="str">
        <f>""</f>
        <v/>
      </c>
      <c r="F979" t="str">
        <f>""</f>
        <v/>
      </c>
      <c r="H979" t="str">
        <f>"INV 8126784931 - JAI"</f>
        <v>INV 8126784931 - JAI</v>
      </c>
    </row>
    <row r="980" spans="1:8" x14ac:dyDescent="0.25">
      <c r="E980" t="str">
        <f>"8126785561"</f>
        <v>8126785561</v>
      </c>
      <c r="F980" t="str">
        <f>"CUST#16155373"</f>
        <v>CUST#16155373</v>
      </c>
      <c r="G980" s="2">
        <v>246.84</v>
      </c>
      <c r="H980" t="str">
        <f t="shared" ref="H980:H985" si="12">"CUST#16155373"</f>
        <v>CUST#16155373</v>
      </c>
    </row>
    <row r="981" spans="1:8" x14ac:dyDescent="0.25">
      <c r="E981" t="str">
        <f>""</f>
        <v/>
      </c>
      <c r="F981" t="str">
        <f>""</f>
        <v/>
      </c>
      <c r="H981" t="str">
        <f t="shared" si="12"/>
        <v>CUST#16155373</v>
      </c>
    </row>
    <row r="982" spans="1:8" x14ac:dyDescent="0.25">
      <c r="E982" t="str">
        <f>""</f>
        <v/>
      </c>
      <c r="F982" t="str">
        <f>""</f>
        <v/>
      </c>
      <c r="H982" t="str">
        <f t="shared" si="12"/>
        <v>CUST#16155373</v>
      </c>
    </row>
    <row r="983" spans="1:8" x14ac:dyDescent="0.25">
      <c r="E983" t="str">
        <f>""</f>
        <v/>
      </c>
      <c r="F983" t="str">
        <f>""</f>
        <v/>
      </c>
      <c r="H983" t="str">
        <f t="shared" si="12"/>
        <v>CUST#16155373</v>
      </c>
    </row>
    <row r="984" spans="1:8" x14ac:dyDescent="0.25">
      <c r="E984" t="str">
        <f>""</f>
        <v/>
      </c>
      <c r="F984" t="str">
        <f>""</f>
        <v/>
      </c>
      <c r="H984" t="str">
        <f t="shared" si="12"/>
        <v>CUST#16155373</v>
      </c>
    </row>
    <row r="985" spans="1:8" x14ac:dyDescent="0.25">
      <c r="E985" t="str">
        <f>""</f>
        <v/>
      </c>
      <c r="F985" t="str">
        <f>""</f>
        <v/>
      </c>
      <c r="H985" t="str">
        <f t="shared" si="12"/>
        <v>CUST#16155373</v>
      </c>
    </row>
    <row r="986" spans="1:8" x14ac:dyDescent="0.25">
      <c r="E986" t="str">
        <f>"8126785606"</f>
        <v>8126785606</v>
      </c>
      <c r="F986" t="str">
        <f>"CUST#16156071/TAX OFFICE"</f>
        <v>CUST#16156071/TAX OFFICE</v>
      </c>
      <c r="G986" s="2">
        <v>68.48</v>
      </c>
      <c r="H986" t="str">
        <f>"CUST#16156071/TAX OFFICE"</f>
        <v>CUST#16156071/TAX OFFICE</v>
      </c>
    </row>
    <row r="987" spans="1:8" x14ac:dyDescent="0.25">
      <c r="E987" t="str">
        <f>"8126785693"</f>
        <v>8126785693</v>
      </c>
      <c r="F987" t="str">
        <f>"CUST#16158670/JP#4"</f>
        <v>CUST#16158670/JP#4</v>
      </c>
      <c r="G987" s="2">
        <v>55.11</v>
      </c>
      <c r="H987" t="str">
        <f>"CUST#16158670/JP#4"</f>
        <v>CUST#16158670/JP#4</v>
      </c>
    </row>
    <row r="988" spans="1:8" x14ac:dyDescent="0.25">
      <c r="A988" t="s">
        <v>383</v>
      </c>
      <c r="B988">
        <v>81600</v>
      </c>
      <c r="C988" s="2">
        <v>470.3</v>
      </c>
      <c r="D988" s="1">
        <v>43549</v>
      </c>
      <c r="E988" t="str">
        <f>"201903197976"</f>
        <v>201903197976</v>
      </c>
      <c r="F988" t="str">
        <f>"INDIGENT HEALTH"</f>
        <v>INDIGENT HEALTH</v>
      </c>
      <c r="G988" s="2">
        <v>470.3</v>
      </c>
      <c r="H988" t="str">
        <f>"INDIGENT HEALTH"</f>
        <v>INDIGENT HEALTH</v>
      </c>
    </row>
    <row r="989" spans="1:8" x14ac:dyDescent="0.25">
      <c r="A989" t="s">
        <v>384</v>
      </c>
      <c r="B989">
        <v>81337</v>
      </c>
      <c r="C989" s="2">
        <v>340</v>
      </c>
      <c r="D989" s="1">
        <v>43535</v>
      </c>
      <c r="E989" t="str">
        <f>"366589"</f>
        <v>366589</v>
      </c>
      <c r="F989" t="str">
        <f>"PUMPED SEPTIC/FILTER"</f>
        <v>PUMPED SEPTIC/FILTER</v>
      </c>
      <c r="G989" s="2">
        <v>340</v>
      </c>
      <c r="H989" t="str">
        <f>"PUMPED SEPTIC/FILTER"</f>
        <v>PUMPED SEPTIC/FILTER</v>
      </c>
    </row>
    <row r="990" spans="1:8" x14ac:dyDescent="0.25">
      <c r="A990" t="s">
        <v>385</v>
      </c>
      <c r="B990">
        <v>562</v>
      </c>
      <c r="C990" s="2">
        <v>245.6</v>
      </c>
      <c r="D990" s="1">
        <v>43536</v>
      </c>
      <c r="E990" t="str">
        <f>"74011"</f>
        <v>74011</v>
      </c>
      <c r="F990" t="str">
        <f>"INV 74011"</f>
        <v>INV 74011</v>
      </c>
      <c r="G990" s="2">
        <v>245.6</v>
      </c>
      <c r="H990" t="str">
        <f>"INV 74011"</f>
        <v>INV 74011</v>
      </c>
    </row>
    <row r="991" spans="1:8" x14ac:dyDescent="0.25">
      <c r="A991" t="s">
        <v>386</v>
      </c>
      <c r="B991">
        <v>81338</v>
      </c>
      <c r="C991" s="2">
        <v>111.95</v>
      </c>
      <c r="D991" s="1">
        <v>43535</v>
      </c>
      <c r="E991" t="str">
        <f>"201903057721"</f>
        <v>201903057721</v>
      </c>
      <c r="F991" t="str">
        <f>"STATEMENT#29814/PCT#2"</f>
        <v>STATEMENT#29814/PCT#2</v>
      </c>
      <c r="G991" s="2">
        <v>111.95</v>
      </c>
      <c r="H991" t="str">
        <f>"STATEMENT#29814/PCT#2"</f>
        <v>STATEMENT#29814/PCT#2</v>
      </c>
    </row>
    <row r="992" spans="1:8" x14ac:dyDescent="0.25">
      <c r="A992" t="s">
        <v>387</v>
      </c>
      <c r="B992">
        <v>81339</v>
      </c>
      <c r="C992" s="2">
        <v>3967.45</v>
      </c>
      <c r="D992" s="1">
        <v>43535</v>
      </c>
      <c r="E992" t="str">
        <f>"201903057722"</f>
        <v>201903057722</v>
      </c>
      <c r="F992" t="str">
        <f>"ACCT#260/PCT#2"</f>
        <v>ACCT#260/PCT#2</v>
      </c>
      <c r="G992" s="2">
        <v>3967.45</v>
      </c>
      <c r="H992" t="str">
        <f>"ACCT#260/PCT#2"</f>
        <v>ACCT#260/PCT#2</v>
      </c>
    </row>
    <row r="993" spans="1:8" x14ac:dyDescent="0.25">
      <c r="A993" t="s">
        <v>388</v>
      </c>
      <c r="B993">
        <v>81340</v>
      </c>
      <c r="C993" s="2">
        <v>1500</v>
      </c>
      <c r="D993" s="1">
        <v>43535</v>
      </c>
      <c r="E993" t="str">
        <f>"201902277536"</f>
        <v>201902277536</v>
      </c>
      <c r="F993" t="str">
        <f>"DOWN PAYMENT FOR MATERIALS"</f>
        <v>DOWN PAYMENT FOR MATERIALS</v>
      </c>
      <c r="G993" s="2">
        <v>1500</v>
      </c>
      <c r="H993" t="str">
        <f>"DOWN PAYMENT FOR MATERIALS"</f>
        <v>DOWN PAYMENT FOR MATERIALS</v>
      </c>
    </row>
    <row r="994" spans="1:8" x14ac:dyDescent="0.25">
      <c r="A994" t="s">
        <v>389</v>
      </c>
      <c r="B994">
        <v>81601</v>
      </c>
      <c r="C994" s="2">
        <v>3359.49</v>
      </c>
      <c r="D994" s="1">
        <v>43549</v>
      </c>
      <c r="E994" t="str">
        <f>"4650005103"</f>
        <v>4650005103</v>
      </c>
      <c r="F994" t="str">
        <f>"CUST#52157/PCT#3"</f>
        <v>CUST#52157/PCT#3</v>
      </c>
      <c r="G994" s="2">
        <v>2025.49</v>
      </c>
      <c r="H994" t="str">
        <f>"CUST#52157/PCT#3"</f>
        <v>CUST#52157/PCT#3</v>
      </c>
    </row>
    <row r="995" spans="1:8" x14ac:dyDescent="0.25">
      <c r="E995" t="str">
        <f>"4650005283"</f>
        <v>4650005283</v>
      </c>
      <c r="F995" t="str">
        <f>"CUST#52157/PCT#4"</f>
        <v>CUST#52157/PCT#4</v>
      </c>
      <c r="G995" s="2">
        <v>1334</v>
      </c>
      <c r="H995" t="str">
        <f>"CUST#52157/PCT#4"</f>
        <v>CUST#52157/PCT#4</v>
      </c>
    </row>
    <row r="996" spans="1:8" x14ac:dyDescent="0.25">
      <c r="A996" t="s">
        <v>390</v>
      </c>
      <c r="B996">
        <v>81602</v>
      </c>
      <c r="C996" s="2">
        <v>27.86</v>
      </c>
      <c r="D996" s="1">
        <v>43549</v>
      </c>
      <c r="E996" t="str">
        <f>"9604456 022819"</f>
        <v>9604456 022819</v>
      </c>
      <c r="F996" t="str">
        <f>"ACCT#46668439604456/JP#2"</f>
        <v>ACCT#46668439604456/JP#2</v>
      </c>
      <c r="G996" s="2">
        <v>27.86</v>
      </c>
      <c r="H996" t="str">
        <f>"ACCT#46668439604456/JP#2"</f>
        <v>ACCT#46668439604456/JP#2</v>
      </c>
    </row>
    <row r="997" spans="1:8" x14ac:dyDescent="0.25">
      <c r="A997" t="s">
        <v>392</v>
      </c>
      <c r="B997">
        <v>81603</v>
      </c>
      <c r="C997" s="2">
        <v>624.13</v>
      </c>
      <c r="D997" s="1">
        <v>43549</v>
      </c>
      <c r="E997" t="str">
        <f>"201903197977"</f>
        <v>201903197977</v>
      </c>
      <c r="F997" t="str">
        <f>"INDIGENT HEALTH"</f>
        <v>INDIGENT HEALTH</v>
      </c>
      <c r="G997" s="2">
        <v>624.13</v>
      </c>
      <c r="H997" t="str">
        <f>"INDIGENT HEALTH"</f>
        <v>INDIGENT HEALTH</v>
      </c>
    </row>
    <row r="998" spans="1:8" x14ac:dyDescent="0.25">
      <c r="A998" t="s">
        <v>393</v>
      </c>
      <c r="B998">
        <v>81604</v>
      </c>
      <c r="C998" s="2">
        <v>1092.58</v>
      </c>
      <c r="D998" s="1">
        <v>43549</v>
      </c>
      <c r="E998" t="str">
        <f>"201903197980"</f>
        <v>201903197980</v>
      </c>
      <c r="F998" t="str">
        <f>"INDIGENT HEALTH"</f>
        <v>INDIGENT HEALTH</v>
      </c>
      <c r="G998" s="2">
        <v>1092.58</v>
      </c>
      <c r="H998" t="str">
        <f>"INDIGENT HEALTH"</f>
        <v>INDIGENT HEALTH</v>
      </c>
    </row>
    <row r="999" spans="1:8" x14ac:dyDescent="0.25">
      <c r="A999" t="s">
        <v>394</v>
      </c>
      <c r="B999">
        <v>81605</v>
      </c>
      <c r="C999" s="2">
        <v>4747.8500000000004</v>
      </c>
      <c r="D999" s="1">
        <v>43549</v>
      </c>
      <c r="E999" t="str">
        <f>"201903197978"</f>
        <v>201903197978</v>
      </c>
      <c r="F999" t="str">
        <f>"INDIGENT HEALTH"</f>
        <v>INDIGENT HEALTH</v>
      </c>
      <c r="G999" s="2">
        <v>4051.7</v>
      </c>
      <c r="H999" t="str">
        <f>"INDIGENT HEALTH"</f>
        <v>INDIGENT HEALTH</v>
      </c>
    </row>
    <row r="1000" spans="1:8" x14ac:dyDescent="0.25">
      <c r="E1000" t="str">
        <f>""</f>
        <v/>
      </c>
      <c r="F1000" t="str">
        <f>""</f>
        <v/>
      </c>
      <c r="H1000" t="str">
        <f>"INDIGENT HEALTH"</f>
        <v>INDIGENT HEALTH</v>
      </c>
    </row>
    <row r="1001" spans="1:8" x14ac:dyDescent="0.25">
      <c r="E1001" t="str">
        <f>"201903197979"</f>
        <v>201903197979</v>
      </c>
      <c r="F1001" t="str">
        <f>"INDIGENT HEALTH"</f>
        <v>INDIGENT HEALTH</v>
      </c>
      <c r="G1001" s="2">
        <v>696.15</v>
      </c>
      <c r="H1001" t="str">
        <f>"INDIGENT HEALTH"</f>
        <v>INDIGENT HEALTH</v>
      </c>
    </row>
    <row r="1002" spans="1:8" x14ac:dyDescent="0.25">
      <c r="A1002" t="s">
        <v>391</v>
      </c>
      <c r="B1002">
        <v>81341</v>
      </c>
      <c r="C1002" s="2">
        <v>148.69999999999999</v>
      </c>
      <c r="D1002" s="1">
        <v>43535</v>
      </c>
      <c r="E1002" t="str">
        <f>"11969495 021519"</f>
        <v>11969495 021519</v>
      </c>
      <c r="F1002" t="str">
        <f>"ACCT#556850411969495/DA'S OFF"</f>
        <v>ACCT#556850411969495/DA'S OFF</v>
      </c>
      <c r="G1002" s="2">
        <v>148.69999999999999</v>
      </c>
      <c r="H1002" t="str">
        <f>"ACCT#556850411969495/DA'S OFF"</f>
        <v>ACCT#556850411969495/DA'S OFF</v>
      </c>
    </row>
    <row r="1003" spans="1:8" x14ac:dyDescent="0.25">
      <c r="A1003" t="s">
        <v>395</v>
      </c>
      <c r="B1003">
        <v>81342</v>
      </c>
      <c r="C1003" s="2">
        <v>3555.59</v>
      </c>
      <c r="D1003" s="1">
        <v>43535</v>
      </c>
      <c r="E1003" t="str">
        <f>"8053270848"</f>
        <v>8053270848</v>
      </c>
      <c r="F1003" t="str">
        <f>"sum inv# 8053270848"</f>
        <v>sum inv# 8053270848</v>
      </c>
      <c r="G1003" s="2">
        <v>3555.59</v>
      </c>
      <c r="H1003" t="str">
        <f>"inv# 3405215326"</f>
        <v>inv# 3405215326</v>
      </c>
    </row>
    <row r="1004" spans="1:8" x14ac:dyDescent="0.25">
      <c r="E1004" t="str">
        <f>""</f>
        <v/>
      </c>
      <c r="F1004" t="str">
        <f>""</f>
        <v/>
      </c>
      <c r="H1004" t="str">
        <f>"inv# 3405215327"</f>
        <v>inv# 3405215327</v>
      </c>
    </row>
    <row r="1005" spans="1:8" x14ac:dyDescent="0.25">
      <c r="E1005" t="str">
        <f>""</f>
        <v/>
      </c>
      <c r="F1005" t="str">
        <f>""</f>
        <v/>
      </c>
      <c r="H1005" t="str">
        <f>"inv# 3405215334"</f>
        <v>inv# 3405215334</v>
      </c>
    </row>
    <row r="1006" spans="1:8" x14ac:dyDescent="0.25">
      <c r="E1006" t="str">
        <f>""</f>
        <v/>
      </c>
      <c r="F1006" t="str">
        <f>""</f>
        <v/>
      </c>
      <c r="H1006" t="str">
        <f>"inv# 3405215344"</f>
        <v>inv# 3405215344</v>
      </c>
    </row>
    <row r="1007" spans="1:8" x14ac:dyDescent="0.25">
      <c r="E1007" t="str">
        <f>""</f>
        <v/>
      </c>
      <c r="F1007" t="str">
        <f>""</f>
        <v/>
      </c>
      <c r="H1007" t="str">
        <f>"inv# 3405215328"</f>
        <v>inv# 3405215328</v>
      </c>
    </row>
    <row r="1008" spans="1:8" x14ac:dyDescent="0.25">
      <c r="E1008" t="str">
        <f>""</f>
        <v/>
      </c>
      <c r="F1008" t="str">
        <f>""</f>
        <v/>
      </c>
      <c r="H1008" t="str">
        <f>"inv# 3405215329"</f>
        <v>inv# 3405215329</v>
      </c>
    </row>
    <row r="1009" spans="1:8" x14ac:dyDescent="0.25">
      <c r="E1009" t="str">
        <f>""</f>
        <v/>
      </c>
      <c r="F1009" t="str">
        <f>""</f>
        <v/>
      </c>
      <c r="H1009" t="str">
        <f>"inv# 3405215330"</f>
        <v>inv# 3405215330</v>
      </c>
    </row>
    <row r="1010" spans="1:8" x14ac:dyDescent="0.25">
      <c r="E1010" t="str">
        <f>""</f>
        <v/>
      </c>
      <c r="F1010" t="str">
        <f>""</f>
        <v/>
      </c>
      <c r="H1010" t="str">
        <f>"inv# 3405215332"</f>
        <v>inv# 3405215332</v>
      </c>
    </row>
    <row r="1011" spans="1:8" x14ac:dyDescent="0.25">
      <c r="E1011" t="str">
        <f>""</f>
        <v/>
      </c>
      <c r="F1011" t="str">
        <f>""</f>
        <v/>
      </c>
      <c r="H1011" t="str">
        <f>"inv# 3405215333"</f>
        <v>inv# 3405215333</v>
      </c>
    </row>
    <row r="1012" spans="1:8" x14ac:dyDescent="0.25">
      <c r="E1012" t="str">
        <f>""</f>
        <v/>
      </c>
      <c r="F1012" t="str">
        <f>""</f>
        <v/>
      </c>
      <c r="H1012" t="str">
        <f>"inv# 3405215321"</f>
        <v>inv# 3405215321</v>
      </c>
    </row>
    <row r="1013" spans="1:8" x14ac:dyDescent="0.25">
      <c r="E1013" t="str">
        <f>""</f>
        <v/>
      </c>
      <c r="F1013" t="str">
        <f>""</f>
        <v/>
      </c>
      <c r="H1013" t="str">
        <f>"inv# 3405215323"</f>
        <v>inv# 3405215323</v>
      </c>
    </row>
    <row r="1014" spans="1:8" x14ac:dyDescent="0.25">
      <c r="E1014" t="str">
        <f>""</f>
        <v/>
      </c>
      <c r="F1014" t="str">
        <f>""</f>
        <v/>
      </c>
      <c r="H1014" t="str">
        <f>"inv# 3405215324"</f>
        <v>inv# 3405215324</v>
      </c>
    </row>
    <row r="1015" spans="1:8" x14ac:dyDescent="0.25">
      <c r="E1015" t="str">
        <f>""</f>
        <v/>
      </c>
      <c r="F1015" t="str">
        <f>""</f>
        <v/>
      </c>
      <c r="H1015" t="str">
        <f>"inv# 3405215335"</f>
        <v>inv# 3405215335</v>
      </c>
    </row>
    <row r="1016" spans="1:8" x14ac:dyDescent="0.25">
      <c r="E1016" t="str">
        <f>""</f>
        <v/>
      </c>
      <c r="F1016" t="str">
        <f>""</f>
        <v/>
      </c>
      <c r="H1016" t="str">
        <f>"inv# 3405215337"</f>
        <v>inv# 3405215337</v>
      </c>
    </row>
    <row r="1017" spans="1:8" x14ac:dyDescent="0.25">
      <c r="E1017" t="str">
        <f>""</f>
        <v/>
      </c>
      <c r="F1017" t="str">
        <f>""</f>
        <v/>
      </c>
      <c r="H1017" t="str">
        <f>"inv# 3405215338"</f>
        <v>inv# 3405215338</v>
      </c>
    </row>
    <row r="1018" spans="1:8" x14ac:dyDescent="0.25">
      <c r="E1018" t="str">
        <f>""</f>
        <v/>
      </c>
      <c r="F1018" t="str">
        <f>""</f>
        <v/>
      </c>
      <c r="H1018" t="str">
        <f>"inv# 3405215339"</f>
        <v>inv# 3405215339</v>
      </c>
    </row>
    <row r="1019" spans="1:8" x14ac:dyDescent="0.25">
      <c r="E1019" t="str">
        <f>""</f>
        <v/>
      </c>
      <c r="F1019" t="str">
        <f>""</f>
        <v/>
      </c>
      <c r="H1019" t="str">
        <f>"inv# 3405215340"</f>
        <v>inv# 3405215340</v>
      </c>
    </row>
    <row r="1020" spans="1:8" x14ac:dyDescent="0.25">
      <c r="E1020" t="str">
        <f>""</f>
        <v/>
      </c>
      <c r="F1020" t="str">
        <f>""</f>
        <v/>
      </c>
      <c r="H1020" t="str">
        <f>"inv# 3405215336"</f>
        <v>inv# 3405215336</v>
      </c>
    </row>
    <row r="1021" spans="1:8" x14ac:dyDescent="0.25">
      <c r="E1021" t="str">
        <f>""</f>
        <v/>
      </c>
      <c r="F1021" t="str">
        <f>""</f>
        <v/>
      </c>
      <c r="H1021" t="str">
        <f>"inv# 3405215342"</f>
        <v>inv# 3405215342</v>
      </c>
    </row>
    <row r="1022" spans="1:8" x14ac:dyDescent="0.25">
      <c r="E1022" t="str">
        <f>""</f>
        <v/>
      </c>
      <c r="F1022" t="str">
        <f>""</f>
        <v/>
      </c>
      <c r="H1022" t="str">
        <f>"inv# 3405215343"</f>
        <v>inv# 3405215343</v>
      </c>
    </row>
    <row r="1023" spans="1:8" x14ac:dyDescent="0.25">
      <c r="E1023" t="str">
        <f>""</f>
        <v/>
      </c>
      <c r="F1023" t="str">
        <f>""</f>
        <v/>
      </c>
      <c r="H1023" t="str">
        <f>"inv# 3405215324"</f>
        <v>inv# 3405215324</v>
      </c>
    </row>
    <row r="1024" spans="1:8" x14ac:dyDescent="0.25">
      <c r="A1024" t="s">
        <v>395</v>
      </c>
      <c r="B1024">
        <v>81606</v>
      </c>
      <c r="C1024" s="2">
        <v>4484.3599999999997</v>
      </c>
      <c r="D1024" s="1">
        <v>43549</v>
      </c>
      <c r="E1024" t="str">
        <f>"8053439282"</f>
        <v>8053439282</v>
      </c>
      <c r="F1024" t="str">
        <f>"Sum Inv# 8053439282"</f>
        <v>Sum Inv# 8053439282</v>
      </c>
      <c r="G1024" s="2">
        <v>4484.3599999999997</v>
      </c>
      <c r="H1024" t="str">
        <f>"inv# 3406685495"</f>
        <v>inv# 3406685495</v>
      </c>
    </row>
    <row r="1025" spans="5:8" x14ac:dyDescent="0.25">
      <c r="E1025" t="str">
        <f>""</f>
        <v/>
      </c>
      <c r="F1025" t="str">
        <f>""</f>
        <v/>
      </c>
      <c r="H1025" t="str">
        <f>"inv# 3406685496"</f>
        <v>inv# 3406685496</v>
      </c>
    </row>
    <row r="1026" spans="5:8" x14ac:dyDescent="0.25">
      <c r="E1026" t="str">
        <f>""</f>
        <v/>
      </c>
      <c r="F1026" t="str">
        <f>""</f>
        <v/>
      </c>
      <c r="H1026" t="str">
        <f>"inv# 3406685492"</f>
        <v>inv# 3406685492</v>
      </c>
    </row>
    <row r="1027" spans="5:8" x14ac:dyDescent="0.25">
      <c r="E1027" t="str">
        <f>""</f>
        <v/>
      </c>
      <c r="F1027" t="str">
        <f>""</f>
        <v/>
      </c>
      <c r="H1027" t="str">
        <f>"inv# 3406685499"</f>
        <v>inv# 3406685499</v>
      </c>
    </row>
    <row r="1028" spans="5:8" x14ac:dyDescent="0.25">
      <c r="E1028" t="str">
        <f>""</f>
        <v/>
      </c>
      <c r="F1028" t="str">
        <f>""</f>
        <v/>
      </c>
      <c r="H1028" t="str">
        <f>"inv# 3406685494"</f>
        <v>inv# 3406685494</v>
      </c>
    </row>
    <row r="1029" spans="5:8" x14ac:dyDescent="0.25">
      <c r="E1029" t="str">
        <f>""</f>
        <v/>
      </c>
      <c r="F1029" t="str">
        <f>""</f>
        <v/>
      </c>
      <c r="H1029" t="str">
        <f>"inv# 3406685490"</f>
        <v>inv# 3406685490</v>
      </c>
    </row>
    <row r="1030" spans="5:8" x14ac:dyDescent="0.25">
      <c r="E1030" t="str">
        <f>""</f>
        <v/>
      </c>
      <c r="F1030" t="str">
        <f>""</f>
        <v/>
      </c>
      <c r="H1030" t="str">
        <f>"inv# 3406685491"</f>
        <v>inv# 3406685491</v>
      </c>
    </row>
    <row r="1031" spans="5:8" x14ac:dyDescent="0.25">
      <c r="E1031" t="str">
        <f>""</f>
        <v/>
      </c>
      <c r="F1031" t="str">
        <f>""</f>
        <v/>
      </c>
      <c r="H1031" t="str">
        <f>"inv# 3406685498"</f>
        <v>inv# 3406685498</v>
      </c>
    </row>
    <row r="1032" spans="5:8" x14ac:dyDescent="0.25">
      <c r="E1032" t="str">
        <f>""</f>
        <v/>
      </c>
      <c r="F1032" t="str">
        <f>""</f>
        <v/>
      </c>
      <c r="H1032" t="str">
        <f>"inv# 3406685488"</f>
        <v>inv# 3406685488</v>
      </c>
    </row>
    <row r="1033" spans="5:8" x14ac:dyDescent="0.25">
      <c r="E1033" t="str">
        <f>""</f>
        <v/>
      </c>
      <c r="F1033" t="str">
        <f>""</f>
        <v/>
      </c>
      <c r="H1033" t="str">
        <f>"inv# 3406685489"</f>
        <v>inv# 3406685489</v>
      </c>
    </row>
    <row r="1034" spans="5:8" x14ac:dyDescent="0.25">
      <c r="E1034" t="str">
        <f>""</f>
        <v/>
      </c>
      <c r="F1034" t="str">
        <f>""</f>
        <v/>
      </c>
      <c r="H1034" t="str">
        <f>"inv# 3406685506"</f>
        <v>inv# 3406685506</v>
      </c>
    </row>
    <row r="1035" spans="5:8" x14ac:dyDescent="0.25">
      <c r="E1035" t="str">
        <f>""</f>
        <v/>
      </c>
      <c r="F1035" t="str">
        <f>""</f>
        <v/>
      </c>
      <c r="H1035" t="str">
        <f>"inv# 3406685507"</f>
        <v>inv# 3406685507</v>
      </c>
    </row>
    <row r="1036" spans="5:8" x14ac:dyDescent="0.25">
      <c r="E1036" t="str">
        <f>""</f>
        <v/>
      </c>
      <c r="F1036" t="str">
        <f>""</f>
        <v/>
      </c>
      <c r="H1036" t="str">
        <f>"inv# 3406685508"</f>
        <v>inv# 3406685508</v>
      </c>
    </row>
    <row r="1037" spans="5:8" x14ac:dyDescent="0.25">
      <c r="E1037" t="str">
        <f>""</f>
        <v/>
      </c>
      <c r="F1037" t="str">
        <f>""</f>
        <v/>
      </c>
      <c r="H1037" t="str">
        <f>"inv# 3406685509"</f>
        <v>inv# 3406685509</v>
      </c>
    </row>
    <row r="1038" spans="5:8" x14ac:dyDescent="0.25">
      <c r="E1038" t="str">
        <f>""</f>
        <v/>
      </c>
      <c r="F1038" t="str">
        <f>""</f>
        <v/>
      </c>
      <c r="H1038" t="str">
        <f>"inv# 3406685510"</f>
        <v>inv# 3406685510</v>
      </c>
    </row>
    <row r="1039" spans="5:8" x14ac:dyDescent="0.25">
      <c r="E1039" t="str">
        <f>""</f>
        <v/>
      </c>
      <c r="F1039" t="str">
        <f>""</f>
        <v/>
      </c>
      <c r="H1039" t="str">
        <f>"inv# 3406685500"</f>
        <v>inv# 3406685500</v>
      </c>
    </row>
    <row r="1040" spans="5:8" x14ac:dyDescent="0.25">
      <c r="E1040" t="str">
        <f>""</f>
        <v/>
      </c>
      <c r="F1040" t="str">
        <f>""</f>
        <v/>
      </c>
      <c r="H1040" t="str">
        <f>"inv# 3406685501"</f>
        <v>inv# 3406685501</v>
      </c>
    </row>
    <row r="1041" spans="1:8" x14ac:dyDescent="0.25">
      <c r="E1041" t="str">
        <f>""</f>
        <v/>
      </c>
      <c r="F1041" t="str">
        <f>""</f>
        <v/>
      </c>
      <c r="H1041" t="str">
        <f>"inv# 3406685502"</f>
        <v>inv# 3406685502</v>
      </c>
    </row>
    <row r="1042" spans="1:8" x14ac:dyDescent="0.25">
      <c r="E1042" t="str">
        <f>""</f>
        <v/>
      </c>
      <c r="F1042" t="str">
        <f>""</f>
        <v/>
      </c>
      <c r="H1042" t="str">
        <f>"inv# 3406685504"</f>
        <v>inv# 3406685504</v>
      </c>
    </row>
    <row r="1043" spans="1:8" x14ac:dyDescent="0.25">
      <c r="E1043" t="str">
        <f>""</f>
        <v/>
      </c>
      <c r="F1043" t="str">
        <f>""</f>
        <v/>
      </c>
      <c r="H1043" t="str">
        <f>"inv# 3406685505"</f>
        <v>inv# 3406685505</v>
      </c>
    </row>
    <row r="1044" spans="1:8" x14ac:dyDescent="0.25">
      <c r="E1044" t="str">
        <f>""</f>
        <v/>
      </c>
      <c r="F1044" t="str">
        <f>""</f>
        <v/>
      </c>
      <c r="H1044" t="str">
        <f>"inv# 3406685503"</f>
        <v>inv# 3406685503</v>
      </c>
    </row>
    <row r="1045" spans="1:8" x14ac:dyDescent="0.25">
      <c r="E1045" t="str">
        <f>""</f>
        <v/>
      </c>
      <c r="F1045" t="str">
        <f>""</f>
        <v/>
      </c>
      <c r="H1045" t="str">
        <f>"inv# 3406685493"</f>
        <v>inv# 3406685493</v>
      </c>
    </row>
    <row r="1046" spans="1:8" x14ac:dyDescent="0.25">
      <c r="A1046" t="s">
        <v>396</v>
      </c>
      <c r="B1046">
        <v>81607</v>
      </c>
      <c r="C1046" s="2">
        <v>645</v>
      </c>
      <c r="D1046" s="1">
        <v>43549</v>
      </c>
      <c r="E1046" t="str">
        <f>"201903147910"</f>
        <v>201903147910</v>
      </c>
      <c r="F1046" t="str">
        <f>"FEBRUARY 2019"</f>
        <v>FEBRUARY 2019</v>
      </c>
      <c r="G1046" s="2">
        <v>645</v>
      </c>
      <c r="H1046" t="str">
        <f>"FEBRUARY 2019"</f>
        <v>FEBRUARY 2019</v>
      </c>
    </row>
    <row r="1047" spans="1:8" x14ac:dyDescent="0.25">
      <c r="A1047" t="s">
        <v>397</v>
      </c>
      <c r="B1047">
        <v>81608</v>
      </c>
      <c r="C1047" s="2">
        <v>55</v>
      </c>
      <c r="D1047" s="1">
        <v>43549</v>
      </c>
      <c r="E1047" t="str">
        <f>"201903208039"</f>
        <v>201903208039</v>
      </c>
      <c r="F1047" t="str">
        <f>"FERAL HOGS"</f>
        <v>FERAL HOGS</v>
      </c>
      <c r="G1047" s="2">
        <v>50</v>
      </c>
      <c r="H1047" t="str">
        <f>"FERAL HOGS"</f>
        <v>FERAL HOGS</v>
      </c>
    </row>
    <row r="1048" spans="1:8" x14ac:dyDescent="0.25">
      <c r="E1048" t="str">
        <f>"201903208040"</f>
        <v>201903208040</v>
      </c>
      <c r="F1048" t="str">
        <f>"FERAL HOGS"</f>
        <v>FERAL HOGS</v>
      </c>
      <c r="G1048" s="2">
        <v>5</v>
      </c>
      <c r="H1048" t="str">
        <f>"FERAL HOGS"</f>
        <v>FERAL HOGS</v>
      </c>
    </row>
    <row r="1049" spans="1:8" x14ac:dyDescent="0.25">
      <c r="A1049" t="s">
        <v>398</v>
      </c>
      <c r="B1049">
        <v>81343</v>
      </c>
      <c r="C1049" s="2">
        <v>758.72</v>
      </c>
      <c r="D1049" s="1">
        <v>43535</v>
      </c>
      <c r="E1049" t="str">
        <f>"4008426405"</f>
        <v>4008426405</v>
      </c>
      <c r="F1049" t="str">
        <f>"INV 4008426405"</f>
        <v>INV 4008426405</v>
      </c>
      <c r="G1049" s="2">
        <v>758.72</v>
      </c>
      <c r="H1049" t="str">
        <f>"INV 4008426405"</f>
        <v>INV 4008426405</v>
      </c>
    </row>
    <row r="1050" spans="1:8" x14ac:dyDescent="0.25">
      <c r="A1050" t="s">
        <v>399</v>
      </c>
      <c r="B1050">
        <v>81344</v>
      </c>
      <c r="C1050" s="2">
        <v>377</v>
      </c>
      <c r="D1050" s="1">
        <v>43535</v>
      </c>
      <c r="E1050" t="str">
        <f>"201903057726"</f>
        <v>201903057726</v>
      </c>
      <c r="F1050" t="str">
        <f>"TRASH REMOVAL 02/25-02/28/P4"</f>
        <v>TRASH REMOVAL 02/25-02/28/P4</v>
      </c>
      <c r="G1050" s="2">
        <v>221</v>
      </c>
      <c r="H1050" t="str">
        <f>"TRASH REMOVAL 02/25-02/28/P4"</f>
        <v>TRASH REMOVAL 02/25-02/28/P4</v>
      </c>
    </row>
    <row r="1051" spans="1:8" x14ac:dyDescent="0.25">
      <c r="E1051" t="str">
        <f>"201903057727"</f>
        <v>201903057727</v>
      </c>
      <c r="F1051" t="str">
        <f>"TRASH REMOVAL 03/01-03/08/P4"</f>
        <v>TRASH REMOVAL 03/01-03/08/P4</v>
      </c>
      <c r="G1051" s="2">
        <v>156</v>
      </c>
      <c r="H1051" t="str">
        <f>"TRASH REMOVAL 03/01-03/08/P4"</f>
        <v>TRASH REMOVAL 03/01-03/08/P4</v>
      </c>
    </row>
    <row r="1052" spans="1:8" x14ac:dyDescent="0.25">
      <c r="A1052" t="s">
        <v>399</v>
      </c>
      <c r="B1052">
        <v>81609</v>
      </c>
      <c r="C1052" s="2">
        <v>435.5</v>
      </c>
      <c r="D1052" s="1">
        <v>43549</v>
      </c>
      <c r="E1052" t="str">
        <f>"201903197949"</f>
        <v>201903197949</v>
      </c>
      <c r="F1052" t="str">
        <f>"TRASH REMOVAL/PCT#4"</f>
        <v>TRASH REMOVAL/PCT#4</v>
      </c>
      <c r="G1052" s="2">
        <v>435.5</v>
      </c>
      <c r="H1052" t="str">
        <f>"TRASH REMOVAL/PCT#4"</f>
        <v>TRASH REMOVAL/PCT#4</v>
      </c>
    </row>
    <row r="1053" spans="1:8" x14ac:dyDescent="0.25">
      <c r="A1053" t="s">
        <v>400</v>
      </c>
      <c r="B1053">
        <v>550</v>
      </c>
      <c r="C1053" s="2">
        <v>3782.09</v>
      </c>
      <c r="D1053" s="1">
        <v>43536</v>
      </c>
      <c r="E1053" t="str">
        <f>"95171260"</f>
        <v>95171260</v>
      </c>
      <c r="F1053" t="str">
        <f>"ACCT#10187718/PCT#2"</f>
        <v>ACCT#10187718/PCT#2</v>
      </c>
      <c r="G1053" s="2">
        <v>3782.09</v>
      </c>
      <c r="H1053" t="str">
        <f>"ACCT#10187718/PCT#2"</f>
        <v>ACCT#10187718/PCT#2</v>
      </c>
    </row>
    <row r="1054" spans="1:8" x14ac:dyDescent="0.25">
      <c r="A1054" t="s">
        <v>400</v>
      </c>
      <c r="B1054">
        <v>603</v>
      </c>
      <c r="C1054" s="2">
        <v>6968.82</v>
      </c>
      <c r="D1054" s="1">
        <v>43550</v>
      </c>
      <c r="E1054" t="str">
        <f>"95186903"</f>
        <v>95186903</v>
      </c>
      <c r="F1054" t="str">
        <f>"ACCT#10187718/PCT#2"</f>
        <v>ACCT#10187718/PCT#2</v>
      </c>
      <c r="G1054" s="2">
        <v>3033.28</v>
      </c>
      <c r="H1054" t="str">
        <f>"ACCT#10187718/PCT#2"</f>
        <v>ACCT#10187718/PCT#2</v>
      </c>
    </row>
    <row r="1055" spans="1:8" x14ac:dyDescent="0.25">
      <c r="E1055" t="str">
        <f>"95198741"</f>
        <v>95198741</v>
      </c>
      <c r="F1055" t="str">
        <f>"ACCT#10187718/FUEL/PCT#2"</f>
        <v>ACCT#10187718/FUEL/PCT#2</v>
      </c>
      <c r="G1055" s="2">
        <v>3935.54</v>
      </c>
      <c r="H1055" t="str">
        <f>"ACCT#10187718/FUEL/PCT#2"</f>
        <v>ACCT#10187718/FUEL/PCT#2</v>
      </c>
    </row>
    <row r="1056" spans="1:8" x14ac:dyDescent="0.25">
      <c r="A1056" t="s">
        <v>401</v>
      </c>
      <c r="B1056">
        <v>81345</v>
      </c>
      <c r="C1056" s="2">
        <v>135</v>
      </c>
      <c r="D1056" s="1">
        <v>43535</v>
      </c>
      <c r="E1056" t="str">
        <f>"201902277535"</f>
        <v>201902277535</v>
      </c>
      <c r="F1056" t="str">
        <f>"PER DIEM 03/19-03/21"</f>
        <v>PER DIEM 03/19-03/21</v>
      </c>
      <c r="G1056" s="2">
        <v>135</v>
      </c>
    </row>
    <row r="1057" spans="1:8" x14ac:dyDescent="0.25">
      <c r="A1057" t="s">
        <v>401</v>
      </c>
      <c r="B1057">
        <v>81345</v>
      </c>
      <c r="C1057" s="2">
        <v>135</v>
      </c>
      <c r="D1057" s="1">
        <v>43535</v>
      </c>
      <c r="E1057" t="str">
        <f>"CHECK"</f>
        <v>CHECK</v>
      </c>
      <c r="F1057" t="str">
        <f>""</f>
        <v/>
      </c>
      <c r="G1057" s="2">
        <v>135</v>
      </c>
    </row>
    <row r="1058" spans="1:8" x14ac:dyDescent="0.25">
      <c r="A1058" t="s">
        <v>402</v>
      </c>
      <c r="B1058">
        <v>551</v>
      </c>
      <c r="C1058" s="2">
        <v>321</v>
      </c>
      <c r="D1058" s="1">
        <v>43536</v>
      </c>
      <c r="E1058" t="str">
        <f>"7192"</f>
        <v>7192</v>
      </c>
      <c r="F1058" t="str">
        <f>"ALG CITRUS CLEEN/S&amp;H/PCT#4"</f>
        <v>ALG CITRUS CLEEN/S&amp;H/PCT#4</v>
      </c>
      <c r="G1058" s="2">
        <v>321</v>
      </c>
      <c r="H1058" t="str">
        <f>"ALG CITRUS CLEEN/S&amp;H/PCT#4"</f>
        <v>ALG CITRUS CLEEN/S&amp;H/PCT#4</v>
      </c>
    </row>
    <row r="1059" spans="1:8" x14ac:dyDescent="0.25">
      <c r="A1059" t="s">
        <v>403</v>
      </c>
      <c r="B1059">
        <v>81610</v>
      </c>
      <c r="C1059" s="2">
        <v>125</v>
      </c>
      <c r="D1059" s="1">
        <v>43549</v>
      </c>
      <c r="E1059" t="str">
        <f>"201903208045"</f>
        <v>201903208045</v>
      </c>
      <c r="F1059" t="str">
        <f>"FERAL HOGS"</f>
        <v>FERAL HOGS</v>
      </c>
      <c r="G1059" s="2">
        <v>75</v>
      </c>
      <c r="H1059" t="str">
        <f>"FERAL HOGS"</f>
        <v>FERAL HOGS</v>
      </c>
    </row>
    <row r="1060" spans="1:8" x14ac:dyDescent="0.25">
      <c r="E1060" t="str">
        <f>"201903208046"</f>
        <v>201903208046</v>
      </c>
      <c r="F1060" t="str">
        <f>"FERAL HOGS"</f>
        <v>FERAL HOGS</v>
      </c>
      <c r="G1060" s="2">
        <v>50</v>
      </c>
      <c r="H1060" t="str">
        <f>"FERAL HOGS"</f>
        <v>FERAL HOGS</v>
      </c>
    </row>
    <row r="1061" spans="1:8" x14ac:dyDescent="0.25">
      <c r="A1061" t="s">
        <v>404</v>
      </c>
      <c r="B1061">
        <v>81346</v>
      </c>
      <c r="C1061" s="2">
        <v>415.74</v>
      </c>
      <c r="D1061" s="1">
        <v>43535</v>
      </c>
      <c r="E1061" t="str">
        <f>"201903067840"</f>
        <v>201903067840</v>
      </c>
      <c r="F1061" t="str">
        <f>"REIMBURSEMENT-FLASH DRIVES"</f>
        <v>REIMBURSEMENT-FLASH DRIVES</v>
      </c>
      <c r="G1061" s="2">
        <v>415.74</v>
      </c>
      <c r="H1061" t="str">
        <f>"REIMBURSEMENT-FLASH DRIVES"</f>
        <v>REIMBURSEMENT-FLASH DRIVES</v>
      </c>
    </row>
    <row r="1062" spans="1:8" x14ac:dyDescent="0.25">
      <c r="A1062" t="s">
        <v>405</v>
      </c>
      <c r="B1062">
        <v>81347</v>
      </c>
      <c r="C1062" s="2">
        <v>75</v>
      </c>
      <c r="D1062" s="1">
        <v>43535</v>
      </c>
      <c r="E1062" t="str">
        <f>"8052"</f>
        <v>8052</v>
      </c>
      <c r="F1062" t="str">
        <f>"SERVICE"</f>
        <v>SERVICE</v>
      </c>
      <c r="G1062" s="2">
        <v>75</v>
      </c>
      <c r="H1062" t="str">
        <f>"SERVICE"</f>
        <v>SERVICE</v>
      </c>
    </row>
    <row r="1063" spans="1:8" x14ac:dyDescent="0.25">
      <c r="A1063" t="s">
        <v>406</v>
      </c>
      <c r="B1063">
        <v>541</v>
      </c>
      <c r="C1063" s="2">
        <v>54.24</v>
      </c>
      <c r="D1063" s="1">
        <v>43536</v>
      </c>
      <c r="E1063" t="str">
        <f>"19030301"</f>
        <v>19030301</v>
      </c>
      <c r="F1063" t="str">
        <f>"SERVICE CONTRACT USAGE"</f>
        <v>SERVICE CONTRACT USAGE</v>
      </c>
      <c r="G1063" s="2">
        <v>54.24</v>
      </c>
      <c r="H1063" t="str">
        <f>"SERVICE CONTRACT USAGE"</f>
        <v>SERVICE CONTRACT USAGE</v>
      </c>
    </row>
    <row r="1064" spans="1:8" x14ac:dyDescent="0.25">
      <c r="A1064" t="s">
        <v>407</v>
      </c>
      <c r="B1064">
        <v>81348</v>
      </c>
      <c r="C1064" s="2">
        <v>191.11</v>
      </c>
      <c r="D1064" s="1">
        <v>43535</v>
      </c>
      <c r="E1064" t="str">
        <f>"57078"</f>
        <v>57078</v>
      </c>
      <c r="F1064" t="str">
        <f>"SUPPLIES/PCT#4"</f>
        <v>SUPPLIES/PCT#4</v>
      </c>
      <c r="G1064" s="2">
        <v>191.11</v>
      </c>
      <c r="H1064" t="str">
        <f>"SUPPLIES/PCT#4"</f>
        <v>SUPPLIES/PCT#4</v>
      </c>
    </row>
    <row r="1065" spans="1:8" x14ac:dyDescent="0.25">
      <c r="A1065" t="s">
        <v>408</v>
      </c>
      <c r="B1065">
        <v>81349</v>
      </c>
      <c r="C1065" s="2">
        <v>430.68</v>
      </c>
      <c r="D1065" s="1">
        <v>43535</v>
      </c>
      <c r="E1065" t="str">
        <f>"77247"</f>
        <v>77247</v>
      </c>
      <c r="F1065" t="str">
        <f>"ACCT#60-03-0970F/ANNUAL MONITO"</f>
        <v>ACCT#60-03-0970F/ANNUAL MONITO</v>
      </c>
      <c r="G1065" s="2">
        <v>430.68</v>
      </c>
      <c r="H1065" t="str">
        <f>"ACCT#60-03-0970F/ANNUAL MONITO"</f>
        <v>ACCT#60-03-0970F/ANNUAL MONITO</v>
      </c>
    </row>
    <row r="1066" spans="1:8" x14ac:dyDescent="0.25">
      <c r="A1066" t="s">
        <v>408</v>
      </c>
      <c r="B1066">
        <v>81611</v>
      </c>
      <c r="C1066" s="2">
        <v>240</v>
      </c>
      <c r="D1066" s="1">
        <v>43549</v>
      </c>
      <c r="E1066" t="str">
        <f>"77269"</f>
        <v>77269</v>
      </c>
      <c r="F1066" t="str">
        <f>"ACCT#60-03-0970F/SVC CALL"</f>
        <v>ACCT#60-03-0970F/SVC CALL</v>
      </c>
      <c r="G1066" s="2">
        <v>240</v>
      </c>
      <c r="H1066" t="str">
        <f>"ACCT#60-03-0970F/SVC CALL"</f>
        <v>ACCT#60-03-0970F/SVC CALL</v>
      </c>
    </row>
    <row r="1067" spans="1:8" x14ac:dyDescent="0.25">
      <c r="A1067" t="s">
        <v>409</v>
      </c>
      <c r="B1067">
        <v>625</v>
      </c>
      <c r="C1067" s="2">
        <v>209</v>
      </c>
      <c r="D1067" s="1">
        <v>43550</v>
      </c>
      <c r="E1067" t="str">
        <f>"1904057"</f>
        <v>1904057</v>
      </c>
      <c r="F1067" t="str">
        <f>"MONTHLY CONTRACT BILLING"</f>
        <v>MONTHLY CONTRACT BILLING</v>
      </c>
      <c r="G1067" s="2">
        <v>209</v>
      </c>
      <c r="H1067" t="str">
        <f>"MONTHLY CONTRACT BILLING"</f>
        <v>MONTHLY CONTRACT BILLING</v>
      </c>
    </row>
    <row r="1068" spans="1:8" x14ac:dyDescent="0.25">
      <c r="A1068" t="s">
        <v>410</v>
      </c>
      <c r="B1068">
        <v>81612</v>
      </c>
      <c r="C1068" s="2">
        <v>30</v>
      </c>
      <c r="D1068" s="1">
        <v>43549</v>
      </c>
      <c r="E1068" t="str">
        <f>"201903208047"</f>
        <v>201903208047</v>
      </c>
      <c r="F1068" t="str">
        <f>"FERAL HOGS"</f>
        <v>FERAL HOGS</v>
      </c>
      <c r="G1068" s="2">
        <v>30</v>
      </c>
      <c r="H1068" t="str">
        <f>"FERAL HOGS"</f>
        <v>FERAL HOGS</v>
      </c>
    </row>
    <row r="1069" spans="1:8" x14ac:dyDescent="0.25">
      <c r="A1069" t="s">
        <v>411</v>
      </c>
      <c r="B1069">
        <v>81350</v>
      </c>
      <c r="C1069" s="2">
        <v>10867.86</v>
      </c>
      <c r="D1069" s="1">
        <v>43535</v>
      </c>
      <c r="E1069" t="str">
        <f>"0830844-IN"</f>
        <v>0830844-IN</v>
      </c>
      <c r="F1069" t="str">
        <f>"ACCT#01-0112917/FUEL/PCT#4"</f>
        <v>ACCT#01-0112917/FUEL/PCT#4</v>
      </c>
      <c r="G1069" s="2">
        <v>6585.42</v>
      </c>
      <c r="H1069" t="str">
        <f>"ACCT#01-0112917/FUEL/PCT#4"</f>
        <v>ACCT#01-0112917/FUEL/PCT#4</v>
      </c>
    </row>
    <row r="1070" spans="1:8" x14ac:dyDescent="0.25">
      <c r="E1070" t="str">
        <f>"0831076-IN"</f>
        <v>0831076-IN</v>
      </c>
      <c r="F1070" t="str">
        <f>"ACCT#01-0112917/OIL/PCT#3"</f>
        <v>ACCT#01-0112917/OIL/PCT#3</v>
      </c>
      <c r="G1070" s="2">
        <v>4282.4399999999996</v>
      </c>
      <c r="H1070" t="str">
        <f>"ACCT#01-0112917/OIL/PCT#3"</f>
        <v>ACCT#01-0112917/OIL/PCT#3</v>
      </c>
    </row>
    <row r="1071" spans="1:8" x14ac:dyDescent="0.25">
      <c r="A1071" t="s">
        <v>411</v>
      </c>
      <c r="B1071">
        <v>81613</v>
      </c>
      <c r="C1071" s="2">
        <v>11312.01</v>
      </c>
      <c r="D1071" s="1">
        <v>43549</v>
      </c>
      <c r="E1071" t="str">
        <f>"0833866-IN"</f>
        <v>0833866-IN</v>
      </c>
      <c r="F1071" t="str">
        <f>"ACCT#01-0112917/DIESEL/PCT#2"</f>
        <v>ACCT#01-0112917/DIESEL/PCT#2</v>
      </c>
      <c r="G1071" s="2">
        <v>288</v>
      </c>
      <c r="H1071" t="str">
        <f>"ACCT#01-0112917/DIESEL/PCT#2"</f>
        <v>ACCT#01-0112917/DIESEL/PCT#2</v>
      </c>
    </row>
    <row r="1072" spans="1:8" x14ac:dyDescent="0.25">
      <c r="E1072" t="str">
        <f>"0834864-IN"</f>
        <v>0834864-IN</v>
      </c>
      <c r="F1072" t="str">
        <f>"ACCT#01-0112917/FUEL/PCT#4"</f>
        <v>ACCT#01-0112917/FUEL/PCT#4</v>
      </c>
      <c r="G1072" s="2">
        <v>6471.24</v>
      </c>
      <c r="H1072" t="str">
        <f>"ACCT#01-0112917/FUEL/PCT#4"</f>
        <v>ACCT#01-0112917/FUEL/PCT#4</v>
      </c>
    </row>
    <row r="1073" spans="1:8" x14ac:dyDescent="0.25">
      <c r="E1073" t="str">
        <f>"0835732-IN"</f>
        <v>0835732-IN</v>
      </c>
      <c r="F1073" t="str">
        <f>"ACCT#01-0112917/FUEL/PCT#3"</f>
        <v>ACCT#01-0112917/FUEL/PCT#3</v>
      </c>
      <c r="G1073" s="2">
        <v>4552.7700000000004</v>
      </c>
      <c r="H1073" t="str">
        <f>"ACCT#01-0112917/FUEL/PCT#3"</f>
        <v>ACCT#01-0112917/FUEL/PCT#3</v>
      </c>
    </row>
    <row r="1074" spans="1:8" x14ac:dyDescent="0.25">
      <c r="A1074" t="s">
        <v>412</v>
      </c>
      <c r="B1074">
        <v>81614</v>
      </c>
      <c r="C1074" s="2">
        <v>246.4</v>
      </c>
      <c r="D1074" s="1">
        <v>43549</v>
      </c>
      <c r="E1074" t="str">
        <f>"1903016"</f>
        <v>1903016</v>
      </c>
      <c r="F1074" t="str">
        <f>"INTERPRETATION/MILEAGE"</f>
        <v>INTERPRETATION/MILEAGE</v>
      </c>
      <c r="G1074" s="2">
        <v>246.4</v>
      </c>
      <c r="H1074" t="str">
        <f>"INTERPRETATION/MILEAGE"</f>
        <v>INTERPRETATION/MILEAGE</v>
      </c>
    </row>
    <row r="1075" spans="1:8" x14ac:dyDescent="0.25">
      <c r="A1075" t="s">
        <v>413</v>
      </c>
      <c r="B1075">
        <v>81615</v>
      </c>
      <c r="C1075" s="2">
        <v>150</v>
      </c>
      <c r="D1075" s="1">
        <v>43549</v>
      </c>
      <c r="E1075" t="str">
        <f>"E901711"</f>
        <v>E901711</v>
      </c>
      <c r="F1075" t="str">
        <f>"CUST#5500000000427/SOFTWARE"</f>
        <v>CUST#5500000000427/SOFTWARE</v>
      </c>
      <c r="G1075" s="2">
        <v>150</v>
      </c>
      <c r="H1075" t="str">
        <f>"CUST#5500000000427/SOFTWARE"</f>
        <v>CUST#5500000000427/SOFTWARE</v>
      </c>
    </row>
    <row r="1076" spans="1:8" x14ac:dyDescent="0.25">
      <c r="A1076" t="s">
        <v>414</v>
      </c>
      <c r="B1076">
        <v>81616</v>
      </c>
      <c r="C1076" s="2">
        <v>9168</v>
      </c>
      <c r="D1076" s="1">
        <v>43549</v>
      </c>
      <c r="E1076" t="str">
        <f>"INV000170183"</f>
        <v>INV000170183</v>
      </c>
      <c r="F1076" t="str">
        <f>"BC Water Source Heat Pump"</f>
        <v>BC Water Source Heat Pump</v>
      </c>
      <c r="G1076" s="2">
        <v>9168</v>
      </c>
      <c r="H1076" t="str">
        <f>"North Entry Unit Onl"</f>
        <v>North Entry Unit Onl</v>
      </c>
    </row>
    <row r="1077" spans="1:8" x14ac:dyDescent="0.25">
      <c r="E1077" t="str">
        <f>""</f>
        <v/>
      </c>
      <c r="F1077" t="str">
        <f>""</f>
        <v/>
      </c>
      <c r="H1077" t="str">
        <f>"Attic- unit only"</f>
        <v>Attic- unit only</v>
      </c>
    </row>
    <row r="1078" spans="1:8" x14ac:dyDescent="0.25">
      <c r="E1078" t="str">
        <f>""</f>
        <v/>
      </c>
      <c r="F1078" t="str">
        <f>""</f>
        <v/>
      </c>
      <c r="H1078" t="str">
        <f>"Diagnostic tool"</f>
        <v>Diagnostic tool</v>
      </c>
    </row>
    <row r="1079" spans="1:8" x14ac:dyDescent="0.25">
      <c r="A1079" t="s">
        <v>415</v>
      </c>
      <c r="B1079">
        <v>81617</v>
      </c>
      <c r="C1079" s="2">
        <v>500</v>
      </c>
      <c r="D1079" s="1">
        <v>43549</v>
      </c>
      <c r="E1079" t="str">
        <f>"201903197994"</f>
        <v>201903197994</v>
      </c>
      <c r="F1079" t="str">
        <f>"APRIL RENEWALS"</f>
        <v>APRIL RENEWALS</v>
      </c>
      <c r="G1079" s="2">
        <v>500</v>
      </c>
      <c r="H1079" t="str">
        <f>"APRIL RENEWALS"</f>
        <v>APRIL RENEWALS</v>
      </c>
    </row>
    <row r="1080" spans="1:8" x14ac:dyDescent="0.25">
      <c r="A1080" t="s">
        <v>416</v>
      </c>
      <c r="B1080">
        <v>81351</v>
      </c>
      <c r="C1080" s="2">
        <v>75959.41</v>
      </c>
      <c r="D1080" s="1">
        <v>43535</v>
      </c>
      <c r="E1080" t="str">
        <f>"23557-WC2"</f>
        <v>23557-WC2</v>
      </c>
      <c r="F1080" t="str">
        <f>"2ND QTR 2019 WRKRS COMP/#0110"</f>
        <v>2ND QTR 2019 WRKRS COMP/#0110</v>
      </c>
      <c r="G1080" s="2">
        <v>75959.41</v>
      </c>
      <c r="H1080" t="str">
        <f t="shared" ref="H1080:H1122" si="13">"2ND QTR 2019 WRKRS COMP/#0110"</f>
        <v>2ND QTR 2019 WRKRS COMP/#0110</v>
      </c>
    </row>
    <row r="1081" spans="1:8" x14ac:dyDescent="0.25">
      <c r="E1081" t="str">
        <f>""</f>
        <v/>
      </c>
      <c r="F1081" t="str">
        <f>""</f>
        <v/>
      </c>
      <c r="H1081" t="str">
        <f t="shared" si="13"/>
        <v>2ND QTR 2019 WRKRS COMP/#0110</v>
      </c>
    </row>
    <row r="1082" spans="1:8" x14ac:dyDescent="0.25">
      <c r="E1082" t="str">
        <f>""</f>
        <v/>
      </c>
      <c r="F1082" t="str">
        <f>""</f>
        <v/>
      </c>
      <c r="H1082" t="str">
        <f t="shared" si="13"/>
        <v>2ND QTR 2019 WRKRS COMP/#0110</v>
      </c>
    </row>
    <row r="1083" spans="1:8" x14ac:dyDescent="0.25">
      <c r="E1083" t="str">
        <f>""</f>
        <v/>
      </c>
      <c r="F1083" t="str">
        <f>""</f>
        <v/>
      </c>
      <c r="H1083" t="str">
        <f t="shared" si="13"/>
        <v>2ND QTR 2019 WRKRS COMP/#0110</v>
      </c>
    </row>
    <row r="1084" spans="1:8" x14ac:dyDescent="0.25">
      <c r="E1084" t="str">
        <f>""</f>
        <v/>
      </c>
      <c r="F1084" t="str">
        <f>""</f>
        <v/>
      </c>
      <c r="H1084" t="str">
        <f t="shared" si="13"/>
        <v>2ND QTR 2019 WRKRS COMP/#0110</v>
      </c>
    </row>
    <row r="1085" spans="1:8" x14ac:dyDescent="0.25">
      <c r="E1085" t="str">
        <f>""</f>
        <v/>
      </c>
      <c r="F1085" t="str">
        <f>""</f>
        <v/>
      </c>
      <c r="H1085" t="str">
        <f t="shared" si="13"/>
        <v>2ND QTR 2019 WRKRS COMP/#0110</v>
      </c>
    </row>
    <row r="1086" spans="1:8" x14ac:dyDescent="0.25">
      <c r="E1086" t="str">
        <f>""</f>
        <v/>
      </c>
      <c r="F1086" t="str">
        <f>""</f>
        <v/>
      </c>
      <c r="H1086" t="str">
        <f t="shared" si="13"/>
        <v>2ND QTR 2019 WRKRS COMP/#0110</v>
      </c>
    </row>
    <row r="1087" spans="1:8" x14ac:dyDescent="0.25">
      <c r="E1087" t="str">
        <f>""</f>
        <v/>
      </c>
      <c r="F1087" t="str">
        <f>""</f>
        <v/>
      </c>
      <c r="H1087" t="str">
        <f t="shared" si="13"/>
        <v>2ND QTR 2019 WRKRS COMP/#0110</v>
      </c>
    </row>
    <row r="1088" spans="1:8" x14ac:dyDescent="0.25">
      <c r="E1088" t="str">
        <f>""</f>
        <v/>
      </c>
      <c r="F1088" t="str">
        <f>""</f>
        <v/>
      </c>
      <c r="H1088" t="str">
        <f t="shared" si="13"/>
        <v>2ND QTR 2019 WRKRS COMP/#0110</v>
      </c>
    </row>
    <row r="1089" spans="5:8" x14ac:dyDescent="0.25">
      <c r="E1089" t="str">
        <f>""</f>
        <v/>
      </c>
      <c r="F1089" t="str">
        <f>""</f>
        <v/>
      </c>
      <c r="H1089" t="str">
        <f t="shared" si="13"/>
        <v>2ND QTR 2019 WRKRS COMP/#0110</v>
      </c>
    </row>
    <row r="1090" spans="5:8" x14ac:dyDescent="0.25">
      <c r="E1090" t="str">
        <f>""</f>
        <v/>
      </c>
      <c r="F1090" t="str">
        <f>""</f>
        <v/>
      </c>
      <c r="H1090" t="str">
        <f t="shared" si="13"/>
        <v>2ND QTR 2019 WRKRS COMP/#0110</v>
      </c>
    </row>
    <row r="1091" spans="5:8" x14ac:dyDescent="0.25">
      <c r="E1091" t="str">
        <f>""</f>
        <v/>
      </c>
      <c r="F1091" t="str">
        <f>""</f>
        <v/>
      </c>
      <c r="H1091" t="str">
        <f t="shared" si="13"/>
        <v>2ND QTR 2019 WRKRS COMP/#0110</v>
      </c>
    </row>
    <row r="1092" spans="5:8" x14ac:dyDescent="0.25">
      <c r="E1092" t="str">
        <f>""</f>
        <v/>
      </c>
      <c r="F1092" t="str">
        <f>""</f>
        <v/>
      </c>
      <c r="H1092" t="str">
        <f t="shared" si="13"/>
        <v>2ND QTR 2019 WRKRS COMP/#0110</v>
      </c>
    </row>
    <row r="1093" spans="5:8" x14ac:dyDescent="0.25">
      <c r="E1093" t="str">
        <f>""</f>
        <v/>
      </c>
      <c r="F1093" t="str">
        <f>""</f>
        <v/>
      </c>
      <c r="H1093" t="str">
        <f t="shared" si="13"/>
        <v>2ND QTR 2019 WRKRS COMP/#0110</v>
      </c>
    </row>
    <row r="1094" spans="5:8" x14ac:dyDescent="0.25">
      <c r="E1094" t="str">
        <f>""</f>
        <v/>
      </c>
      <c r="F1094" t="str">
        <f>""</f>
        <v/>
      </c>
      <c r="H1094" t="str">
        <f t="shared" si="13"/>
        <v>2ND QTR 2019 WRKRS COMP/#0110</v>
      </c>
    </row>
    <row r="1095" spans="5:8" x14ac:dyDescent="0.25">
      <c r="E1095" t="str">
        <f>""</f>
        <v/>
      </c>
      <c r="F1095" t="str">
        <f>""</f>
        <v/>
      </c>
      <c r="H1095" t="str">
        <f t="shared" si="13"/>
        <v>2ND QTR 2019 WRKRS COMP/#0110</v>
      </c>
    </row>
    <row r="1096" spans="5:8" x14ac:dyDescent="0.25">
      <c r="E1096" t="str">
        <f>""</f>
        <v/>
      </c>
      <c r="F1096" t="str">
        <f>""</f>
        <v/>
      </c>
      <c r="H1096" t="str">
        <f t="shared" si="13"/>
        <v>2ND QTR 2019 WRKRS COMP/#0110</v>
      </c>
    </row>
    <row r="1097" spans="5:8" x14ac:dyDescent="0.25">
      <c r="E1097" t="str">
        <f>""</f>
        <v/>
      </c>
      <c r="F1097" t="str">
        <f>""</f>
        <v/>
      </c>
      <c r="H1097" t="str">
        <f t="shared" si="13"/>
        <v>2ND QTR 2019 WRKRS COMP/#0110</v>
      </c>
    </row>
    <row r="1098" spans="5:8" x14ac:dyDescent="0.25">
      <c r="E1098" t="str">
        <f>""</f>
        <v/>
      </c>
      <c r="F1098" t="str">
        <f>""</f>
        <v/>
      </c>
      <c r="H1098" t="str">
        <f t="shared" si="13"/>
        <v>2ND QTR 2019 WRKRS COMP/#0110</v>
      </c>
    </row>
    <row r="1099" spans="5:8" x14ac:dyDescent="0.25">
      <c r="E1099" t="str">
        <f>""</f>
        <v/>
      </c>
      <c r="F1099" t="str">
        <f>""</f>
        <v/>
      </c>
      <c r="H1099" t="str">
        <f t="shared" si="13"/>
        <v>2ND QTR 2019 WRKRS COMP/#0110</v>
      </c>
    </row>
    <row r="1100" spans="5:8" x14ac:dyDescent="0.25">
      <c r="E1100" t="str">
        <f>""</f>
        <v/>
      </c>
      <c r="F1100" t="str">
        <f>""</f>
        <v/>
      </c>
      <c r="H1100" t="str">
        <f t="shared" si="13"/>
        <v>2ND QTR 2019 WRKRS COMP/#0110</v>
      </c>
    </row>
    <row r="1101" spans="5:8" x14ac:dyDescent="0.25">
      <c r="E1101" t="str">
        <f>""</f>
        <v/>
      </c>
      <c r="F1101" t="str">
        <f>""</f>
        <v/>
      </c>
      <c r="H1101" t="str">
        <f t="shared" si="13"/>
        <v>2ND QTR 2019 WRKRS COMP/#0110</v>
      </c>
    </row>
    <row r="1102" spans="5:8" x14ac:dyDescent="0.25">
      <c r="E1102" t="str">
        <f>""</f>
        <v/>
      </c>
      <c r="F1102" t="str">
        <f>""</f>
        <v/>
      </c>
      <c r="H1102" t="str">
        <f t="shared" si="13"/>
        <v>2ND QTR 2019 WRKRS COMP/#0110</v>
      </c>
    </row>
    <row r="1103" spans="5:8" x14ac:dyDescent="0.25">
      <c r="E1103" t="str">
        <f>""</f>
        <v/>
      </c>
      <c r="F1103" t="str">
        <f>""</f>
        <v/>
      </c>
      <c r="H1103" t="str">
        <f t="shared" si="13"/>
        <v>2ND QTR 2019 WRKRS COMP/#0110</v>
      </c>
    </row>
    <row r="1104" spans="5:8" x14ac:dyDescent="0.25">
      <c r="E1104" t="str">
        <f>""</f>
        <v/>
      </c>
      <c r="F1104" t="str">
        <f>""</f>
        <v/>
      </c>
      <c r="H1104" t="str">
        <f t="shared" si="13"/>
        <v>2ND QTR 2019 WRKRS COMP/#0110</v>
      </c>
    </row>
    <row r="1105" spans="5:8" x14ac:dyDescent="0.25">
      <c r="E1105" t="str">
        <f>""</f>
        <v/>
      </c>
      <c r="F1105" t="str">
        <f>""</f>
        <v/>
      </c>
      <c r="H1105" t="str">
        <f t="shared" si="13"/>
        <v>2ND QTR 2019 WRKRS COMP/#0110</v>
      </c>
    </row>
    <row r="1106" spans="5:8" x14ac:dyDescent="0.25">
      <c r="E1106" t="str">
        <f>""</f>
        <v/>
      </c>
      <c r="F1106" t="str">
        <f>""</f>
        <v/>
      </c>
      <c r="H1106" t="str">
        <f t="shared" si="13"/>
        <v>2ND QTR 2019 WRKRS COMP/#0110</v>
      </c>
    </row>
    <row r="1107" spans="5:8" x14ac:dyDescent="0.25">
      <c r="E1107" t="str">
        <f>""</f>
        <v/>
      </c>
      <c r="F1107" t="str">
        <f>""</f>
        <v/>
      </c>
      <c r="H1107" t="str">
        <f t="shared" si="13"/>
        <v>2ND QTR 2019 WRKRS COMP/#0110</v>
      </c>
    </row>
    <row r="1108" spans="5:8" x14ac:dyDescent="0.25">
      <c r="E1108" t="str">
        <f>""</f>
        <v/>
      </c>
      <c r="F1108" t="str">
        <f>""</f>
        <v/>
      </c>
      <c r="H1108" t="str">
        <f t="shared" si="13"/>
        <v>2ND QTR 2019 WRKRS COMP/#0110</v>
      </c>
    </row>
    <row r="1109" spans="5:8" x14ac:dyDescent="0.25">
      <c r="E1109" t="str">
        <f>""</f>
        <v/>
      </c>
      <c r="F1109" t="str">
        <f>""</f>
        <v/>
      </c>
      <c r="H1109" t="str">
        <f t="shared" si="13"/>
        <v>2ND QTR 2019 WRKRS COMP/#0110</v>
      </c>
    </row>
    <row r="1110" spans="5:8" x14ac:dyDescent="0.25">
      <c r="E1110" t="str">
        <f>""</f>
        <v/>
      </c>
      <c r="F1110" t="str">
        <f>""</f>
        <v/>
      </c>
      <c r="H1110" t="str">
        <f t="shared" si="13"/>
        <v>2ND QTR 2019 WRKRS COMP/#0110</v>
      </c>
    </row>
    <row r="1111" spans="5:8" x14ac:dyDescent="0.25">
      <c r="E1111" t="str">
        <f>""</f>
        <v/>
      </c>
      <c r="F1111" t="str">
        <f>""</f>
        <v/>
      </c>
      <c r="H1111" t="str">
        <f t="shared" si="13"/>
        <v>2ND QTR 2019 WRKRS COMP/#0110</v>
      </c>
    </row>
    <row r="1112" spans="5:8" x14ac:dyDescent="0.25">
      <c r="E1112" t="str">
        <f>""</f>
        <v/>
      </c>
      <c r="F1112" t="str">
        <f>""</f>
        <v/>
      </c>
      <c r="H1112" t="str">
        <f t="shared" si="13"/>
        <v>2ND QTR 2019 WRKRS COMP/#0110</v>
      </c>
    </row>
    <row r="1113" spans="5:8" x14ac:dyDescent="0.25">
      <c r="E1113" t="str">
        <f>""</f>
        <v/>
      </c>
      <c r="F1113" t="str">
        <f>""</f>
        <v/>
      </c>
      <c r="H1113" t="str">
        <f t="shared" si="13"/>
        <v>2ND QTR 2019 WRKRS COMP/#0110</v>
      </c>
    </row>
    <row r="1114" spans="5:8" x14ac:dyDescent="0.25">
      <c r="E1114" t="str">
        <f>""</f>
        <v/>
      </c>
      <c r="F1114" t="str">
        <f>""</f>
        <v/>
      </c>
      <c r="H1114" t="str">
        <f t="shared" si="13"/>
        <v>2ND QTR 2019 WRKRS COMP/#0110</v>
      </c>
    </row>
    <row r="1115" spans="5:8" x14ac:dyDescent="0.25">
      <c r="E1115" t="str">
        <f>""</f>
        <v/>
      </c>
      <c r="F1115" t="str">
        <f>""</f>
        <v/>
      </c>
      <c r="H1115" t="str">
        <f t="shared" si="13"/>
        <v>2ND QTR 2019 WRKRS COMP/#0110</v>
      </c>
    </row>
    <row r="1116" spans="5:8" x14ac:dyDescent="0.25">
      <c r="E1116" t="str">
        <f>""</f>
        <v/>
      </c>
      <c r="F1116" t="str">
        <f>""</f>
        <v/>
      </c>
      <c r="H1116" t="str">
        <f t="shared" si="13"/>
        <v>2ND QTR 2019 WRKRS COMP/#0110</v>
      </c>
    </row>
    <row r="1117" spans="5:8" x14ac:dyDescent="0.25">
      <c r="E1117" t="str">
        <f>""</f>
        <v/>
      </c>
      <c r="F1117" t="str">
        <f>""</f>
        <v/>
      </c>
      <c r="H1117" t="str">
        <f t="shared" si="13"/>
        <v>2ND QTR 2019 WRKRS COMP/#0110</v>
      </c>
    </row>
    <row r="1118" spans="5:8" x14ac:dyDescent="0.25">
      <c r="E1118" t="str">
        <f>""</f>
        <v/>
      </c>
      <c r="F1118" t="str">
        <f>""</f>
        <v/>
      </c>
      <c r="H1118" t="str">
        <f t="shared" si="13"/>
        <v>2ND QTR 2019 WRKRS COMP/#0110</v>
      </c>
    </row>
    <row r="1119" spans="5:8" x14ac:dyDescent="0.25">
      <c r="E1119" t="str">
        <f>""</f>
        <v/>
      </c>
      <c r="F1119" t="str">
        <f>""</f>
        <v/>
      </c>
      <c r="H1119" t="str">
        <f t="shared" si="13"/>
        <v>2ND QTR 2019 WRKRS COMP/#0110</v>
      </c>
    </row>
    <row r="1120" spans="5:8" x14ac:dyDescent="0.25">
      <c r="E1120" t="str">
        <f>""</f>
        <v/>
      </c>
      <c r="F1120" t="str">
        <f>""</f>
        <v/>
      </c>
      <c r="H1120" t="str">
        <f t="shared" si="13"/>
        <v>2ND QTR 2019 WRKRS COMP/#0110</v>
      </c>
    </row>
    <row r="1121" spans="1:8" x14ac:dyDescent="0.25">
      <c r="E1121" t="str">
        <f>""</f>
        <v/>
      </c>
      <c r="F1121" t="str">
        <f>""</f>
        <v/>
      </c>
      <c r="H1121" t="str">
        <f t="shared" si="13"/>
        <v>2ND QTR 2019 WRKRS COMP/#0110</v>
      </c>
    </row>
    <row r="1122" spans="1:8" x14ac:dyDescent="0.25">
      <c r="E1122" t="str">
        <f>""</f>
        <v/>
      </c>
      <c r="F1122" t="str">
        <f>""</f>
        <v/>
      </c>
      <c r="H1122" t="str">
        <f t="shared" si="13"/>
        <v>2ND QTR 2019 WRKRS COMP/#0110</v>
      </c>
    </row>
    <row r="1123" spans="1:8" x14ac:dyDescent="0.25">
      <c r="A1123" t="s">
        <v>416</v>
      </c>
      <c r="B1123">
        <v>81352</v>
      </c>
      <c r="C1123" s="2">
        <v>180</v>
      </c>
      <c r="D1123" s="1">
        <v>43535</v>
      </c>
      <c r="E1123" t="str">
        <f>"286200"</f>
        <v>286200</v>
      </c>
      <c r="F1123" t="str">
        <f>"TREASURERS CE SEMINAR-L INGRAM"</f>
        <v>TREASURERS CE SEMINAR-L INGRAM</v>
      </c>
      <c r="G1123" s="2">
        <v>180</v>
      </c>
      <c r="H1123" t="str">
        <f>"TREASURERS CE SEMINAR-L INGRAM"</f>
        <v>TREASURERS CE SEMINAR-L INGRAM</v>
      </c>
    </row>
    <row r="1124" spans="1:8" x14ac:dyDescent="0.25">
      <c r="A1124" t="s">
        <v>416</v>
      </c>
      <c r="B1124">
        <v>81618</v>
      </c>
      <c r="C1124" s="2">
        <v>230</v>
      </c>
      <c r="D1124" s="1">
        <v>43549</v>
      </c>
      <c r="E1124" t="str">
        <f>"287024"</f>
        <v>287024</v>
      </c>
      <c r="F1124" t="str">
        <f>"MEMBER#204718 - C. BECKETT"</f>
        <v>MEMBER#204718 - C. BECKETT</v>
      </c>
      <c r="G1124" s="2">
        <v>230</v>
      </c>
      <c r="H1124" t="str">
        <f>"MEMBER#204718 - C. BECKETT"</f>
        <v>MEMBER#204718 - C. BECKETT</v>
      </c>
    </row>
    <row r="1125" spans="1:8" x14ac:dyDescent="0.25">
      <c r="A1125" t="s">
        <v>417</v>
      </c>
      <c r="B1125">
        <v>81353</v>
      </c>
      <c r="C1125" s="2">
        <v>3444</v>
      </c>
      <c r="D1125" s="1">
        <v>43535</v>
      </c>
      <c r="E1125" t="str">
        <f>"UI447239"</f>
        <v>UI447239</v>
      </c>
      <c r="F1125" t="str">
        <f>"INV UI447239"</f>
        <v>INV UI447239</v>
      </c>
      <c r="G1125" s="2">
        <v>3444</v>
      </c>
      <c r="H1125" t="str">
        <f>"INV UI447239"</f>
        <v>INV UI447239</v>
      </c>
    </row>
    <row r="1126" spans="1:8" x14ac:dyDescent="0.25">
      <c r="A1126" t="s">
        <v>418</v>
      </c>
      <c r="B1126">
        <v>81354</v>
      </c>
      <c r="C1126" s="2">
        <v>4481.49</v>
      </c>
      <c r="D1126" s="1">
        <v>43535</v>
      </c>
      <c r="E1126" t="str">
        <f>"114164"</f>
        <v>114164</v>
      </c>
      <c r="F1126" t="str">
        <f>"CUST#1574/STONE/PCT#4"</f>
        <v>CUST#1574/STONE/PCT#4</v>
      </c>
      <c r="G1126" s="2">
        <v>1400.88</v>
      </c>
      <c r="H1126" t="str">
        <f>"CUST#1574/STONE/PCT#4"</f>
        <v>CUST#1574/STONE/PCT#4</v>
      </c>
    </row>
    <row r="1127" spans="1:8" x14ac:dyDescent="0.25">
      <c r="E1127" t="str">
        <f>"114421"</f>
        <v>114421</v>
      </c>
      <c r="F1127" t="str">
        <f>"CUST#1574/HARD STONE/PCT#4"</f>
        <v>CUST#1574/HARD STONE/PCT#4</v>
      </c>
      <c r="G1127" s="2">
        <v>834.99</v>
      </c>
      <c r="H1127" t="str">
        <f>"CUST#1574/HARD STONE/PCT#4"</f>
        <v>CUST#1574/HARD STONE/PCT#4</v>
      </c>
    </row>
    <row r="1128" spans="1:8" x14ac:dyDescent="0.25">
      <c r="E1128" t="str">
        <f>"114685"</f>
        <v>114685</v>
      </c>
      <c r="F1128" t="str">
        <f>"CUST#1574/STONE/PCT#4"</f>
        <v>CUST#1574/STONE/PCT#4</v>
      </c>
      <c r="G1128" s="2">
        <v>1105.52</v>
      </c>
      <c r="H1128" t="str">
        <f>"CUST#1574/STONE/PCT#4"</f>
        <v>CUST#1574/STONE/PCT#4</v>
      </c>
    </row>
    <row r="1129" spans="1:8" x14ac:dyDescent="0.25">
      <c r="E1129" t="str">
        <f>"114898"</f>
        <v>114898</v>
      </c>
      <c r="F1129" t="str">
        <f>"CUST#1574/STONE/PCT#4"</f>
        <v>CUST#1574/STONE/PCT#4</v>
      </c>
      <c r="G1129" s="2">
        <v>1140.0999999999999</v>
      </c>
      <c r="H1129" t="str">
        <f>"CUST#1574/STONE/PCT#4"</f>
        <v>CUST#1574/STONE/PCT#4</v>
      </c>
    </row>
    <row r="1130" spans="1:8" x14ac:dyDescent="0.25">
      <c r="A1130" t="s">
        <v>419</v>
      </c>
      <c r="B1130">
        <v>81355</v>
      </c>
      <c r="C1130" s="2">
        <v>17</v>
      </c>
      <c r="D1130" s="1">
        <v>43535</v>
      </c>
      <c r="E1130" t="str">
        <f>"CRS-201901-163509"</f>
        <v>CRS-201901-163509</v>
      </c>
      <c r="F1130" t="str">
        <f>"SECURE SITE CCH NAME SEARCH"</f>
        <v>SECURE SITE CCH NAME SEARCH</v>
      </c>
      <c r="G1130" s="2">
        <v>17</v>
      </c>
      <c r="H1130" t="str">
        <f>"SECURE SITE CCH NAME SEARCH"</f>
        <v>SECURE SITE CCH NAME SEARCH</v>
      </c>
    </row>
    <row r="1131" spans="1:8" x14ac:dyDescent="0.25">
      <c r="A1131" t="s">
        <v>420</v>
      </c>
      <c r="B1131">
        <v>81619</v>
      </c>
      <c r="C1131" s="2">
        <v>150</v>
      </c>
      <c r="D1131" s="1">
        <v>43549</v>
      </c>
      <c r="E1131" t="str">
        <f>"201903197987"</f>
        <v>201903197987</v>
      </c>
      <c r="F1131" t="str">
        <f>"TRAINING - HOLLY TUCKER"</f>
        <v>TRAINING - HOLLY TUCKER</v>
      </c>
      <c r="G1131" s="2">
        <v>150</v>
      </c>
      <c r="H1131" t="str">
        <f>"TRAINING - HOLLY TUCKER"</f>
        <v>TRAINING - HOLLY TUCKER</v>
      </c>
    </row>
    <row r="1132" spans="1:8" x14ac:dyDescent="0.25">
      <c r="E1132" t="str">
        <f>""</f>
        <v/>
      </c>
      <c r="F1132" t="str">
        <f>""</f>
        <v/>
      </c>
      <c r="H1132" t="str">
        <f>"CREDIT- HOLLY TUCKER"</f>
        <v>CREDIT- HOLLY TUCKER</v>
      </c>
    </row>
    <row r="1133" spans="1:8" x14ac:dyDescent="0.25">
      <c r="A1133" t="s">
        <v>421</v>
      </c>
      <c r="B1133">
        <v>81356</v>
      </c>
      <c r="C1133" s="2">
        <v>300</v>
      </c>
      <c r="D1133" s="1">
        <v>43535</v>
      </c>
      <c r="E1133" t="str">
        <f>"45634"</f>
        <v>45634</v>
      </c>
      <c r="F1133" t="str">
        <f>"FY_19 JP STAGE III-C. ALLEN"</f>
        <v>FY_19 JP STAGE III-C. ALLEN</v>
      </c>
      <c r="G1133" s="2">
        <v>300</v>
      </c>
    </row>
    <row r="1134" spans="1:8" x14ac:dyDescent="0.25">
      <c r="A1134" t="s">
        <v>421</v>
      </c>
      <c r="B1134">
        <v>81356</v>
      </c>
      <c r="C1134" s="2">
        <v>300</v>
      </c>
      <c r="D1134" s="1">
        <v>43542</v>
      </c>
      <c r="E1134" t="str">
        <f>"CHECK"</f>
        <v>CHECK</v>
      </c>
      <c r="F1134" t="str">
        <f>""</f>
        <v/>
      </c>
      <c r="G1134" s="2">
        <v>300</v>
      </c>
    </row>
    <row r="1135" spans="1:8" x14ac:dyDescent="0.25">
      <c r="A1135" t="s">
        <v>422</v>
      </c>
      <c r="B1135">
        <v>81357</v>
      </c>
      <c r="C1135" s="2">
        <v>2273.15</v>
      </c>
      <c r="D1135" s="1">
        <v>43535</v>
      </c>
      <c r="E1135" t="str">
        <f>"200744514"</f>
        <v>200744514</v>
      </c>
      <c r="F1135" t="str">
        <f>"CUST#255120/PCT#2"</f>
        <v>CUST#255120/PCT#2</v>
      </c>
      <c r="G1135" s="2">
        <v>2273.15</v>
      </c>
      <c r="H1135" t="str">
        <f>"CUST#255120/PCT#2"</f>
        <v>CUST#255120/PCT#2</v>
      </c>
    </row>
    <row r="1136" spans="1:8" x14ac:dyDescent="0.25">
      <c r="A1136" t="s">
        <v>423</v>
      </c>
      <c r="B1136">
        <v>81620</v>
      </c>
      <c r="C1136" s="2">
        <v>100</v>
      </c>
      <c r="D1136" s="1">
        <v>43549</v>
      </c>
      <c r="E1136" t="str">
        <f>"201903197992"</f>
        <v>201903197992</v>
      </c>
      <c r="F1136" t="str">
        <f>"TRAINING"</f>
        <v>TRAINING</v>
      </c>
      <c r="G1136" s="2">
        <v>100</v>
      </c>
      <c r="H1136" t="str">
        <f>"TRAINING"</f>
        <v>TRAINING</v>
      </c>
    </row>
    <row r="1137" spans="1:8" x14ac:dyDescent="0.25">
      <c r="A1137" t="s">
        <v>424</v>
      </c>
      <c r="B1137">
        <v>81358</v>
      </c>
      <c r="C1137" s="2">
        <v>386.75</v>
      </c>
      <c r="D1137" s="1">
        <v>43535</v>
      </c>
      <c r="E1137" t="str">
        <f>"J2-60448"</f>
        <v>J2-60448</v>
      </c>
      <c r="F1137" t="str">
        <f>"A8271092-D. SCHMALZER"</f>
        <v>A8271092-D. SCHMALZER</v>
      </c>
      <c r="G1137" s="2">
        <v>114.75</v>
      </c>
      <c r="H1137" t="str">
        <f>"A8271092-D. SCHMALZER"</f>
        <v>A8271092-D. SCHMALZER</v>
      </c>
    </row>
    <row r="1138" spans="1:8" x14ac:dyDescent="0.25">
      <c r="E1138" t="str">
        <f>"J2-61067"</f>
        <v>J2-61067</v>
      </c>
      <c r="F1138" t="str">
        <f>"A16144-V.V.PEREZ RODRIGUEZ"</f>
        <v>A16144-V.V.PEREZ RODRIGUEZ</v>
      </c>
      <c r="G1138" s="2">
        <v>157.25</v>
      </c>
      <c r="H1138" t="str">
        <f>"A16144-V.V.PEREZ RODRIGUEZ"</f>
        <v>A16144-V.V.PEREZ RODRIGUEZ</v>
      </c>
    </row>
    <row r="1139" spans="1:8" x14ac:dyDescent="0.25">
      <c r="E1139" t="str">
        <f>"J2-62449"</f>
        <v>J2-62449</v>
      </c>
      <c r="F1139" t="str">
        <f>"A8258526-C. KADLECEK"</f>
        <v>A8258526-C. KADLECEK</v>
      </c>
      <c r="G1139" s="2">
        <v>114.75</v>
      </c>
      <c r="H1139" t="str">
        <f>"A8258526-C. KADLECEK"</f>
        <v>A8258526-C. KADLECEK</v>
      </c>
    </row>
    <row r="1140" spans="1:8" x14ac:dyDescent="0.25">
      <c r="A1140" t="s">
        <v>425</v>
      </c>
      <c r="B1140">
        <v>81359</v>
      </c>
      <c r="C1140" s="2">
        <v>1564.94</v>
      </c>
      <c r="D1140" s="1">
        <v>43535</v>
      </c>
      <c r="E1140" t="str">
        <f>"190301"</f>
        <v>190301</v>
      </c>
      <c r="F1140" t="str">
        <f>"HOSE/PCT#2"</f>
        <v>HOSE/PCT#2</v>
      </c>
      <c r="G1140" s="2">
        <v>1564.94</v>
      </c>
      <c r="H1140" t="str">
        <f>"HOSE/PCT#2"</f>
        <v>HOSE/PCT#2</v>
      </c>
    </row>
    <row r="1141" spans="1:8" x14ac:dyDescent="0.25">
      <c r="A1141" t="s">
        <v>425</v>
      </c>
      <c r="B1141">
        <v>81621</v>
      </c>
      <c r="C1141" s="2">
        <v>3381</v>
      </c>
      <c r="D1141" s="1">
        <v>43549</v>
      </c>
      <c r="E1141" t="str">
        <f>"31319"</f>
        <v>31319</v>
      </c>
      <c r="F1141" t="str">
        <f>"LIQ ASPHALT TANK INSP/REP/P1"</f>
        <v>LIQ ASPHALT TANK INSP/REP/P1</v>
      </c>
      <c r="G1141" s="2">
        <v>3381</v>
      </c>
    </row>
    <row r="1142" spans="1:8" x14ac:dyDescent="0.25">
      <c r="A1142" t="s">
        <v>425</v>
      </c>
      <c r="B1142">
        <v>81621</v>
      </c>
      <c r="C1142" s="2">
        <v>3381</v>
      </c>
      <c r="D1142" s="1">
        <v>43549</v>
      </c>
      <c r="E1142" t="str">
        <f>"CHECK"</f>
        <v>CHECK</v>
      </c>
      <c r="F1142" t="str">
        <f>""</f>
        <v/>
      </c>
      <c r="G1142" s="2">
        <v>3381</v>
      </c>
    </row>
    <row r="1143" spans="1:8" x14ac:dyDescent="0.25">
      <c r="A1143" t="s">
        <v>426</v>
      </c>
      <c r="B1143">
        <v>81639</v>
      </c>
      <c r="C1143" s="2">
        <v>3381</v>
      </c>
      <c r="D1143" s="1">
        <v>43549</v>
      </c>
      <c r="E1143" t="str">
        <f>"31319"</f>
        <v>31319</v>
      </c>
      <c r="F1143" t="str">
        <f>"LIQ ASPHALT TANK INSP/ P1"</f>
        <v>LIQ ASPHALT TANK INSP/ P1</v>
      </c>
      <c r="G1143" s="2">
        <v>3381</v>
      </c>
      <c r="H1143" t="str">
        <f>"LIQ ASPHALT TANK INSP/ P1"</f>
        <v>LIQ ASPHALT TANK INSP/ P1</v>
      </c>
    </row>
    <row r="1144" spans="1:8" x14ac:dyDescent="0.25">
      <c r="A1144" t="s">
        <v>427</v>
      </c>
      <c r="B1144">
        <v>81622</v>
      </c>
      <c r="C1144" s="2">
        <v>234.15</v>
      </c>
      <c r="D1144" s="1">
        <v>43549</v>
      </c>
      <c r="E1144" t="str">
        <f>"201903197981"</f>
        <v>201903197981</v>
      </c>
      <c r="F1144" t="str">
        <f>"INDIGENT HEALTH"</f>
        <v>INDIGENT HEALTH</v>
      </c>
      <c r="G1144" s="2">
        <v>234.15</v>
      </c>
      <c r="H1144" t="str">
        <f>"INDIGENT HEALTH"</f>
        <v>INDIGENT HEALTH</v>
      </c>
    </row>
    <row r="1145" spans="1:8" x14ac:dyDescent="0.25">
      <c r="A1145" t="s">
        <v>428</v>
      </c>
      <c r="B1145">
        <v>81623</v>
      </c>
      <c r="C1145" s="2">
        <v>820.47</v>
      </c>
      <c r="D1145" s="1">
        <v>43549</v>
      </c>
      <c r="E1145" t="str">
        <f>"201903197983"</f>
        <v>201903197983</v>
      </c>
      <c r="F1145" t="str">
        <f>"INDIGENT HEALTH"</f>
        <v>INDIGENT HEALTH</v>
      </c>
      <c r="G1145" s="2">
        <v>820.47</v>
      </c>
      <c r="H1145" t="str">
        <f>"INDIGENT HEALTH"</f>
        <v>INDIGENT HEALTH</v>
      </c>
    </row>
    <row r="1146" spans="1:8" x14ac:dyDescent="0.25">
      <c r="A1146" t="s">
        <v>429</v>
      </c>
      <c r="B1146">
        <v>81360</v>
      </c>
      <c r="C1146" s="2">
        <v>1191.5</v>
      </c>
      <c r="D1146" s="1">
        <v>43535</v>
      </c>
      <c r="E1146" t="str">
        <f>"188757"</f>
        <v>188757</v>
      </c>
      <c r="F1146" t="str">
        <f>"ACCT#188757/CEDAR CREEK PARK"</f>
        <v>ACCT#188757/CEDAR CREEK PARK</v>
      </c>
      <c r="G1146" s="2">
        <v>125</v>
      </c>
      <c r="H1146" t="str">
        <f>"ACCT#188757/CEDAR CREEK PARK"</f>
        <v>ACCT#188757/CEDAR CREEK PARK</v>
      </c>
    </row>
    <row r="1147" spans="1:8" x14ac:dyDescent="0.25">
      <c r="E1147" t="str">
        <f>"94348"</f>
        <v>94348</v>
      </c>
      <c r="F1147" t="str">
        <f>"ACCT#188757/JUVENILE PROBATION"</f>
        <v>ACCT#188757/JUVENILE PROBATION</v>
      </c>
      <c r="G1147" s="2">
        <v>132</v>
      </c>
      <c r="H1147" t="str">
        <f>"ACCT#188757/JUVENILE PROBATION"</f>
        <v>ACCT#188757/JUVENILE PROBATION</v>
      </c>
    </row>
    <row r="1148" spans="1:8" x14ac:dyDescent="0.25">
      <c r="E1148" t="str">
        <f>"94371"</f>
        <v>94371</v>
      </c>
      <c r="F1148" t="str">
        <f>"ACCT#188757/EXTEN HABITAT OFF"</f>
        <v>ACCT#188757/EXTEN HABITAT OFF</v>
      </c>
      <c r="G1148" s="2">
        <v>89</v>
      </c>
      <c r="H1148" t="str">
        <f>"ACCT#188757/EXTEN HABITAT OFF"</f>
        <v>ACCT#188757/EXTEN HABITAT OFF</v>
      </c>
    </row>
    <row r="1149" spans="1:8" x14ac:dyDescent="0.25">
      <c r="E1149" t="str">
        <f>"94381"</f>
        <v>94381</v>
      </c>
      <c r="F1149" t="str">
        <f>"ACCT#188757/COURTHOUSE"</f>
        <v>ACCT#188757/COURTHOUSE</v>
      </c>
      <c r="G1149" s="2">
        <v>137</v>
      </c>
      <c r="H1149" t="str">
        <f>"ACCT#188757/COURTHOUSE"</f>
        <v>ACCT#188757/COURTHOUSE</v>
      </c>
    </row>
    <row r="1150" spans="1:8" x14ac:dyDescent="0.25">
      <c r="E1150" t="str">
        <f>"94382"</f>
        <v>94382</v>
      </c>
      <c r="F1150" t="str">
        <f>"ACCT#188757/HISTORIC JAIL"</f>
        <v>ACCT#188757/HISTORIC JAIL</v>
      </c>
      <c r="G1150" s="2">
        <v>76</v>
      </c>
      <c r="H1150" t="str">
        <f>"ACCT#188757/HISTORIC JAIL"</f>
        <v>ACCT#188757/HISTORIC JAIL</v>
      </c>
    </row>
    <row r="1151" spans="1:8" x14ac:dyDescent="0.25">
      <c r="E1151" t="str">
        <f>"94578"</f>
        <v>94578</v>
      </c>
      <c r="F1151" t="str">
        <f>"ACCT#188757/LBJ BLDG/HLTH DPT"</f>
        <v>ACCT#188757/LBJ BLDG/HLTH DPT</v>
      </c>
      <c r="G1151" s="2">
        <v>69</v>
      </c>
      <c r="H1151" t="str">
        <f>"ACCT#188757/LBJ BLDG/HLTH DPT"</f>
        <v>ACCT#188757/LBJ BLDG/HLTH DPT</v>
      </c>
    </row>
    <row r="1152" spans="1:8" x14ac:dyDescent="0.25">
      <c r="E1152" t="str">
        <f>"94631"</f>
        <v>94631</v>
      </c>
      <c r="F1152" t="str">
        <f>"ACCT#188757/PCT#4 RD &amp; BRIDGE"</f>
        <v>ACCT#188757/PCT#4 RD &amp; BRIDGE</v>
      </c>
      <c r="G1152" s="2">
        <v>95.5</v>
      </c>
      <c r="H1152" t="str">
        <f>"ACCT#188757/PCT#4 RD &amp; BRIDGE"</f>
        <v>ACCT#188757/PCT#4 RD &amp; BRIDGE</v>
      </c>
    </row>
    <row r="1153" spans="1:8" x14ac:dyDescent="0.25">
      <c r="E1153" t="str">
        <f>"94680"</f>
        <v>94680</v>
      </c>
      <c r="F1153" t="str">
        <f>"ACCT#188757/TAX OFFICE"</f>
        <v>ACCT#188757/TAX OFFICE</v>
      </c>
      <c r="G1153" s="2">
        <v>102</v>
      </c>
      <c r="H1153" t="str">
        <f>"ACCT#188757/TAX OFFICE"</f>
        <v>ACCT#188757/TAX OFFICE</v>
      </c>
    </row>
    <row r="1154" spans="1:8" x14ac:dyDescent="0.25">
      <c r="E1154" t="str">
        <f>"95190"</f>
        <v>95190</v>
      </c>
      <c r="F1154" t="str">
        <f>"ACCT#188757/ANIMAL SHELTER"</f>
        <v>ACCT#188757/ANIMAL SHELTER</v>
      </c>
      <c r="G1154" s="2">
        <v>290</v>
      </c>
      <c r="H1154" t="str">
        <f>"ACCT#188757/ANIMAL SHELTER"</f>
        <v>ACCT#188757/ANIMAL SHELTER</v>
      </c>
    </row>
    <row r="1155" spans="1:8" x14ac:dyDescent="0.25">
      <c r="E1155" t="str">
        <f>"95335"</f>
        <v>95335</v>
      </c>
      <c r="F1155" t="str">
        <f>"ACCT#188757/DPS/TDL"</f>
        <v>ACCT#188757/DPS/TDL</v>
      </c>
      <c r="G1155" s="2">
        <v>76</v>
      </c>
      <c r="H1155" t="str">
        <f>"ACCT#188757/DPS/TDL"</f>
        <v>ACCT#188757/DPS/TDL</v>
      </c>
    </row>
    <row r="1156" spans="1:8" x14ac:dyDescent="0.25">
      <c r="A1156" t="s">
        <v>430</v>
      </c>
      <c r="B1156">
        <v>81624</v>
      </c>
      <c r="C1156" s="2">
        <v>2349.65</v>
      </c>
      <c r="D1156" s="1">
        <v>43549</v>
      </c>
      <c r="E1156" t="str">
        <f>"IN93483"</f>
        <v>IN93483</v>
      </c>
      <c r="F1156" t="str">
        <f>"ACCT#MFAF1982991/MICROCHIPS"</f>
        <v>ACCT#MFAF1982991/MICROCHIPS</v>
      </c>
      <c r="G1156" s="2">
        <v>2349.65</v>
      </c>
      <c r="H1156" t="str">
        <f>"ACCT#MFAF1982991/MICROCHIPS"</f>
        <v>ACCT#MFAF1982991/MICROCHIPS</v>
      </c>
    </row>
    <row r="1157" spans="1:8" x14ac:dyDescent="0.25">
      <c r="A1157" t="s">
        <v>431</v>
      </c>
      <c r="B1157">
        <v>536</v>
      </c>
      <c r="C1157" s="2">
        <v>662.5</v>
      </c>
      <c r="D1157" s="1">
        <v>43536</v>
      </c>
      <c r="E1157" t="str">
        <f>"201903057707"</f>
        <v>201903057707</v>
      </c>
      <c r="F1157" t="str">
        <f>"18-18961"</f>
        <v>18-18961</v>
      </c>
      <c r="G1157" s="2">
        <v>287.5</v>
      </c>
      <c r="H1157" t="str">
        <f>"18-18961"</f>
        <v>18-18961</v>
      </c>
    </row>
    <row r="1158" spans="1:8" x14ac:dyDescent="0.25">
      <c r="E1158" t="str">
        <f>"201903057708"</f>
        <v>201903057708</v>
      </c>
      <c r="F1158" t="str">
        <f>"17-18617"</f>
        <v>17-18617</v>
      </c>
      <c r="G1158" s="2">
        <v>375</v>
      </c>
      <c r="H1158" t="str">
        <f>"17-18617"</f>
        <v>17-18617</v>
      </c>
    </row>
    <row r="1159" spans="1:8" x14ac:dyDescent="0.25">
      <c r="A1159" t="s">
        <v>431</v>
      </c>
      <c r="B1159">
        <v>588</v>
      </c>
      <c r="C1159" s="2">
        <v>2800</v>
      </c>
      <c r="D1159" s="1">
        <v>43550</v>
      </c>
      <c r="E1159" t="str">
        <f>"201903117883"</f>
        <v>201903117883</v>
      </c>
      <c r="F1159" t="str">
        <f>"16 227"</f>
        <v>16 227</v>
      </c>
      <c r="G1159" s="2">
        <v>400</v>
      </c>
      <c r="H1159" t="str">
        <f>"16 227"</f>
        <v>16 227</v>
      </c>
    </row>
    <row r="1160" spans="1:8" x14ac:dyDescent="0.25">
      <c r="E1160" t="str">
        <f>"201903117884"</f>
        <v>201903117884</v>
      </c>
      <c r="F1160" t="str">
        <f>"16 533 DCPC18-013 302112018B&amp;C"</f>
        <v>16 533 DCPC18-013 302112018B&amp;C</v>
      </c>
      <c r="G1160" s="2">
        <v>2000</v>
      </c>
      <c r="H1160" t="str">
        <f>"16 533 DCPC18-013 302112018B&amp;C"</f>
        <v>16 533 DCPC18-013 302112018B&amp;C</v>
      </c>
    </row>
    <row r="1161" spans="1:8" x14ac:dyDescent="0.25">
      <c r="E1161" t="str">
        <f>"201903117885"</f>
        <v>201903117885</v>
      </c>
      <c r="F1161" t="str">
        <f>"16 431"</f>
        <v>16 431</v>
      </c>
      <c r="G1161" s="2">
        <v>400</v>
      </c>
      <c r="H1161" t="str">
        <f>"16 431"</f>
        <v>16 431</v>
      </c>
    </row>
    <row r="1162" spans="1:8" x14ac:dyDescent="0.25">
      <c r="A1162" t="s">
        <v>432</v>
      </c>
      <c r="B1162">
        <v>572</v>
      </c>
      <c r="C1162" s="2">
        <v>862</v>
      </c>
      <c r="D1162" s="1">
        <v>43536</v>
      </c>
      <c r="E1162" t="str">
        <f>"234895"</f>
        <v>234895</v>
      </c>
      <c r="F1162" t="str">
        <f>"ORD#1-173893/BASTRCOU"</f>
        <v>ORD#1-173893/BASTRCOU</v>
      </c>
      <c r="G1162" s="2">
        <v>862</v>
      </c>
      <c r="H1162" t="str">
        <f>"ORD#1-173893/BASTRCOU"</f>
        <v>ORD#1-173893/BASTRCOU</v>
      </c>
    </row>
    <row r="1163" spans="1:8" x14ac:dyDescent="0.25">
      <c r="A1163" t="s">
        <v>433</v>
      </c>
      <c r="B1163">
        <v>605</v>
      </c>
      <c r="C1163" s="2">
        <v>2497.5</v>
      </c>
      <c r="D1163" s="1">
        <v>43550</v>
      </c>
      <c r="E1163" t="str">
        <f>"1452013"</f>
        <v>1452013</v>
      </c>
      <c r="F1163" t="str">
        <f>"sod"</f>
        <v>sod</v>
      </c>
      <c r="G1163" s="2">
        <v>2497.5</v>
      </c>
      <c r="H1163" t="str">
        <f>"deliver and install"</f>
        <v>deliver and install</v>
      </c>
    </row>
    <row r="1164" spans="1:8" x14ac:dyDescent="0.25">
      <c r="A1164" t="s">
        <v>434</v>
      </c>
      <c r="B1164">
        <v>81361</v>
      </c>
      <c r="C1164" s="2">
        <v>892.5</v>
      </c>
      <c r="D1164" s="1">
        <v>43535</v>
      </c>
      <c r="E1164" t="str">
        <f>"839700618"</f>
        <v>839700618</v>
      </c>
      <c r="F1164" t="str">
        <f>"ACCT#1005022937/WEST INFO CHGS"</f>
        <v>ACCT#1005022937/WEST INFO CHGS</v>
      </c>
      <c r="G1164" s="2">
        <v>892.5</v>
      </c>
      <c r="H1164" t="str">
        <f>"ACCT#1005022937/WEST INFO CHGS"</f>
        <v>ACCT#1005022937/WEST INFO CHGS</v>
      </c>
    </row>
    <row r="1165" spans="1:8" x14ac:dyDescent="0.25">
      <c r="A1165" t="s">
        <v>434</v>
      </c>
      <c r="B1165">
        <v>81625</v>
      </c>
      <c r="C1165" s="2">
        <v>548</v>
      </c>
      <c r="D1165" s="1">
        <v>43549</v>
      </c>
      <c r="E1165" t="str">
        <f>"839854065"</f>
        <v>839854065</v>
      </c>
      <c r="F1165" t="str">
        <f>"ACCT#1000648597/WEST INFO CHRG"</f>
        <v>ACCT#1000648597/WEST INFO CHRG</v>
      </c>
      <c r="G1165" s="2">
        <v>548</v>
      </c>
      <c r="H1165" t="str">
        <f>"ACCT#1000648597/WEST INFO CHRG"</f>
        <v>ACCT#1000648597/WEST INFO CHRG</v>
      </c>
    </row>
    <row r="1166" spans="1:8" x14ac:dyDescent="0.25">
      <c r="A1166" t="s">
        <v>435</v>
      </c>
      <c r="B1166">
        <v>81626</v>
      </c>
      <c r="C1166" s="2">
        <v>712.5</v>
      </c>
      <c r="D1166" s="1">
        <v>43549</v>
      </c>
      <c r="E1166" t="str">
        <f>"201903197936"</f>
        <v>201903197936</v>
      </c>
      <c r="F1166" t="str">
        <f>"423-2327"</f>
        <v>423-2327</v>
      </c>
      <c r="G1166" s="2">
        <v>712.5</v>
      </c>
      <c r="H1166" t="str">
        <f>"423-2327"</f>
        <v>423-2327</v>
      </c>
    </row>
    <row r="1167" spans="1:8" x14ac:dyDescent="0.25">
      <c r="A1167" t="s">
        <v>436</v>
      </c>
      <c r="B1167">
        <v>81362</v>
      </c>
      <c r="C1167" s="2">
        <v>11453.26</v>
      </c>
      <c r="D1167" s="1">
        <v>43535</v>
      </c>
      <c r="E1167" t="str">
        <f>"0003669022819"</f>
        <v>0003669022819</v>
      </c>
      <c r="F1167" t="str">
        <f>"ACCT#8260163000003669"</f>
        <v>ACCT#8260163000003669</v>
      </c>
      <c r="G1167" s="2">
        <v>11453.26</v>
      </c>
      <c r="H1167" t="str">
        <f>"ACCT#8260163000003669"</f>
        <v>ACCT#8260163000003669</v>
      </c>
    </row>
    <row r="1168" spans="1:8" x14ac:dyDescent="0.25">
      <c r="E1168" t="str">
        <f>""</f>
        <v/>
      </c>
      <c r="F1168" t="str">
        <f>""</f>
        <v/>
      </c>
      <c r="H1168" t="str">
        <f>"ACCT#8260163000003669"</f>
        <v>ACCT#8260163000003669</v>
      </c>
    </row>
    <row r="1169" spans="1:8" x14ac:dyDescent="0.25">
      <c r="E1169" t="str">
        <f>""</f>
        <v/>
      </c>
      <c r="F1169" t="str">
        <f>""</f>
        <v/>
      </c>
      <c r="H1169" t="str">
        <f>"ACCT#8260163000003669"</f>
        <v>ACCT#8260163000003669</v>
      </c>
    </row>
    <row r="1170" spans="1:8" x14ac:dyDescent="0.25">
      <c r="A1170" t="s">
        <v>437</v>
      </c>
      <c r="B1170">
        <v>81363</v>
      </c>
      <c r="C1170" s="2">
        <v>1468.22</v>
      </c>
      <c r="D1170" s="1">
        <v>43535</v>
      </c>
      <c r="E1170" t="str">
        <f>"201903017583"</f>
        <v>201903017583</v>
      </c>
      <c r="F1170" t="str">
        <f>"acct# 6035301200160982"</f>
        <v>acct# 6035301200160982</v>
      </c>
      <c r="G1170" s="2">
        <v>1468.22</v>
      </c>
      <c r="H1170" t="str">
        <f>"Inv# 200550101"</f>
        <v>Inv# 200550101</v>
      </c>
    </row>
    <row r="1171" spans="1:8" x14ac:dyDescent="0.25">
      <c r="E1171" t="str">
        <f>""</f>
        <v/>
      </c>
      <c r="F1171" t="str">
        <f>""</f>
        <v/>
      </c>
      <c r="H1171" t="str">
        <f>"Inv# 300522807"</f>
        <v>Inv# 300522807</v>
      </c>
    </row>
    <row r="1172" spans="1:8" x14ac:dyDescent="0.25">
      <c r="E1172" t="str">
        <f>""</f>
        <v/>
      </c>
      <c r="F1172" t="str">
        <f>""</f>
        <v/>
      </c>
      <c r="H1172" t="str">
        <f>"Inv# 300522839"</f>
        <v>Inv# 300522839</v>
      </c>
    </row>
    <row r="1173" spans="1:8" x14ac:dyDescent="0.25">
      <c r="E1173" t="str">
        <f>""</f>
        <v/>
      </c>
      <c r="F1173" t="str">
        <f>""</f>
        <v/>
      </c>
      <c r="H1173" t="str">
        <f>"Inv# 300522183"</f>
        <v>Inv# 300522183</v>
      </c>
    </row>
    <row r="1174" spans="1:8" x14ac:dyDescent="0.25">
      <c r="E1174" t="str">
        <f>""</f>
        <v/>
      </c>
      <c r="F1174" t="str">
        <f>""</f>
        <v/>
      </c>
      <c r="H1174" t="str">
        <f>"Inv# 200546587"</f>
        <v>Inv# 200546587</v>
      </c>
    </row>
    <row r="1175" spans="1:8" x14ac:dyDescent="0.25">
      <c r="E1175" t="str">
        <f>""</f>
        <v/>
      </c>
      <c r="F1175" t="str">
        <f>""</f>
        <v/>
      </c>
      <c r="H1175" t="str">
        <f>"Inv# 300519036"</f>
        <v>Inv# 300519036</v>
      </c>
    </row>
    <row r="1176" spans="1:8" x14ac:dyDescent="0.25">
      <c r="E1176" t="str">
        <f>""</f>
        <v/>
      </c>
      <c r="F1176" t="str">
        <f>""</f>
        <v/>
      </c>
      <c r="H1176" t="str">
        <f>"Inv# 300520015"</f>
        <v>Inv# 300520015</v>
      </c>
    </row>
    <row r="1177" spans="1:8" x14ac:dyDescent="0.25">
      <c r="E1177" t="str">
        <f>""</f>
        <v/>
      </c>
      <c r="F1177" t="str">
        <f>""</f>
        <v/>
      </c>
      <c r="H1177" t="str">
        <f>"Inv# 300520050"</f>
        <v>Inv# 300520050</v>
      </c>
    </row>
    <row r="1178" spans="1:8" x14ac:dyDescent="0.25">
      <c r="E1178" t="str">
        <f>""</f>
        <v/>
      </c>
      <c r="F1178" t="str">
        <f>""</f>
        <v/>
      </c>
      <c r="H1178" t="str">
        <f>"Inv# 100580144"</f>
        <v>Inv# 100580144</v>
      </c>
    </row>
    <row r="1179" spans="1:8" x14ac:dyDescent="0.25">
      <c r="E1179" t="str">
        <f>""</f>
        <v/>
      </c>
      <c r="F1179" t="str">
        <f>""</f>
        <v/>
      </c>
      <c r="H1179" t="str">
        <f>"Inv# 200549032"</f>
        <v>Inv# 200549032</v>
      </c>
    </row>
    <row r="1180" spans="1:8" x14ac:dyDescent="0.25">
      <c r="E1180" t="str">
        <f>""</f>
        <v/>
      </c>
      <c r="F1180" t="str">
        <f>""</f>
        <v/>
      </c>
      <c r="H1180" t="str">
        <f>"Inv# 300523221"</f>
        <v>Inv# 300523221</v>
      </c>
    </row>
    <row r="1181" spans="1:8" x14ac:dyDescent="0.25">
      <c r="E1181" t="str">
        <f>""</f>
        <v/>
      </c>
      <c r="F1181" t="str">
        <f>""</f>
        <v/>
      </c>
      <c r="H1181" t="str">
        <f>"Inv# 100084581"</f>
        <v>Inv# 100084581</v>
      </c>
    </row>
    <row r="1182" spans="1:8" x14ac:dyDescent="0.25">
      <c r="E1182" t="str">
        <f>""</f>
        <v/>
      </c>
      <c r="F1182" t="str">
        <f>""</f>
        <v/>
      </c>
      <c r="H1182" t="str">
        <f>"Inv# 100082911"</f>
        <v>Inv# 100082911</v>
      </c>
    </row>
    <row r="1183" spans="1:8" x14ac:dyDescent="0.25">
      <c r="E1183" t="str">
        <f>""</f>
        <v/>
      </c>
      <c r="F1183" t="str">
        <f>""</f>
        <v/>
      </c>
      <c r="H1183" t="str">
        <f>"Inv# 100083405"</f>
        <v>Inv# 100083405</v>
      </c>
    </row>
    <row r="1184" spans="1:8" x14ac:dyDescent="0.25">
      <c r="A1184" t="s">
        <v>438</v>
      </c>
      <c r="B1184">
        <v>81364</v>
      </c>
      <c r="C1184" s="2">
        <v>75</v>
      </c>
      <c r="D1184" s="1">
        <v>43535</v>
      </c>
      <c r="E1184" t="str">
        <f>"8052"</f>
        <v>8052</v>
      </c>
      <c r="F1184" t="str">
        <f>"SERVICE"</f>
        <v>SERVICE</v>
      </c>
      <c r="G1184" s="2">
        <v>75</v>
      </c>
      <c r="H1184" t="str">
        <f>"SERVICE"</f>
        <v>SERVICE</v>
      </c>
    </row>
    <row r="1185" spans="1:8" x14ac:dyDescent="0.25">
      <c r="A1185" t="s">
        <v>438</v>
      </c>
      <c r="B1185">
        <v>81627</v>
      </c>
      <c r="C1185" s="2">
        <v>225</v>
      </c>
      <c r="D1185" s="1">
        <v>43549</v>
      </c>
      <c r="E1185" t="str">
        <f>"12878"</f>
        <v>12878</v>
      </c>
      <c r="F1185" t="str">
        <f>"SERVICE 01/22/19"</f>
        <v>SERVICE 01/22/19</v>
      </c>
      <c r="G1185" s="2">
        <v>75</v>
      </c>
      <c r="H1185" t="str">
        <f>"SERVICE 01/22/19"</f>
        <v>SERVICE 01/22/19</v>
      </c>
    </row>
    <row r="1186" spans="1:8" x14ac:dyDescent="0.25">
      <c r="E1186" t="str">
        <f>"13108"</f>
        <v>13108</v>
      </c>
      <c r="F1186" t="str">
        <f>"SERVICE  01/17/19"</f>
        <v>SERVICE  01/17/19</v>
      </c>
      <c r="G1186" s="2">
        <v>150</v>
      </c>
      <c r="H1186" t="str">
        <f>"SERVICE  01/17/19"</f>
        <v>SERVICE  01/17/19</v>
      </c>
    </row>
    <row r="1187" spans="1:8" x14ac:dyDescent="0.25">
      <c r="A1187" t="s">
        <v>439</v>
      </c>
      <c r="B1187">
        <v>81365</v>
      </c>
      <c r="C1187" s="2">
        <v>11600</v>
      </c>
      <c r="D1187" s="1">
        <v>43535</v>
      </c>
      <c r="E1187" t="str">
        <f>"3300001936"</f>
        <v>3300001936</v>
      </c>
      <c r="F1187" t="str">
        <f>"CUST#100008/INV#3300001936"</f>
        <v>CUST#100008/INV#3300001936</v>
      </c>
      <c r="G1187" s="2">
        <v>2900</v>
      </c>
      <c r="H1187" t="str">
        <f>"CUST#100008/INV#3300001936"</f>
        <v>CUST#100008/INV#3300001936</v>
      </c>
    </row>
    <row r="1188" spans="1:8" x14ac:dyDescent="0.25">
      <c r="E1188" t="str">
        <f>"3300002061"</f>
        <v>3300002061</v>
      </c>
      <c r="F1188" t="str">
        <f>"CUST#100733/INV#3300002061"</f>
        <v>CUST#100733/INV#3300002061</v>
      </c>
      <c r="G1188" s="2">
        <v>5800</v>
      </c>
      <c r="H1188" t="str">
        <f>"CUST#100733/INV#3300002061"</f>
        <v>CUST#100733/INV#3300002061</v>
      </c>
    </row>
    <row r="1189" spans="1:8" x14ac:dyDescent="0.25">
      <c r="E1189" t="str">
        <f>"3300002105"</f>
        <v>3300002105</v>
      </c>
      <c r="F1189" t="str">
        <f>"CUST#100009/INV#3300002105"</f>
        <v>CUST#100009/INV#3300002105</v>
      </c>
      <c r="G1189" s="2">
        <v>2900</v>
      </c>
      <c r="H1189" t="str">
        <f>"CUST#100009/INV#3300002105"</f>
        <v>CUST#100009/INV#3300002105</v>
      </c>
    </row>
    <row r="1190" spans="1:8" x14ac:dyDescent="0.25">
      <c r="A1190" t="s">
        <v>440</v>
      </c>
      <c r="B1190">
        <v>81366</v>
      </c>
      <c r="C1190" s="2">
        <v>240.13</v>
      </c>
      <c r="D1190" s="1">
        <v>43535</v>
      </c>
      <c r="E1190" t="str">
        <f>"T32311"</f>
        <v>T32311</v>
      </c>
      <c r="F1190" t="str">
        <f>"Inv# T32311"</f>
        <v>Inv# T32311</v>
      </c>
      <c r="G1190" s="2">
        <v>240.13</v>
      </c>
      <c r="H1190" t="str">
        <f>"Ticket# 119496"</f>
        <v>Ticket# 119496</v>
      </c>
    </row>
    <row r="1191" spans="1:8" x14ac:dyDescent="0.25">
      <c r="E1191" t="str">
        <f>""</f>
        <v/>
      </c>
      <c r="F1191" t="str">
        <f>""</f>
        <v/>
      </c>
      <c r="H1191" t="str">
        <f>"Ticket# 119562"</f>
        <v>Ticket# 119562</v>
      </c>
    </row>
    <row r="1192" spans="1:8" x14ac:dyDescent="0.25">
      <c r="E1192" t="str">
        <f>""</f>
        <v/>
      </c>
      <c r="F1192" t="str">
        <f>""</f>
        <v/>
      </c>
      <c r="H1192" t="str">
        <f>"Ticket# 119597"</f>
        <v>Ticket# 119597</v>
      </c>
    </row>
    <row r="1193" spans="1:8" x14ac:dyDescent="0.25">
      <c r="E1193" t="str">
        <f>""</f>
        <v/>
      </c>
      <c r="F1193" t="str">
        <f>""</f>
        <v/>
      </c>
      <c r="H1193" t="str">
        <f>"Ticket# 119639"</f>
        <v>Ticket# 119639</v>
      </c>
    </row>
    <row r="1194" spans="1:8" x14ac:dyDescent="0.25">
      <c r="E1194" t="str">
        <f>""</f>
        <v/>
      </c>
      <c r="F1194" t="str">
        <f>""</f>
        <v/>
      </c>
      <c r="H1194" t="str">
        <f>"Ticket# 119676"</f>
        <v>Ticket# 119676</v>
      </c>
    </row>
    <row r="1195" spans="1:8" x14ac:dyDescent="0.25">
      <c r="E1195" t="str">
        <f>""</f>
        <v/>
      </c>
      <c r="F1195" t="str">
        <f>""</f>
        <v/>
      </c>
      <c r="H1195" t="str">
        <f>"Ticket# 119697"</f>
        <v>Ticket# 119697</v>
      </c>
    </row>
    <row r="1196" spans="1:8" x14ac:dyDescent="0.25">
      <c r="E1196" t="str">
        <f>""</f>
        <v/>
      </c>
      <c r="F1196" t="str">
        <f>""</f>
        <v/>
      </c>
      <c r="H1196" t="str">
        <f>"Ticket# 119733"</f>
        <v>Ticket# 119733</v>
      </c>
    </row>
    <row r="1197" spans="1:8" x14ac:dyDescent="0.25">
      <c r="A1197" t="s">
        <v>441</v>
      </c>
      <c r="B1197">
        <v>81367</v>
      </c>
      <c r="C1197" s="2">
        <v>54.08</v>
      </c>
      <c r="D1197" s="1">
        <v>43535</v>
      </c>
      <c r="E1197" t="str">
        <f>"306673"</f>
        <v>306673</v>
      </c>
      <c r="F1197" t="str">
        <f>"ELEMENT KIT/PCT#4"</f>
        <v>ELEMENT KIT/PCT#4</v>
      </c>
      <c r="G1197" s="2">
        <v>54.08</v>
      </c>
      <c r="H1197" t="str">
        <f>"ELEMENT KIT/PCT#4"</f>
        <v>ELEMENT KIT/PCT#4</v>
      </c>
    </row>
    <row r="1198" spans="1:8" x14ac:dyDescent="0.25">
      <c r="A1198" t="s">
        <v>442</v>
      </c>
      <c r="B1198">
        <v>538</v>
      </c>
      <c r="C1198" s="2">
        <v>5286.96</v>
      </c>
      <c r="D1198" s="1">
        <v>43536</v>
      </c>
      <c r="E1198" t="str">
        <f>"19-22141"</f>
        <v>19-22141</v>
      </c>
      <c r="F1198" t="str">
        <f>"INV 747082"</f>
        <v>INV 747082</v>
      </c>
      <c r="G1198" s="2">
        <v>476</v>
      </c>
      <c r="H1198" t="str">
        <f>"INV 747082"</f>
        <v>INV 747082</v>
      </c>
    </row>
    <row r="1199" spans="1:8" x14ac:dyDescent="0.25">
      <c r="E1199" t="str">
        <f>"201903067816"</f>
        <v>201903067816</v>
      </c>
      <c r="F1199" t="str">
        <f>"INV 750691"</f>
        <v>INV 750691</v>
      </c>
      <c r="G1199" s="2">
        <v>2211.84</v>
      </c>
      <c r="H1199" t="str">
        <f>"I"</f>
        <v>I</v>
      </c>
    </row>
    <row r="1200" spans="1:8" x14ac:dyDescent="0.25">
      <c r="E1200" t="str">
        <f>"749124"</f>
        <v>749124</v>
      </c>
      <c r="F1200" t="str">
        <f>"INV 749124"</f>
        <v>INV 749124</v>
      </c>
      <c r="G1200" s="2">
        <v>476</v>
      </c>
      <c r="H1200" t="str">
        <f>"INV 749124"</f>
        <v>INV 749124</v>
      </c>
    </row>
    <row r="1201" spans="1:8" x14ac:dyDescent="0.25">
      <c r="E1201" t="str">
        <f>"749700"</f>
        <v>749700</v>
      </c>
      <c r="F1201" t="str">
        <f>"INV 749700 / UNIT 0123"</f>
        <v>INV 749700 / UNIT 0123</v>
      </c>
      <c r="G1201" s="2">
        <v>588.4</v>
      </c>
      <c r="H1201" t="str">
        <f>"INV 749700 / UNIT 0123"</f>
        <v>INV 749700 / UNIT 0123</v>
      </c>
    </row>
    <row r="1202" spans="1:8" x14ac:dyDescent="0.25">
      <c r="E1202" t="str">
        <f>"750461"</f>
        <v>750461</v>
      </c>
      <c r="F1202" t="str">
        <f>"INV 750461"</f>
        <v>INV 750461</v>
      </c>
      <c r="G1202" s="2">
        <v>320.04000000000002</v>
      </c>
      <c r="H1202" t="str">
        <f>"INV 750461"</f>
        <v>INV 750461</v>
      </c>
    </row>
    <row r="1203" spans="1:8" x14ac:dyDescent="0.25">
      <c r="E1203" t="str">
        <f>"750876"</f>
        <v>750876</v>
      </c>
      <c r="F1203" t="str">
        <f>"INV 750876 / UNIT 0121"</f>
        <v>INV 750876 / UNIT 0121</v>
      </c>
      <c r="G1203" s="2">
        <v>552.96</v>
      </c>
      <c r="H1203" t="str">
        <f>"INV 750876 / UNIT"</f>
        <v>INV 750876 / UNIT</v>
      </c>
    </row>
    <row r="1204" spans="1:8" x14ac:dyDescent="0.25">
      <c r="E1204" t="str">
        <f>"750877"</f>
        <v>750877</v>
      </c>
      <c r="F1204" t="str">
        <f>"INV 750877 / UNIT 7277"</f>
        <v>INV 750877 / UNIT 7277</v>
      </c>
      <c r="G1204" s="2">
        <v>138.24</v>
      </c>
      <c r="H1204" t="str">
        <f>"INV 750877 / UNIT 7277"</f>
        <v>INV 750877 / UNIT 7277</v>
      </c>
    </row>
    <row r="1205" spans="1:8" x14ac:dyDescent="0.25">
      <c r="E1205" t="str">
        <f>"751290"</f>
        <v>751290</v>
      </c>
      <c r="F1205" t="str">
        <f>"INV 751290"</f>
        <v>INV 751290</v>
      </c>
      <c r="G1205" s="2">
        <v>523.48</v>
      </c>
      <c r="H1205" t="str">
        <f>"INV 751290"</f>
        <v>INV 751290</v>
      </c>
    </row>
    <row r="1206" spans="1:8" x14ac:dyDescent="0.25">
      <c r="A1206" t="s">
        <v>443</v>
      </c>
      <c r="B1206">
        <v>81368</v>
      </c>
      <c r="C1206" s="2">
        <v>37495.57</v>
      </c>
      <c r="D1206" s="1">
        <v>43535</v>
      </c>
      <c r="E1206" t="str">
        <f>"020-19187"</f>
        <v>020-19187</v>
      </c>
      <c r="F1206" t="str">
        <f>"CUST#42161/ORD#99594"</f>
        <v>CUST#42161/ORD#99594</v>
      </c>
      <c r="G1206" s="2">
        <v>35988.6</v>
      </c>
      <c r="H1206" t="str">
        <f>"CUST#42161/ORD#99594"</f>
        <v>CUST#42161/ORD#99594</v>
      </c>
    </row>
    <row r="1207" spans="1:8" x14ac:dyDescent="0.25">
      <c r="E1207" t="str">
        <f>""</f>
        <v/>
      </c>
      <c r="F1207" t="str">
        <f>""</f>
        <v/>
      </c>
      <c r="H1207" t="str">
        <f>"CUST#42161/ORD#99594"</f>
        <v>CUST#42161/ORD#99594</v>
      </c>
    </row>
    <row r="1208" spans="1:8" x14ac:dyDescent="0.25">
      <c r="E1208" t="str">
        <f>"020-19188"</f>
        <v>020-19188</v>
      </c>
      <c r="F1208" t="str">
        <f>"CUST#42161/ORD#99595"</f>
        <v>CUST#42161/ORD#99595</v>
      </c>
      <c r="G1208" s="2">
        <v>556.97</v>
      </c>
      <c r="H1208" t="str">
        <f>"CUST#42161/ORD#99595"</f>
        <v>CUST#42161/ORD#99595</v>
      </c>
    </row>
    <row r="1209" spans="1:8" x14ac:dyDescent="0.25">
      <c r="E1209" t="str">
        <f>"045-250968"</f>
        <v>045-250968</v>
      </c>
      <c r="F1209" t="str">
        <f>"Tyler Connect 2019 Regist"</f>
        <v>Tyler Connect 2019 Regist</v>
      </c>
      <c r="G1209" s="2">
        <v>950</v>
      </c>
      <c r="H1209" t="str">
        <f>"Fee"</f>
        <v>Fee</v>
      </c>
    </row>
    <row r="1210" spans="1:8" x14ac:dyDescent="0.25">
      <c r="A1210" t="s">
        <v>376</v>
      </c>
      <c r="B1210">
        <v>81598</v>
      </c>
      <c r="C1210" s="2">
        <v>3635.56</v>
      </c>
      <c r="D1210" s="1">
        <v>43549</v>
      </c>
      <c r="E1210" t="str">
        <f>"201903197975"</f>
        <v>201903197975</v>
      </c>
      <c r="F1210" t="str">
        <f>"INDIGENT HEALTH"</f>
        <v>INDIGENT HEALTH</v>
      </c>
      <c r="G1210" s="2">
        <v>302.56</v>
      </c>
      <c r="H1210" t="str">
        <f>"INDIGENT HEALTH"</f>
        <v>INDIGENT HEALTH</v>
      </c>
    </row>
    <row r="1211" spans="1:8" x14ac:dyDescent="0.25">
      <c r="E1211" t="str">
        <f>"220191"</f>
        <v>220191</v>
      </c>
      <c r="F1211" t="str">
        <f>"PRESCRIPTION ASSISTANCE PROGRA"</f>
        <v>PRESCRIPTION ASSISTANCE PROGRA</v>
      </c>
      <c r="G1211" s="2">
        <v>3333</v>
      </c>
      <c r="H1211" t="str">
        <f>"PRESCRIPTION ASSISTANCE PROGRA"</f>
        <v>PRESCRIPTION ASSISTANCE PROGRA</v>
      </c>
    </row>
    <row r="1212" spans="1:8" x14ac:dyDescent="0.25">
      <c r="A1212" t="s">
        <v>444</v>
      </c>
      <c r="B1212">
        <v>81369</v>
      </c>
      <c r="C1212" s="2">
        <v>1017.6</v>
      </c>
      <c r="D1212" s="1">
        <v>43535</v>
      </c>
      <c r="E1212" t="str">
        <f>"201902287551"</f>
        <v>201902287551</v>
      </c>
      <c r="F1212" t="str">
        <f>"REPLACE FRONT BUMPER/PCT#2"</f>
        <v>REPLACE FRONT BUMPER/PCT#2</v>
      </c>
      <c r="G1212" s="2">
        <v>767.6</v>
      </c>
      <c r="H1212" t="str">
        <f>"REPLACE FRONT BUMPER/PCT#2"</f>
        <v>REPLACE FRONT BUMPER/PCT#2</v>
      </c>
    </row>
    <row r="1213" spans="1:8" x14ac:dyDescent="0.25">
      <c r="E1213" t="str">
        <f>"201903047605"</f>
        <v>201903047605</v>
      </c>
      <c r="F1213" t="str">
        <f>"TOWING-CONS EQUIP/PCT#2"</f>
        <v>TOWING-CONS EQUIP/PCT#2</v>
      </c>
      <c r="G1213" s="2">
        <v>250</v>
      </c>
      <c r="H1213" t="str">
        <f>"TOWING-CONS EQUIP/PCT#2"</f>
        <v>TOWING-CONS EQUIP/PCT#2</v>
      </c>
    </row>
    <row r="1214" spans="1:8" x14ac:dyDescent="0.25">
      <c r="A1214" t="s">
        <v>445</v>
      </c>
      <c r="B1214">
        <v>81628</v>
      </c>
      <c r="C1214" s="2">
        <v>61.48</v>
      </c>
      <c r="D1214" s="1">
        <v>43549</v>
      </c>
      <c r="E1214" t="str">
        <f>"201903197984"</f>
        <v>201903197984</v>
      </c>
      <c r="F1214" t="str">
        <f>"INDIGENT HEALTH"</f>
        <v>INDIGENT HEALTH</v>
      </c>
      <c r="G1214" s="2">
        <v>61.48</v>
      </c>
      <c r="H1214" t="str">
        <f>"INDIGENT HEALTH"</f>
        <v>INDIGENT HEALTH</v>
      </c>
    </row>
    <row r="1215" spans="1:8" x14ac:dyDescent="0.25">
      <c r="A1215" t="s">
        <v>446</v>
      </c>
      <c r="B1215">
        <v>81629</v>
      </c>
      <c r="C1215" s="2">
        <v>95.16</v>
      </c>
      <c r="D1215" s="1">
        <v>43549</v>
      </c>
      <c r="E1215" t="str">
        <f>"2007813"</f>
        <v>2007813</v>
      </c>
      <c r="F1215" t="str">
        <f>"ACCT#17460002268 003"</f>
        <v>ACCT#17460002268 003</v>
      </c>
      <c r="G1215" s="2">
        <v>95.16</v>
      </c>
      <c r="H1215" t="str">
        <f>"ACCT#17460002268 003"</f>
        <v>ACCT#17460002268 003</v>
      </c>
    </row>
    <row r="1216" spans="1:8" x14ac:dyDescent="0.25">
      <c r="A1216" t="s">
        <v>447</v>
      </c>
      <c r="B1216">
        <v>81370</v>
      </c>
      <c r="C1216" s="2">
        <v>38181.279999999999</v>
      </c>
      <c r="D1216" s="1">
        <v>43535</v>
      </c>
      <c r="E1216" t="str">
        <f>"201903077877"</f>
        <v>201903077877</v>
      </c>
      <c r="F1216" t="str">
        <f>"inv# 869395921909"</f>
        <v>inv# 869395921909</v>
      </c>
      <c r="G1216" s="2">
        <v>38181.279999999999</v>
      </c>
      <c r="H1216" t="str">
        <f>"fuel"</f>
        <v>fuel</v>
      </c>
    </row>
    <row r="1217" spans="5:8" x14ac:dyDescent="0.25">
      <c r="E1217" t="str">
        <f>""</f>
        <v/>
      </c>
      <c r="F1217" t="str">
        <f>""</f>
        <v/>
      </c>
      <c r="H1217" t="str">
        <f>"tax"</f>
        <v>tax</v>
      </c>
    </row>
    <row r="1218" spans="5:8" x14ac:dyDescent="0.25">
      <c r="E1218" t="str">
        <f>""</f>
        <v/>
      </c>
      <c r="F1218" t="str">
        <f>""</f>
        <v/>
      </c>
      <c r="H1218" t="str">
        <f>"fuel"</f>
        <v>fuel</v>
      </c>
    </row>
    <row r="1219" spans="5:8" x14ac:dyDescent="0.25">
      <c r="E1219" t="str">
        <f>""</f>
        <v/>
      </c>
      <c r="F1219" t="str">
        <f>""</f>
        <v/>
      </c>
      <c r="H1219" t="str">
        <f>"tax"</f>
        <v>tax</v>
      </c>
    </row>
    <row r="1220" spans="5:8" x14ac:dyDescent="0.25">
      <c r="E1220" t="str">
        <f>""</f>
        <v/>
      </c>
      <c r="F1220" t="str">
        <f>""</f>
        <v/>
      </c>
      <c r="H1220" t="str">
        <f>"maintenace"</f>
        <v>maintenace</v>
      </c>
    </row>
    <row r="1221" spans="5:8" x14ac:dyDescent="0.25">
      <c r="E1221" t="str">
        <f>""</f>
        <v/>
      </c>
      <c r="F1221" t="str">
        <f>""</f>
        <v/>
      </c>
      <c r="H1221" t="str">
        <f>"fuel"</f>
        <v>fuel</v>
      </c>
    </row>
    <row r="1222" spans="5:8" x14ac:dyDescent="0.25">
      <c r="E1222" t="str">
        <f>""</f>
        <v/>
      </c>
      <c r="F1222" t="str">
        <f>""</f>
        <v/>
      </c>
      <c r="H1222" t="str">
        <f>"tax"</f>
        <v>tax</v>
      </c>
    </row>
    <row r="1223" spans="5:8" x14ac:dyDescent="0.25">
      <c r="E1223" t="str">
        <f>""</f>
        <v/>
      </c>
      <c r="F1223" t="str">
        <f>""</f>
        <v/>
      </c>
      <c r="H1223" t="str">
        <f>"fuel"</f>
        <v>fuel</v>
      </c>
    </row>
    <row r="1224" spans="5:8" x14ac:dyDescent="0.25">
      <c r="E1224" t="str">
        <f>""</f>
        <v/>
      </c>
      <c r="F1224" t="str">
        <f>""</f>
        <v/>
      </c>
      <c r="H1224" t="str">
        <f>"tax"</f>
        <v>tax</v>
      </c>
    </row>
    <row r="1225" spans="5:8" x14ac:dyDescent="0.25">
      <c r="E1225" t="str">
        <f>""</f>
        <v/>
      </c>
      <c r="F1225" t="str">
        <f>""</f>
        <v/>
      </c>
      <c r="H1225" t="str">
        <f>"maintenance"</f>
        <v>maintenance</v>
      </c>
    </row>
    <row r="1226" spans="5:8" x14ac:dyDescent="0.25">
      <c r="E1226" t="str">
        <f>""</f>
        <v/>
      </c>
      <c r="F1226" t="str">
        <f>""</f>
        <v/>
      </c>
      <c r="H1226" t="str">
        <f>"fuel"</f>
        <v>fuel</v>
      </c>
    </row>
    <row r="1227" spans="5:8" x14ac:dyDescent="0.25">
      <c r="E1227" t="str">
        <f>""</f>
        <v/>
      </c>
      <c r="F1227" t="str">
        <f>""</f>
        <v/>
      </c>
      <c r="H1227" t="str">
        <f>"tax"</f>
        <v>tax</v>
      </c>
    </row>
    <row r="1228" spans="5:8" x14ac:dyDescent="0.25">
      <c r="E1228" t="str">
        <f>""</f>
        <v/>
      </c>
      <c r="F1228" t="str">
        <f>""</f>
        <v/>
      </c>
      <c r="H1228" t="str">
        <f>"mainteance"</f>
        <v>mainteance</v>
      </c>
    </row>
    <row r="1229" spans="5:8" x14ac:dyDescent="0.25">
      <c r="E1229" t="str">
        <f>""</f>
        <v/>
      </c>
      <c r="F1229" t="str">
        <f>""</f>
        <v/>
      </c>
      <c r="H1229" t="str">
        <f>"Fuel"</f>
        <v>Fuel</v>
      </c>
    </row>
    <row r="1230" spans="5:8" x14ac:dyDescent="0.25">
      <c r="E1230" t="str">
        <f>""</f>
        <v/>
      </c>
      <c r="F1230" t="str">
        <f>""</f>
        <v/>
      </c>
      <c r="H1230" t="str">
        <f>"tax"</f>
        <v>tax</v>
      </c>
    </row>
    <row r="1231" spans="5:8" x14ac:dyDescent="0.25">
      <c r="E1231" t="str">
        <f>""</f>
        <v/>
      </c>
      <c r="F1231" t="str">
        <f>""</f>
        <v/>
      </c>
      <c r="H1231" t="str">
        <f>"maintenace"</f>
        <v>maintenace</v>
      </c>
    </row>
    <row r="1232" spans="5:8" x14ac:dyDescent="0.25">
      <c r="E1232" t="str">
        <f>""</f>
        <v/>
      </c>
      <c r="F1232" t="str">
        <f>""</f>
        <v/>
      </c>
      <c r="H1232" t="str">
        <f>"fuel"</f>
        <v>fuel</v>
      </c>
    </row>
    <row r="1233" spans="1:8" x14ac:dyDescent="0.25">
      <c r="E1233" t="str">
        <f>""</f>
        <v/>
      </c>
      <c r="F1233" t="str">
        <f>""</f>
        <v/>
      </c>
      <c r="H1233" t="str">
        <f>"tax"</f>
        <v>tax</v>
      </c>
    </row>
    <row r="1234" spans="1:8" x14ac:dyDescent="0.25">
      <c r="E1234" t="str">
        <f>""</f>
        <v/>
      </c>
      <c r="F1234" t="str">
        <f>""</f>
        <v/>
      </c>
      <c r="H1234" t="str">
        <f>"Fuel"</f>
        <v>Fuel</v>
      </c>
    </row>
    <row r="1235" spans="1:8" x14ac:dyDescent="0.25">
      <c r="E1235" t="str">
        <f>""</f>
        <v/>
      </c>
      <c r="F1235" t="str">
        <f>""</f>
        <v/>
      </c>
      <c r="H1235" t="str">
        <f>"Tax"</f>
        <v>Tax</v>
      </c>
    </row>
    <row r="1236" spans="1:8" x14ac:dyDescent="0.25">
      <c r="E1236" t="str">
        <f>""</f>
        <v/>
      </c>
      <c r="F1236" t="str">
        <f>""</f>
        <v/>
      </c>
      <c r="H1236" t="str">
        <f>"fuel"</f>
        <v>fuel</v>
      </c>
    </row>
    <row r="1237" spans="1:8" x14ac:dyDescent="0.25">
      <c r="E1237" t="str">
        <f>""</f>
        <v/>
      </c>
      <c r="F1237" t="str">
        <f>""</f>
        <v/>
      </c>
      <c r="H1237" t="str">
        <f>"tax"</f>
        <v>tax</v>
      </c>
    </row>
    <row r="1238" spans="1:8" x14ac:dyDescent="0.25">
      <c r="E1238" t="str">
        <f>""</f>
        <v/>
      </c>
      <c r="F1238" t="str">
        <f>""</f>
        <v/>
      </c>
      <c r="H1238" t="str">
        <f>"maintenance"</f>
        <v>maintenance</v>
      </c>
    </row>
    <row r="1239" spans="1:8" x14ac:dyDescent="0.25">
      <c r="E1239" t="str">
        <f>""</f>
        <v/>
      </c>
      <c r="F1239" t="str">
        <f>""</f>
        <v/>
      </c>
      <c r="H1239" t="str">
        <f>"maintenance"</f>
        <v>maintenance</v>
      </c>
    </row>
    <row r="1240" spans="1:8" x14ac:dyDescent="0.25">
      <c r="A1240" t="s">
        <v>448</v>
      </c>
      <c r="B1240">
        <v>593</v>
      </c>
      <c r="C1240" s="2">
        <v>5281.31</v>
      </c>
      <c r="D1240" s="1">
        <v>43550</v>
      </c>
      <c r="E1240" t="str">
        <f>"16328"</f>
        <v>16328</v>
      </c>
      <c r="F1240" t="str">
        <f>"COLD MIX/FREIGHT/PCT#3"</f>
        <v>COLD MIX/FREIGHT/PCT#3</v>
      </c>
      <c r="G1240" s="2">
        <v>2699.33</v>
      </c>
      <c r="H1240" t="str">
        <f>"COLD MIX/FREIGHT/PCT#3"</f>
        <v>COLD MIX/FREIGHT/PCT#3</v>
      </c>
    </row>
    <row r="1241" spans="1:8" x14ac:dyDescent="0.25">
      <c r="E1241" t="str">
        <f>"16329"</f>
        <v>16329</v>
      </c>
      <c r="F1241" t="str">
        <f>"COLD MIX/FREIGHT/PCT#4"</f>
        <v>COLD MIX/FREIGHT/PCT#4</v>
      </c>
      <c r="G1241" s="2">
        <v>2581.98</v>
      </c>
      <c r="H1241" t="str">
        <f>"COLD MIX/FREIGHT/PCT#4"</f>
        <v>COLD MIX/FREIGHT/PCT#4</v>
      </c>
    </row>
    <row r="1242" spans="1:8" x14ac:dyDescent="0.25">
      <c r="A1242" t="s">
        <v>449</v>
      </c>
      <c r="B1242">
        <v>81371</v>
      </c>
      <c r="C1242" s="2">
        <v>514.41999999999996</v>
      </c>
      <c r="D1242" s="1">
        <v>43535</v>
      </c>
      <c r="E1242" t="str">
        <f>"201903067811"</f>
        <v>201903067811</v>
      </c>
      <c r="F1242" t="str">
        <f>"acct# 6032202005312476"</f>
        <v>acct# 6032202005312476</v>
      </c>
      <c r="G1242" s="2">
        <v>514.41999999999996</v>
      </c>
      <c r="H1242" t="str">
        <f>"inv# 009832"</f>
        <v>inv# 009832</v>
      </c>
    </row>
    <row r="1243" spans="1:8" x14ac:dyDescent="0.25">
      <c r="E1243" t="str">
        <f>""</f>
        <v/>
      </c>
      <c r="F1243" t="str">
        <f>""</f>
        <v/>
      </c>
      <c r="H1243" t="str">
        <f>"inv# 002769"</f>
        <v>inv# 002769</v>
      </c>
    </row>
    <row r="1244" spans="1:8" x14ac:dyDescent="0.25">
      <c r="E1244" t="str">
        <f>""</f>
        <v/>
      </c>
      <c r="F1244" t="str">
        <f>""</f>
        <v/>
      </c>
      <c r="H1244" t="str">
        <f>"inv# 006096"</f>
        <v>inv# 006096</v>
      </c>
    </row>
    <row r="1245" spans="1:8" x14ac:dyDescent="0.25">
      <c r="E1245" t="str">
        <f>""</f>
        <v/>
      </c>
      <c r="F1245" t="str">
        <f>""</f>
        <v/>
      </c>
      <c r="H1245" t="str">
        <f>"inv# 005193"</f>
        <v>inv# 005193</v>
      </c>
    </row>
    <row r="1246" spans="1:8" x14ac:dyDescent="0.25">
      <c r="E1246" t="str">
        <f>""</f>
        <v/>
      </c>
      <c r="F1246" t="str">
        <f>""</f>
        <v/>
      </c>
      <c r="H1246" t="str">
        <f>"inv# 006297"</f>
        <v>inv# 006297</v>
      </c>
    </row>
    <row r="1247" spans="1:8" x14ac:dyDescent="0.25">
      <c r="E1247" t="str">
        <f>""</f>
        <v/>
      </c>
      <c r="F1247" t="str">
        <f>""</f>
        <v/>
      </c>
      <c r="H1247" t="str">
        <f>"inv# 005464"</f>
        <v>inv# 005464</v>
      </c>
    </row>
    <row r="1248" spans="1:8" x14ac:dyDescent="0.25">
      <c r="E1248" t="str">
        <f>""</f>
        <v/>
      </c>
      <c r="F1248" t="str">
        <f>""</f>
        <v/>
      </c>
      <c r="H1248" t="str">
        <f>"inv# 007417"</f>
        <v>inv# 007417</v>
      </c>
    </row>
    <row r="1249" spans="1:8" x14ac:dyDescent="0.25">
      <c r="E1249" t="str">
        <f>""</f>
        <v/>
      </c>
      <c r="F1249" t="str">
        <f>""</f>
        <v/>
      </c>
      <c r="H1249" t="str">
        <f>"inv# 001577"</f>
        <v>inv# 001577</v>
      </c>
    </row>
    <row r="1250" spans="1:8" x14ac:dyDescent="0.25">
      <c r="E1250" t="str">
        <f>""</f>
        <v/>
      </c>
      <c r="F1250" t="str">
        <f>""</f>
        <v/>
      </c>
      <c r="H1250" t="str">
        <f>"inv# 001452"</f>
        <v>inv# 001452</v>
      </c>
    </row>
    <row r="1251" spans="1:8" x14ac:dyDescent="0.25">
      <c r="E1251" t="str">
        <f>""</f>
        <v/>
      </c>
      <c r="F1251" t="str">
        <f>""</f>
        <v/>
      </c>
      <c r="H1251" t="str">
        <f>"inv# 000787"</f>
        <v>inv# 000787</v>
      </c>
    </row>
    <row r="1252" spans="1:8" x14ac:dyDescent="0.25">
      <c r="E1252" t="str">
        <f>""</f>
        <v/>
      </c>
      <c r="F1252" t="str">
        <f>""</f>
        <v/>
      </c>
      <c r="H1252" t="str">
        <f>"inv# 000135"</f>
        <v>inv# 000135</v>
      </c>
    </row>
    <row r="1253" spans="1:8" x14ac:dyDescent="0.25">
      <c r="A1253" t="s">
        <v>450</v>
      </c>
      <c r="B1253">
        <v>81372</v>
      </c>
      <c r="C1253" s="2">
        <v>1342</v>
      </c>
      <c r="D1253" s="1">
        <v>43535</v>
      </c>
      <c r="E1253" t="str">
        <f>"201903067809"</f>
        <v>201903067809</v>
      </c>
      <c r="F1253" t="str">
        <f>"WAMPLER MFG CO"</f>
        <v>WAMPLER MFG CO</v>
      </c>
      <c r="G1253" s="2">
        <v>1342</v>
      </c>
    </row>
    <row r="1254" spans="1:8" x14ac:dyDescent="0.25">
      <c r="A1254" t="s">
        <v>450</v>
      </c>
      <c r="B1254">
        <v>81372</v>
      </c>
      <c r="C1254" s="2">
        <v>1342</v>
      </c>
      <c r="D1254" s="1">
        <v>43546</v>
      </c>
      <c r="E1254" t="str">
        <f>"CHECK"</f>
        <v>CHECK</v>
      </c>
      <c r="F1254" t="str">
        <f>""</f>
        <v/>
      </c>
      <c r="G1254" s="2">
        <v>1342</v>
      </c>
    </row>
    <row r="1255" spans="1:8" x14ac:dyDescent="0.25">
      <c r="A1255" t="s">
        <v>451</v>
      </c>
      <c r="B1255">
        <v>570</v>
      </c>
      <c r="C1255" s="2">
        <v>288.51</v>
      </c>
      <c r="D1255" s="1">
        <v>43536</v>
      </c>
      <c r="E1255" t="str">
        <f>"SCAUS0058752"</f>
        <v>SCAUS0058752</v>
      </c>
      <c r="F1255" t="str">
        <f>"CUST#BASPR4/PCT#4"</f>
        <v>CUST#BASPR4/PCT#4</v>
      </c>
      <c r="G1255" s="2">
        <v>288.51</v>
      </c>
      <c r="H1255" t="str">
        <f>"CUST#BASPR4/PCT#4"</f>
        <v>CUST#BASPR4/PCT#4</v>
      </c>
    </row>
    <row r="1256" spans="1:8" x14ac:dyDescent="0.25">
      <c r="A1256" t="s">
        <v>452</v>
      </c>
      <c r="B1256">
        <v>81232</v>
      </c>
      <c r="C1256" s="2">
        <v>18469.66</v>
      </c>
      <c r="D1256" s="1">
        <v>43531</v>
      </c>
      <c r="E1256" t="str">
        <f>"1702124138"</f>
        <v>1702124138</v>
      </c>
      <c r="F1256" t="str">
        <f>"ACCT#5150-005117630 / 02282019"</f>
        <v>ACCT#5150-005117630 / 02282019</v>
      </c>
      <c r="G1256" s="2">
        <v>250.29</v>
      </c>
      <c r="H1256" t="str">
        <f>"ACCT#5150-005117630 / 02282019"</f>
        <v>ACCT#5150-005117630 / 02282019</v>
      </c>
    </row>
    <row r="1257" spans="1:8" x14ac:dyDescent="0.25">
      <c r="E1257" t="str">
        <f>"1702124139"</f>
        <v>1702124139</v>
      </c>
      <c r="F1257" t="str">
        <f>"ACCT#5150-005117766/02282019"</f>
        <v>ACCT#5150-005117766/02282019</v>
      </c>
      <c r="G1257" s="2">
        <v>109.87</v>
      </c>
      <c r="H1257" t="str">
        <f>"ACCT#5150-005117766/02282019"</f>
        <v>ACCT#5150-005117766/02282019</v>
      </c>
    </row>
    <row r="1258" spans="1:8" x14ac:dyDescent="0.25">
      <c r="E1258" t="str">
        <f>"1702124140"</f>
        <v>1702124140</v>
      </c>
      <c r="F1258" t="str">
        <f>"ACCT#5150-005117838/02282019"</f>
        <v>ACCT#5150-005117838/02282019</v>
      </c>
      <c r="G1258" s="2">
        <v>101.69</v>
      </c>
      <c r="H1258" t="str">
        <f>"ACCT#5150-005117838/02282019"</f>
        <v>ACCT#5150-005117838/02282019</v>
      </c>
    </row>
    <row r="1259" spans="1:8" x14ac:dyDescent="0.25">
      <c r="E1259" t="str">
        <f>"1702124142"</f>
        <v>1702124142</v>
      </c>
      <c r="F1259" t="str">
        <f>"ACCT#5150-005117882/02282019"</f>
        <v>ACCT#5150-005117882/02282019</v>
      </c>
      <c r="G1259" s="2">
        <v>137.32</v>
      </c>
      <c r="H1259" t="str">
        <f>"ACCT#5150-005117882/02282019"</f>
        <v>ACCT#5150-005117882/02282019</v>
      </c>
    </row>
    <row r="1260" spans="1:8" x14ac:dyDescent="0.25">
      <c r="E1260" t="str">
        <f>"1702124144"</f>
        <v>1702124144</v>
      </c>
      <c r="F1260" t="str">
        <f>"ACCT#5150-005118183/02282019"</f>
        <v>ACCT#5150-005118183/02282019</v>
      </c>
      <c r="G1260" s="2">
        <v>589.49</v>
      </c>
      <c r="H1260" t="str">
        <f>"ACCT#5150-005118183/02282019"</f>
        <v>ACCT#5150-005118183/02282019</v>
      </c>
    </row>
    <row r="1261" spans="1:8" x14ac:dyDescent="0.25">
      <c r="E1261" t="str">
        <f>"1702124157"</f>
        <v>1702124157</v>
      </c>
      <c r="F1261" t="str">
        <f>"ACCT#5150-005129483/02282019"</f>
        <v>ACCT#5150-005129483/02282019</v>
      </c>
      <c r="G1261" s="2">
        <v>17281</v>
      </c>
      <c r="H1261" t="str">
        <f>"ACCT#5150-005129483/02282019"</f>
        <v>ACCT#5150-005129483/02282019</v>
      </c>
    </row>
    <row r="1262" spans="1:8" x14ac:dyDescent="0.25">
      <c r="A1262" t="s">
        <v>453</v>
      </c>
      <c r="B1262">
        <v>81630</v>
      </c>
      <c r="C1262" s="2">
        <v>3697.73</v>
      </c>
      <c r="D1262" s="1">
        <v>43549</v>
      </c>
      <c r="E1262" t="str">
        <f>"0017599-2161-0"</f>
        <v>0017599-2161-0</v>
      </c>
      <c r="F1262" t="str">
        <f>"CUST ID:2-57060-55062/PCT#4"</f>
        <v>CUST ID:2-57060-55062/PCT#4</v>
      </c>
      <c r="G1262" s="2">
        <v>2906.64</v>
      </c>
      <c r="H1262" t="str">
        <f>"CUST ID:2-57060-55062/PCT#4"</f>
        <v>CUST ID:2-57060-55062/PCT#4</v>
      </c>
    </row>
    <row r="1263" spans="1:8" x14ac:dyDescent="0.25">
      <c r="E1263" t="str">
        <f>"0024458-2161-0"</f>
        <v>0024458-2161-0</v>
      </c>
      <c r="F1263" t="str">
        <f>"CUST ID:2-56581-95066/ANIMAL C"</f>
        <v>CUST ID:2-56581-95066/ANIMAL C</v>
      </c>
      <c r="G1263" s="2">
        <v>791.09</v>
      </c>
      <c r="H1263" t="str">
        <f>"CUST ID:2-56581-95066/ANIMAL C"</f>
        <v>CUST ID:2-56581-95066/ANIMAL C</v>
      </c>
    </row>
    <row r="1264" spans="1:8" x14ac:dyDescent="0.25">
      <c r="A1264" t="s">
        <v>454</v>
      </c>
      <c r="B1264">
        <v>81631</v>
      </c>
      <c r="C1264" s="2">
        <v>274.99</v>
      </c>
      <c r="D1264" s="1">
        <v>43549</v>
      </c>
      <c r="E1264" t="str">
        <f>"311316"</f>
        <v>311316</v>
      </c>
      <c r="F1264" t="str">
        <f>"NORTON 4X4/PCT#3"</f>
        <v>NORTON 4X4/PCT#3</v>
      </c>
      <c r="G1264" s="2">
        <v>274.99</v>
      </c>
      <c r="H1264" t="str">
        <f>"NORTON 4X4/PCT#3"</f>
        <v>NORTON 4X4/PCT#3</v>
      </c>
    </row>
    <row r="1265" spans="1:8" x14ac:dyDescent="0.25">
      <c r="A1265" t="s">
        <v>455</v>
      </c>
      <c r="B1265">
        <v>596</v>
      </c>
      <c r="C1265" s="2">
        <v>13089.07</v>
      </c>
      <c r="D1265" s="1">
        <v>43550</v>
      </c>
      <c r="E1265" t="str">
        <f>"22028"</f>
        <v>22028</v>
      </c>
      <c r="F1265" t="str">
        <f>"INV 22028"</f>
        <v>INV 22028</v>
      </c>
      <c r="G1265" s="2">
        <v>13089.07</v>
      </c>
      <c r="H1265" t="str">
        <f>"INV 22028"</f>
        <v>INV 22028</v>
      </c>
    </row>
    <row r="1266" spans="1:8" x14ac:dyDescent="0.25">
      <c r="A1266" t="s">
        <v>456</v>
      </c>
      <c r="B1266">
        <v>81373</v>
      </c>
      <c r="C1266" s="2">
        <v>1663.04</v>
      </c>
      <c r="D1266" s="1">
        <v>43535</v>
      </c>
      <c r="E1266" t="str">
        <f>"379982 - 84"</f>
        <v>379982 - 84</v>
      </c>
      <c r="F1266" t="str">
        <f>"WHITTLESEY LANDSCAPE SUPPLIES"</f>
        <v>WHITTLESEY LANDSCAPE SUPPLIES</v>
      </c>
      <c r="G1266" s="2">
        <v>1663.04</v>
      </c>
      <c r="H1266" t="str">
        <f>"Delivery"</f>
        <v>Delivery</v>
      </c>
    </row>
    <row r="1267" spans="1:8" x14ac:dyDescent="0.25">
      <c r="E1267" t="str">
        <f>""</f>
        <v/>
      </c>
      <c r="F1267" t="str">
        <f>""</f>
        <v/>
      </c>
      <c r="H1267" t="str">
        <f>"Delivery"</f>
        <v>Delivery</v>
      </c>
    </row>
    <row r="1268" spans="1:8" x14ac:dyDescent="0.25">
      <c r="A1268" t="s">
        <v>457</v>
      </c>
      <c r="B1268">
        <v>81632</v>
      </c>
      <c r="C1268" s="2">
        <v>125</v>
      </c>
      <c r="D1268" s="1">
        <v>43549</v>
      </c>
      <c r="E1268" t="str">
        <f>"12815"</f>
        <v>12815</v>
      </c>
      <c r="F1268" t="str">
        <f>"SERVICE  01/14/19"</f>
        <v>SERVICE  01/14/19</v>
      </c>
      <c r="G1268" s="2">
        <v>125</v>
      </c>
      <c r="H1268" t="str">
        <f>"SERVICE  01/14/19"</f>
        <v>SERVICE  01/14/19</v>
      </c>
    </row>
    <row r="1269" spans="1:8" x14ac:dyDescent="0.25">
      <c r="A1269" t="s">
        <v>458</v>
      </c>
      <c r="B1269">
        <v>81374</v>
      </c>
      <c r="C1269" s="2">
        <v>1060.03</v>
      </c>
      <c r="D1269" s="1">
        <v>43535</v>
      </c>
      <c r="E1269" t="str">
        <f>"14633"</f>
        <v>14633</v>
      </c>
      <c r="F1269" t="str">
        <f>"1999 3126 CAT/PCT#3"</f>
        <v>1999 3126 CAT/PCT#3</v>
      </c>
      <c r="G1269" s="2">
        <v>1060.03</v>
      </c>
      <c r="H1269" t="str">
        <f>"1999 3126 CAT/PCT#3"</f>
        <v>1999 3126 CAT/PCT#3</v>
      </c>
    </row>
    <row r="1270" spans="1:8" x14ac:dyDescent="0.25">
      <c r="A1270" t="s">
        <v>459</v>
      </c>
      <c r="B1270">
        <v>81633</v>
      </c>
      <c r="C1270" s="2">
        <v>60</v>
      </c>
      <c r="D1270" s="1">
        <v>43549</v>
      </c>
      <c r="E1270" t="str">
        <f>"201903208048"</f>
        <v>201903208048</v>
      </c>
      <c r="F1270" t="str">
        <f>"FERAL HOGS"</f>
        <v>FERAL HOGS</v>
      </c>
      <c r="G1270" s="2">
        <v>60</v>
      </c>
      <c r="H1270" t="str">
        <f>"FERAL HOGS"</f>
        <v>FERAL HOGS</v>
      </c>
    </row>
    <row r="1271" spans="1:8" x14ac:dyDescent="0.25">
      <c r="A1271" t="s">
        <v>460</v>
      </c>
      <c r="B1271">
        <v>627</v>
      </c>
      <c r="C1271" s="2">
        <v>316.08</v>
      </c>
      <c r="D1271" s="1">
        <v>43550</v>
      </c>
      <c r="E1271" t="str">
        <f>"096292786"</f>
        <v>096292786</v>
      </c>
      <c r="F1271" t="str">
        <f>"CUST#662445931/REF#VTX000000X"</f>
        <v>CUST#662445931/REF#VTX000000X</v>
      </c>
      <c r="G1271" s="2">
        <v>146.03</v>
      </c>
      <c r="H1271" t="str">
        <f>"CUST#662445931/REF#VTX000000X"</f>
        <v>CUST#662445931/REF#VTX000000X</v>
      </c>
    </row>
    <row r="1272" spans="1:8" x14ac:dyDescent="0.25">
      <c r="E1272" t="str">
        <f>"096292787"</f>
        <v>096292787</v>
      </c>
      <c r="F1272" t="str">
        <f>"CUST#662445931/REF#VTX00000X"</f>
        <v>CUST#662445931/REF#VTX00000X</v>
      </c>
      <c r="G1272" s="2">
        <v>82.25</v>
      </c>
      <c r="H1272" t="str">
        <f>"CUST#662445931/REF#VTX00000X"</f>
        <v>CUST#662445931/REF#VTX00000X</v>
      </c>
    </row>
    <row r="1273" spans="1:8" x14ac:dyDescent="0.25">
      <c r="E1273" t="str">
        <f>"096292789"</f>
        <v>096292789</v>
      </c>
      <c r="F1273" t="str">
        <f>"CUST#723230843/REF#VTX00000X"</f>
        <v>CUST#723230843/REF#VTX00000X</v>
      </c>
      <c r="G1273" s="2">
        <v>87.8</v>
      </c>
      <c r="H1273" t="str">
        <f>"CUST#723230843/REF#VTX00000X"</f>
        <v>CUST#723230843/REF#VTX00000X</v>
      </c>
    </row>
    <row r="1274" spans="1:8" x14ac:dyDescent="0.25">
      <c r="A1274" t="s">
        <v>461</v>
      </c>
      <c r="B1274">
        <v>81375</v>
      </c>
      <c r="C1274" s="2">
        <v>485.14</v>
      </c>
      <c r="D1274" s="1">
        <v>43535</v>
      </c>
      <c r="E1274" t="str">
        <f>"0013551"</f>
        <v>0013551</v>
      </c>
      <c r="F1274" t="str">
        <f>"423-5672"</f>
        <v>423-5672</v>
      </c>
      <c r="G1274" s="2">
        <v>485.14</v>
      </c>
      <c r="H1274" t="str">
        <f>"423-5672"</f>
        <v>423-5672</v>
      </c>
    </row>
    <row r="1275" spans="1:8" x14ac:dyDescent="0.25">
      <c r="A1275" t="s">
        <v>462</v>
      </c>
      <c r="B1275">
        <v>81634</v>
      </c>
      <c r="C1275" s="2">
        <v>192.94</v>
      </c>
      <c r="D1275" s="1">
        <v>43549</v>
      </c>
      <c r="E1275" t="str">
        <f>"201903197986"</f>
        <v>201903197986</v>
      </c>
      <c r="F1275" t="str">
        <f>"INDIGENT HEALTH"</f>
        <v>INDIGENT HEALTH</v>
      </c>
      <c r="G1275" s="2">
        <v>192.94</v>
      </c>
      <c r="H1275" t="str">
        <f>"INDIGENT HEALTH"</f>
        <v>INDIGENT HEALTH</v>
      </c>
    </row>
    <row r="1276" spans="1:8" x14ac:dyDescent="0.25">
      <c r="A1276" t="s">
        <v>463</v>
      </c>
      <c r="B1276">
        <v>81635</v>
      </c>
      <c r="C1276" s="2">
        <v>432</v>
      </c>
      <c r="D1276" s="1">
        <v>43549</v>
      </c>
      <c r="E1276" t="str">
        <f>"9007755329"</f>
        <v>9007755329</v>
      </c>
      <c r="F1276" t="str">
        <f>"CUST#1000113183/ANIMAL SHELTER"</f>
        <v>CUST#1000113183/ANIMAL SHELTER</v>
      </c>
      <c r="G1276" s="2">
        <v>432</v>
      </c>
      <c r="H1276" t="str">
        <f>"CUST#1000113183/ANIMAL SHELTER"</f>
        <v>CUST#1000113183/ANIMAL SHELTER</v>
      </c>
    </row>
    <row r="1277" spans="1:8" x14ac:dyDescent="0.25">
      <c r="A1277" t="s">
        <v>464</v>
      </c>
      <c r="B1277">
        <v>81636</v>
      </c>
      <c r="C1277" s="2">
        <v>92.17</v>
      </c>
      <c r="D1277" s="1">
        <v>43549</v>
      </c>
      <c r="E1277" t="str">
        <f>"INV5692753"</f>
        <v>INV5692753</v>
      </c>
      <c r="F1277" t="str">
        <f>"ZORO TOOLS INC"</f>
        <v>ZORO TOOLS INC</v>
      </c>
      <c r="G1277" s="2">
        <v>92.17</v>
      </c>
      <c r="H1277" t="str">
        <f>"TENSIONER"</f>
        <v>TENSIONER</v>
      </c>
    </row>
    <row r="1278" spans="1:8" x14ac:dyDescent="0.25">
      <c r="A1278" t="s">
        <v>28</v>
      </c>
      <c r="B1278">
        <v>81376</v>
      </c>
      <c r="C1278" s="2">
        <v>88.99</v>
      </c>
      <c r="D1278" s="1">
        <v>43535</v>
      </c>
      <c r="E1278" t="str">
        <f>"201903047599"</f>
        <v>201903047599</v>
      </c>
      <c r="F1278" t="str">
        <f>"ACCT#015397/JUVENILE BOOT CAMP"</f>
        <v>ACCT#015397/JUVENILE BOOT CAMP</v>
      </c>
      <c r="G1278" s="2">
        <v>88.99</v>
      </c>
      <c r="H1278" t="str">
        <f>"ACCT#015397/JUVENILE BOOT CAMP"</f>
        <v>ACCT#015397/JUVENILE BOOT CAMP</v>
      </c>
    </row>
    <row r="1279" spans="1:8" x14ac:dyDescent="0.25">
      <c r="A1279" t="s">
        <v>64</v>
      </c>
      <c r="B1279">
        <v>81387</v>
      </c>
      <c r="C1279" s="2">
        <v>267.76</v>
      </c>
      <c r="D1279" s="1">
        <v>43537</v>
      </c>
      <c r="E1279" t="str">
        <f>"201903137899"</f>
        <v>201903137899</v>
      </c>
      <c r="F1279" t="str">
        <f>"ACCT#5000057374 / 03052019"</f>
        <v>ACCT#5000057374 / 03052019</v>
      </c>
      <c r="G1279" s="2">
        <v>267.76</v>
      </c>
      <c r="H1279" t="str">
        <f>"ACCT#5000057374 / 03052019"</f>
        <v>ACCT#5000057374 / 03052019</v>
      </c>
    </row>
    <row r="1280" spans="1:8" x14ac:dyDescent="0.25">
      <c r="A1280" t="s">
        <v>465</v>
      </c>
      <c r="B1280">
        <v>81637</v>
      </c>
      <c r="C1280" s="2">
        <v>95.76</v>
      </c>
      <c r="D1280" s="1">
        <v>43549</v>
      </c>
      <c r="E1280" t="str">
        <f>"201903157912"</f>
        <v>201903157912</v>
      </c>
      <c r="F1280" t="str">
        <f>"REIMBURSE AMMUNITION"</f>
        <v>REIMBURSE AMMUNITION</v>
      </c>
      <c r="G1280" s="2">
        <v>95.76</v>
      </c>
      <c r="H1280" t="str">
        <f>"REIMBURSE AMMUNITION"</f>
        <v>REIMBURSE AMMUNITION</v>
      </c>
    </row>
    <row r="1281" spans="1:8" x14ac:dyDescent="0.25">
      <c r="A1281" t="s">
        <v>74</v>
      </c>
      <c r="B1281">
        <v>81377</v>
      </c>
      <c r="C1281" s="2">
        <v>634.30999999999995</v>
      </c>
      <c r="D1281" s="1">
        <v>43535</v>
      </c>
      <c r="E1281" t="str">
        <f>"1628612"</f>
        <v>1628612</v>
      </c>
      <c r="F1281" t="str">
        <f>"ACCT#000690/PCT#2"</f>
        <v>ACCT#000690/PCT#2</v>
      </c>
      <c r="G1281" s="2">
        <v>634.30999999999995</v>
      </c>
      <c r="H1281" t="str">
        <f>"ACCT#000690/PCT#2"</f>
        <v>ACCT#000690/PCT#2</v>
      </c>
    </row>
    <row r="1282" spans="1:8" x14ac:dyDescent="0.25">
      <c r="A1282" t="s">
        <v>466</v>
      </c>
      <c r="B1282">
        <v>81638</v>
      </c>
      <c r="C1282" s="2">
        <v>9980</v>
      </c>
      <c r="D1282" s="1">
        <v>43549</v>
      </c>
      <c r="E1282" t="str">
        <f>"65313"</f>
        <v>65313</v>
      </c>
      <c r="F1282" t="str">
        <f>"RAWS Annual On-Site Maint"</f>
        <v>RAWS Annual On-Site Maint</v>
      </c>
      <c r="G1282" s="2">
        <v>9980</v>
      </c>
      <c r="H1282" t="str">
        <f>"Q-CODES"</f>
        <v>Q-CODES</v>
      </c>
    </row>
    <row r="1283" spans="1:8" x14ac:dyDescent="0.25">
      <c r="A1283" t="s">
        <v>467</v>
      </c>
      <c r="B1283">
        <v>81378</v>
      </c>
      <c r="C1283" s="2">
        <v>2250.27</v>
      </c>
      <c r="D1283" s="1">
        <v>43535</v>
      </c>
      <c r="E1283" t="str">
        <f>"94328935"</f>
        <v>94328935</v>
      </c>
      <c r="F1283" t="str">
        <f>"CUST#1206923/GEN SVCS"</f>
        <v>CUST#1206923/GEN SVCS</v>
      </c>
      <c r="G1283" s="2">
        <v>2250.27</v>
      </c>
      <c r="H1283" t="str">
        <f>"CUST#1206923/GEN SVCS"</f>
        <v>CUST#1206923/GEN SVCS</v>
      </c>
    </row>
    <row r="1284" spans="1:8" x14ac:dyDescent="0.25">
      <c r="A1284" t="s">
        <v>199</v>
      </c>
      <c r="B1284">
        <v>81379</v>
      </c>
      <c r="C1284" s="2">
        <v>227.62</v>
      </c>
      <c r="D1284" s="1">
        <v>43535</v>
      </c>
      <c r="E1284" t="str">
        <f>"201903057618"</f>
        <v>201903057618</v>
      </c>
      <c r="F1284" t="str">
        <f>"ACCT#1645/WILDFIRE MITIGATION"</f>
        <v>ACCT#1645/WILDFIRE MITIGATION</v>
      </c>
      <c r="G1284" s="2">
        <v>227.62</v>
      </c>
      <c r="H1284" t="str">
        <f>"ACCT#1645/WILDFIRE MITIGATION"</f>
        <v>ACCT#1645/WILDFIRE MITIGATION</v>
      </c>
    </row>
    <row r="1285" spans="1:8" x14ac:dyDescent="0.25">
      <c r="A1285" t="s">
        <v>332</v>
      </c>
      <c r="B1285">
        <v>81380</v>
      </c>
      <c r="C1285" s="2">
        <v>47628.34</v>
      </c>
      <c r="D1285" s="1">
        <v>43535</v>
      </c>
      <c r="E1285" t="str">
        <f>"201903017581"</f>
        <v>201903017581</v>
      </c>
      <c r="F1285" t="str">
        <f>"furniture for MFB"</f>
        <v>furniture for MFB</v>
      </c>
      <c r="G1285" s="2">
        <v>47628.34</v>
      </c>
      <c r="H1285" t="str">
        <f>"50%down"</f>
        <v>50%down</v>
      </c>
    </row>
    <row r="1286" spans="1:8" x14ac:dyDescent="0.25">
      <c r="A1286" t="s">
        <v>468</v>
      </c>
      <c r="B1286">
        <v>81381</v>
      </c>
      <c r="C1286" s="2">
        <v>737955.93</v>
      </c>
      <c r="D1286" s="1">
        <v>43535</v>
      </c>
      <c r="E1286" t="str">
        <f>"181204-6"</f>
        <v>181204-6</v>
      </c>
      <c r="F1286" t="str">
        <f>"PROJ#181204/COMMUNICATIONS BLD"</f>
        <v>PROJ#181204/COMMUNICATIONS BLD</v>
      </c>
      <c r="G1286" s="2">
        <v>737955.93</v>
      </c>
      <c r="H1286" t="str">
        <f>"PROJ#181204/COMMUNICATIONS BLD"</f>
        <v>PROJ#181204/COMMUNICATIONS BLD</v>
      </c>
    </row>
    <row r="1287" spans="1:8" x14ac:dyDescent="0.25">
      <c r="A1287" t="s">
        <v>416</v>
      </c>
      <c r="B1287">
        <v>81382</v>
      </c>
      <c r="C1287" s="2">
        <v>1307.82</v>
      </c>
      <c r="D1287" s="1">
        <v>43535</v>
      </c>
      <c r="E1287" t="str">
        <f>"23557-WC2 FUND 245"</f>
        <v>23557-WC2 FUND 245</v>
      </c>
      <c r="F1287" t="str">
        <f>"2ND QTR 2019 WRKRS COMP/#0110"</f>
        <v>2ND QTR 2019 WRKRS COMP/#0110</v>
      </c>
      <c r="G1287" s="2">
        <v>1307.82</v>
      </c>
      <c r="H1287" t="str">
        <f>"2ND QTR 2019 WRKRS COMP/#0110"</f>
        <v>2ND QTR 2019 WRKRS COMP/#0110</v>
      </c>
    </row>
    <row r="1288" spans="1:8" x14ac:dyDescent="0.25">
      <c r="A1288" t="s">
        <v>429</v>
      </c>
      <c r="B1288">
        <v>81383</v>
      </c>
      <c r="C1288" s="2">
        <v>3600</v>
      </c>
      <c r="D1288" s="1">
        <v>43535</v>
      </c>
      <c r="E1288" t="str">
        <f>"201903017580"</f>
        <v>201903017580</v>
      </c>
      <c r="F1288" t="str">
        <f>"BUG MASTER EXTERMINATING SERVI"</f>
        <v>BUG MASTER EXTERMINATING SERVI</v>
      </c>
      <c r="G1288" s="2">
        <v>3600</v>
      </c>
      <c r="H1288" t="str">
        <f>"Pest Treatment"</f>
        <v>Pest Treatment</v>
      </c>
    </row>
    <row r="1289" spans="1:8" x14ac:dyDescent="0.25">
      <c r="A1289" t="s">
        <v>447</v>
      </c>
      <c r="B1289">
        <v>81384</v>
      </c>
      <c r="C1289" s="2">
        <v>1360.25</v>
      </c>
      <c r="D1289" s="1">
        <v>43535</v>
      </c>
      <c r="E1289" t="str">
        <f>"201903017582"</f>
        <v>201903017582</v>
      </c>
      <c r="F1289" t="str">
        <f>"Inv# 869395921909"</f>
        <v>Inv# 869395921909</v>
      </c>
      <c r="G1289" s="2">
        <v>1360.25</v>
      </c>
      <c r="H1289" t="str">
        <f>"Fuel"</f>
        <v>Fuel</v>
      </c>
    </row>
    <row r="1290" spans="1:8" x14ac:dyDescent="0.25">
      <c r="E1290" t="str">
        <f>""</f>
        <v/>
      </c>
      <c r="F1290" t="str">
        <f>""</f>
        <v/>
      </c>
      <c r="H1290" t="str">
        <f>"Tax"</f>
        <v>Tax</v>
      </c>
    </row>
    <row r="1291" spans="1:8" x14ac:dyDescent="0.25">
      <c r="A1291" t="s">
        <v>449</v>
      </c>
      <c r="B1291">
        <v>81385</v>
      </c>
      <c r="C1291" s="2">
        <v>62.86</v>
      </c>
      <c r="D1291" s="1">
        <v>43535</v>
      </c>
      <c r="E1291" t="str">
        <f>"007953"</f>
        <v>007953</v>
      </c>
      <c r="F1291" t="str">
        <f>"acct# 6032202005312476"</f>
        <v>acct# 6032202005312476</v>
      </c>
      <c r="G1291" s="2">
        <v>62.86</v>
      </c>
      <c r="H1291" t="str">
        <f>"inv# 007953"</f>
        <v>inv# 007953</v>
      </c>
    </row>
    <row r="1292" spans="1:8" x14ac:dyDescent="0.25">
      <c r="A1292" t="s">
        <v>469</v>
      </c>
      <c r="B1292">
        <v>98</v>
      </c>
      <c r="C1292" s="2">
        <v>5842.1</v>
      </c>
      <c r="D1292" s="1">
        <v>43552</v>
      </c>
      <c r="E1292" t="str">
        <f>"201903288173"</f>
        <v>201903288173</v>
      </c>
      <c r="F1292" t="str">
        <f>"ALLSTATE-AMERICAN HERITAGE LIF"</f>
        <v>ALLSTATE-AMERICAN HERITAGE LIF</v>
      </c>
      <c r="G1292" s="2">
        <v>0.06</v>
      </c>
      <c r="H1292" t="str">
        <f>"ALLSTATE-AMERICAN HERITAGE LIF"</f>
        <v>ALLSTATE-AMERICAN HERITAGE LIF</v>
      </c>
    </row>
    <row r="1293" spans="1:8" x14ac:dyDescent="0.25">
      <c r="E1293" t="str">
        <f>"AS 201903067820"</f>
        <v>AS 201903067820</v>
      </c>
      <c r="F1293" t="str">
        <f t="shared" ref="F1293:F1306" si="14">"ALLSTATE"</f>
        <v>ALLSTATE</v>
      </c>
      <c r="G1293" s="2">
        <v>27.14</v>
      </c>
      <c r="H1293" t="str">
        <f t="shared" ref="H1293:H1306" si="15">"ALLSTATE"</f>
        <v>ALLSTATE</v>
      </c>
    </row>
    <row r="1294" spans="1:8" x14ac:dyDescent="0.25">
      <c r="E1294" t="str">
        <f>"AS 201903067843"</f>
        <v>AS 201903067843</v>
      </c>
      <c r="F1294" t="str">
        <f t="shared" si="14"/>
        <v>ALLSTATE</v>
      </c>
      <c r="G1294" s="2">
        <v>547.05999999999995</v>
      </c>
      <c r="H1294" t="str">
        <f t="shared" si="15"/>
        <v>ALLSTATE</v>
      </c>
    </row>
    <row r="1295" spans="1:8" x14ac:dyDescent="0.25">
      <c r="E1295" t="str">
        <f>"AS 201903208000"</f>
        <v>AS 201903208000</v>
      </c>
      <c r="F1295" t="str">
        <f t="shared" si="14"/>
        <v>ALLSTATE</v>
      </c>
      <c r="G1295" s="2">
        <v>547.05999999999995</v>
      </c>
      <c r="H1295" t="str">
        <f t="shared" si="15"/>
        <v>ALLSTATE</v>
      </c>
    </row>
    <row r="1296" spans="1:8" x14ac:dyDescent="0.25">
      <c r="E1296" t="str">
        <f>"AS 201903208001"</f>
        <v>AS 201903208001</v>
      </c>
      <c r="F1296" t="str">
        <f t="shared" si="14"/>
        <v>ALLSTATE</v>
      </c>
      <c r="G1296" s="2">
        <v>27.14</v>
      </c>
      <c r="H1296" t="str">
        <f t="shared" si="15"/>
        <v>ALLSTATE</v>
      </c>
    </row>
    <row r="1297" spans="1:8" x14ac:dyDescent="0.25">
      <c r="E1297" t="str">
        <f>"ASD201903067843"</f>
        <v>ASD201903067843</v>
      </c>
      <c r="F1297" t="str">
        <f t="shared" si="14"/>
        <v>ALLSTATE</v>
      </c>
      <c r="G1297" s="2">
        <v>193.92</v>
      </c>
      <c r="H1297" t="str">
        <f t="shared" si="15"/>
        <v>ALLSTATE</v>
      </c>
    </row>
    <row r="1298" spans="1:8" x14ac:dyDescent="0.25">
      <c r="E1298" t="str">
        <f>"ASD201903208000"</f>
        <v>ASD201903208000</v>
      </c>
      <c r="F1298" t="str">
        <f t="shared" si="14"/>
        <v>ALLSTATE</v>
      </c>
      <c r="G1298" s="2">
        <v>193.92</v>
      </c>
      <c r="H1298" t="str">
        <f t="shared" si="15"/>
        <v>ALLSTATE</v>
      </c>
    </row>
    <row r="1299" spans="1:8" x14ac:dyDescent="0.25">
      <c r="E1299" t="str">
        <f>"ASI201903067820"</f>
        <v>ASI201903067820</v>
      </c>
      <c r="F1299" t="str">
        <f t="shared" si="14"/>
        <v>ALLSTATE</v>
      </c>
      <c r="G1299" s="2">
        <v>67.150000000000006</v>
      </c>
      <c r="H1299" t="str">
        <f t="shared" si="15"/>
        <v>ALLSTATE</v>
      </c>
    </row>
    <row r="1300" spans="1:8" x14ac:dyDescent="0.25">
      <c r="E1300" t="str">
        <f>"ASI201903067843"</f>
        <v>ASI201903067843</v>
      </c>
      <c r="F1300" t="str">
        <f t="shared" si="14"/>
        <v>ALLSTATE</v>
      </c>
      <c r="G1300" s="2">
        <v>684.22</v>
      </c>
      <c r="H1300" t="str">
        <f t="shared" si="15"/>
        <v>ALLSTATE</v>
      </c>
    </row>
    <row r="1301" spans="1:8" x14ac:dyDescent="0.25">
      <c r="E1301" t="str">
        <f>"ASI201903208000"</f>
        <v>ASI201903208000</v>
      </c>
      <c r="F1301" t="str">
        <f t="shared" si="14"/>
        <v>ALLSTATE</v>
      </c>
      <c r="G1301" s="2">
        <v>684.22</v>
      </c>
      <c r="H1301" t="str">
        <f t="shared" si="15"/>
        <v>ALLSTATE</v>
      </c>
    </row>
    <row r="1302" spans="1:8" x14ac:dyDescent="0.25">
      <c r="E1302" t="str">
        <f>"ASI201903208001"</f>
        <v>ASI201903208001</v>
      </c>
      <c r="F1302" t="str">
        <f t="shared" si="14"/>
        <v>ALLSTATE</v>
      </c>
      <c r="G1302" s="2">
        <v>67.150000000000006</v>
      </c>
      <c r="H1302" t="str">
        <f t="shared" si="15"/>
        <v>ALLSTATE</v>
      </c>
    </row>
    <row r="1303" spans="1:8" x14ac:dyDescent="0.25">
      <c r="E1303" t="str">
        <f>"AST201903067820"</f>
        <v>AST201903067820</v>
      </c>
      <c r="F1303" t="str">
        <f t="shared" si="14"/>
        <v>ALLSTATE</v>
      </c>
      <c r="G1303" s="2">
        <v>42.61</v>
      </c>
      <c r="H1303" t="str">
        <f t="shared" si="15"/>
        <v>ALLSTATE</v>
      </c>
    </row>
    <row r="1304" spans="1:8" x14ac:dyDescent="0.25">
      <c r="E1304" t="str">
        <f>"AST201903067843"</f>
        <v>AST201903067843</v>
      </c>
      <c r="F1304" t="str">
        <f t="shared" si="14"/>
        <v>ALLSTATE</v>
      </c>
      <c r="G1304" s="2">
        <v>1358.92</v>
      </c>
      <c r="H1304" t="str">
        <f t="shared" si="15"/>
        <v>ALLSTATE</v>
      </c>
    </row>
    <row r="1305" spans="1:8" x14ac:dyDescent="0.25">
      <c r="E1305" t="str">
        <f>"AST201903208000"</f>
        <v>AST201903208000</v>
      </c>
      <c r="F1305" t="str">
        <f t="shared" si="14"/>
        <v>ALLSTATE</v>
      </c>
      <c r="G1305" s="2">
        <v>1358.92</v>
      </c>
      <c r="H1305" t="str">
        <f t="shared" si="15"/>
        <v>ALLSTATE</v>
      </c>
    </row>
    <row r="1306" spans="1:8" x14ac:dyDescent="0.25">
      <c r="E1306" t="str">
        <f>"AST201903208001"</f>
        <v>AST201903208001</v>
      </c>
      <c r="F1306" t="str">
        <f t="shared" si="14"/>
        <v>ALLSTATE</v>
      </c>
      <c r="G1306" s="2">
        <v>42.61</v>
      </c>
      <c r="H1306" t="str">
        <f t="shared" si="15"/>
        <v>ALLSTATE</v>
      </c>
    </row>
    <row r="1307" spans="1:8" x14ac:dyDescent="0.25">
      <c r="A1307" t="s">
        <v>470</v>
      </c>
      <c r="B1307">
        <v>81</v>
      </c>
      <c r="C1307" s="2">
        <v>2774.05</v>
      </c>
      <c r="D1307" s="1">
        <v>43532</v>
      </c>
      <c r="E1307" t="str">
        <f>"DDP201903067844"</f>
        <v>DDP201903067844</v>
      </c>
      <c r="F1307" t="str">
        <f>"AP - TEXAS DISCOUNT DENTAL"</f>
        <v>AP - TEXAS DISCOUNT DENTAL</v>
      </c>
      <c r="G1307" s="2">
        <v>2.7</v>
      </c>
      <c r="H1307" t="str">
        <f>"AP - TEXAS DISCOUNT DENTAL"</f>
        <v>AP - TEXAS DISCOUNT DENTAL</v>
      </c>
    </row>
    <row r="1308" spans="1:8" x14ac:dyDescent="0.25">
      <c r="E1308" t="str">
        <f>"DHM201903067844"</f>
        <v>DHM201903067844</v>
      </c>
      <c r="F1308" t="str">
        <f>"AP - DENTAL HMO"</f>
        <v>AP - DENTAL HMO</v>
      </c>
      <c r="G1308" s="2">
        <v>51.8</v>
      </c>
      <c r="H1308" t="str">
        <f>"AP - DENTAL HMO"</f>
        <v>AP - DENTAL HMO</v>
      </c>
    </row>
    <row r="1309" spans="1:8" x14ac:dyDescent="0.25">
      <c r="E1309" t="str">
        <f>"DTX201903067844"</f>
        <v>DTX201903067844</v>
      </c>
      <c r="F1309" t="str">
        <f>"AP - TEXAS DENTAL"</f>
        <v>AP - TEXAS DENTAL</v>
      </c>
      <c r="G1309" s="2">
        <v>388.16</v>
      </c>
      <c r="H1309" t="str">
        <f>"AP - TEXAS DENTAL"</f>
        <v>AP - TEXAS DENTAL</v>
      </c>
    </row>
    <row r="1310" spans="1:8" x14ac:dyDescent="0.25">
      <c r="E1310" t="str">
        <f>"FD 201903067844"</f>
        <v>FD 201903067844</v>
      </c>
      <c r="F1310" t="str">
        <f>"AP - FT DEARBORN PRE-TAX"</f>
        <v>AP - FT DEARBORN PRE-TAX</v>
      </c>
      <c r="G1310" s="2">
        <v>136.53</v>
      </c>
      <c r="H1310" t="str">
        <f>"AP - FT DEARBORN PRE-TAX"</f>
        <v>AP - FT DEARBORN PRE-TAX</v>
      </c>
    </row>
    <row r="1311" spans="1:8" x14ac:dyDescent="0.25">
      <c r="E1311" t="str">
        <f>"FDT201903067844"</f>
        <v>FDT201903067844</v>
      </c>
      <c r="F1311" t="str">
        <f>"AP - FT DEARBORN AFTER TAX"</f>
        <v>AP - FT DEARBORN AFTER TAX</v>
      </c>
      <c r="G1311" s="2">
        <v>63.7</v>
      </c>
      <c r="H1311" t="str">
        <f>"AP - FT DEARBORN AFTER TAX"</f>
        <v>AP - FT DEARBORN AFTER TAX</v>
      </c>
    </row>
    <row r="1312" spans="1:8" x14ac:dyDescent="0.25">
      <c r="E1312" t="str">
        <f>"FLX201903067844"</f>
        <v>FLX201903067844</v>
      </c>
      <c r="F1312" t="str">
        <f>"AP - TEX FLEX"</f>
        <v>AP - TEX FLEX</v>
      </c>
      <c r="G1312" s="2">
        <v>220</v>
      </c>
      <c r="H1312" t="str">
        <f>"AP - TEX FLEX"</f>
        <v>AP - TEX FLEX</v>
      </c>
    </row>
    <row r="1313" spans="1:8" x14ac:dyDescent="0.25">
      <c r="E1313" t="str">
        <f>"MHS201903067844"</f>
        <v>MHS201903067844</v>
      </c>
      <c r="F1313" t="str">
        <f>"AP - HEALTH SELECT MEDICAL"</f>
        <v>AP - HEALTH SELECT MEDICAL</v>
      </c>
      <c r="G1313" s="2">
        <v>1436.65</v>
      </c>
      <c r="H1313" t="str">
        <f>"AP - HEALTH SELECT MEDICAL"</f>
        <v>AP - HEALTH SELECT MEDICAL</v>
      </c>
    </row>
    <row r="1314" spans="1:8" x14ac:dyDescent="0.25">
      <c r="E1314" t="str">
        <f>"MSW201903067844"</f>
        <v>MSW201903067844</v>
      </c>
      <c r="F1314" t="str">
        <f>"AP - SCOTT &amp; WHITE MEDICAL"</f>
        <v>AP - SCOTT &amp; WHITE MEDICAL</v>
      </c>
      <c r="G1314" s="2">
        <v>431.02</v>
      </c>
      <c r="H1314" t="str">
        <f>"AP - SCOTT &amp; WHITE MEDICAL"</f>
        <v>AP - SCOTT &amp; WHITE MEDICAL</v>
      </c>
    </row>
    <row r="1315" spans="1:8" x14ac:dyDescent="0.25">
      <c r="E1315" t="str">
        <f>"SPE201903067844"</f>
        <v>SPE201903067844</v>
      </c>
      <c r="F1315" t="str">
        <f>"AP - STATE VISION"</f>
        <v>AP - STATE VISION</v>
      </c>
      <c r="G1315" s="2">
        <v>43.49</v>
      </c>
      <c r="H1315" t="str">
        <f>"AP - STATE VISION"</f>
        <v>AP - STATE VISION</v>
      </c>
    </row>
    <row r="1316" spans="1:8" x14ac:dyDescent="0.25">
      <c r="A1316" t="s">
        <v>470</v>
      </c>
      <c r="B1316">
        <v>88</v>
      </c>
      <c r="C1316" s="2">
        <v>2774.05</v>
      </c>
      <c r="D1316" s="1">
        <v>43546</v>
      </c>
      <c r="E1316" t="str">
        <f>"DDP201903208002"</f>
        <v>DDP201903208002</v>
      </c>
      <c r="F1316" t="str">
        <f>"AP - TEXAS DISCOUNT DENTAL"</f>
        <v>AP - TEXAS DISCOUNT DENTAL</v>
      </c>
      <c r="G1316" s="2">
        <v>2.7</v>
      </c>
      <c r="H1316" t="str">
        <f>"AP - TEXAS DISCOUNT DENTAL"</f>
        <v>AP - TEXAS DISCOUNT DENTAL</v>
      </c>
    </row>
    <row r="1317" spans="1:8" x14ac:dyDescent="0.25">
      <c r="E1317" t="str">
        <f>"DHM201903208002"</f>
        <v>DHM201903208002</v>
      </c>
      <c r="F1317" t="str">
        <f>"AP - DENTAL HMO"</f>
        <v>AP - DENTAL HMO</v>
      </c>
      <c r="G1317" s="2">
        <v>51.8</v>
      </c>
      <c r="H1317" t="str">
        <f>"AP - DENTAL HMO"</f>
        <v>AP - DENTAL HMO</v>
      </c>
    </row>
    <row r="1318" spans="1:8" x14ac:dyDescent="0.25">
      <c r="E1318" t="str">
        <f>"DTX201903208002"</f>
        <v>DTX201903208002</v>
      </c>
      <c r="F1318" t="str">
        <f>"AP - TEXAS DENTAL"</f>
        <v>AP - TEXAS DENTAL</v>
      </c>
      <c r="G1318" s="2">
        <v>388.16</v>
      </c>
      <c r="H1318" t="str">
        <f>"AP - TEXAS DENTAL"</f>
        <v>AP - TEXAS DENTAL</v>
      </c>
    </row>
    <row r="1319" spans="1:8" x14ac:dyDescent="0.25">
      <c r="E1319" t="str">
        <f>"FD 201903208002"</f>
        <v>FD 201903208002</v>
      </c>
      <c r="F1319" t="str">
        <f>"AP - FT DEARBORN PRE-TAX"</f>
        <v>AP - FT DEARBORN PRE-TAX</v>
      </c>
      <c r="G1319" s="2">
        <v>136.53</v>
      </c>
      <c r="H1319" t="str">
        <f>"AP - FT DEARBORN PRE-TAX"</f>
        <v>AP - FT DEARBORN PRE-TAX</v>
      </c>
    </row>
    <row r="1320" spans="1:8" x14ac:dyDescent="0.25">
      <c r="E1320" t="str">
        <f>"FDT201903208002"</f>
        <v>FDT201903208002</v>
      </c>
      <c r="F1320" t="str">
        <f>"AP - FT DEARBORN AFTER TAX"</f>
        <v>AP - FT DEARBORN AFTER TAX</v>
      </c>
      <c r="G1320" s="2">
        <v>63.7</v>
      </c>
      <c r="H1320" t="str">
        <f>"AP - FT DEARBORN AFTER TAX"</f>
        <v>AP - FT DEARBORN AFTER TAX</v>
      </c>
    </row>
    <row r="1321" spans="1:8" x14ac:dyDescent="0.25">
      <c r="E1321" t="str">
        <f>"FLX201903208002"</f>
        <v>FLX201903208002</v>
      </c>
      <c r="F1321" t="str">
        <f>"AP - TEX FLEX"</f>
        <v>AP - TEX FLEX</v>
      </c>
      <c r="G1321" s="2">
        <v>220</v>
      </c>
      <c r="H1321" t="str">
        <f>"AP - TEX FLEX"</f>
        <v>AP - TEX FLEX</v>
      </c>
    </row>
    <row r="1322" spans="1:8" x14ac:dyDescent="0.25">
      <c r="E1322" t="str">
        <f>"MHS201903208002"</f>
        <v>MHS201903208002</v>
      </c>
      <c r="F1322" t="str">
        <f>"AP - HEALTH SELECT MEDICAL"</f>
        <v>AP - HEALTH SELECT MEDICAL</v>
      </c>
      <c r="G1322" s="2">
        <v>1436.65</v>
      </c>
      <c r="H1322" t="str">
        <f>"AP - HEALTH SELECT MEDICAL"</f>
        <v>AP - HEALTH SELECT MEDICAL</v>
      </c>
    </row>
    <row r="1323" spans="1:8" x14ac:dyDescent="0.25">
      <c r="E1323" t="str">
        <f>"MSW201903208002"</f>
        <v>MSW201903208002</v>
      </c>
      <c r="F1323" t="str">
        <f>"AP - SCOTT &amp; WHITE MEDICAL"</f>
        <v>AP - SCOTT &amp; WHITE MEDICAL</v>
      </c>
      <c r="G1323" s="2">
        <v>431.02</v>
      </c>
      <c r="H1323" t="str">
        <f>"AP - SCOTT &amp; WHITE MEDICAL"</f>
        <v>AP - SCOTT &amp; WHITE MEDICAL</v>
      </c>
    </row>
    <row r="1324" spans="1:8" x14ac:dyDescent="0.25">
      <c r="E1324" t="str">
        <f>"SPE201903208002"</f>
        <v>SPE201903208002</v>
      </c>
      <c r="F1324" t="str">
        <f>"AP - STATE VISION"</f>
        <v>AP - STATE VISION</v>
      </c>
      <c r="G1324" s="2">
        <v>43.49</v>
      </c>
      <c r="H1324" t="str">
        <f>"AP - STATE VISION"</f>
        <v>AP - STATE VISION</v>
      </c>
    </row>
    <row r="1325" spans="1:8" x14ac:dyDescent="0.25">
      <c r="A1325" t="s">
        <v>471</v>
      </c>
      <c r="B1325">
        <v>99</v>
      </c>
      <c r="C1325" s="2">
        <v>4642.2299999999996</v>
      </c>
      <c r="D1325" s="1">
        <v>43552</v>
      </c>
      <c r="E1325" t="str">
        <f>"201903288174"</f>
        <v>201903288174</v>
      </c>
      <c r="F1325" t="str">
        <f>"COLONIAL LIFE &amp; ACCIDENT INS."</f>
        <v>COLONIAL LIFE &amp; ACCIDENT INS.</v>
      </c>
      <c r="G1325" s="2">
        <v>88.46</v>
      </c>
      <c r="H1325" t="str">
        <f>"COLONIAL LIFE &amp; ACCIDENT INS."</f>
        <v>COLONIAL LIFE &amp; ACCIDENT INS.</v>
      </c>
    </row>
    <row r="1326" spans="1:8" x14ac:dyDescent="0.25">
      <c r="E1326" t="str">
        <f>"CL 201903067820"</f>
        <v>CL 201903067820</v>
      </c>
      <c r="F1326" t="str">
        <f t="shared" ref="F1326:F1345" si="16">"COLONIAL"</f>
        <v>COLONIAL</v>
      </c>
      <c r="G1326" s="2">
        <v>14.49</v>
      </c>
      <c r="H1326" t="str">
        <f t="shared" ref="H1326:H1345" si="17">"COLONIAL"</f>
        <v>COLONIAL</v>
      </c>
    </row>
    <row r="1327" spans="1:8" x14ac:dyDescent="0.25">
      <c r="E1327" t="str">
        <f>"CL 201903067843"</f>
        <v>CL 201903067843</v>
      </c>
      <c r="F1327" t="str">
        <f t="shared" si="16"/>
        <v>COLONIAL</v>
      </c>
      <c r="G1327" s="2">
        <v>676.2</v>
      </c>
      <c r="H1327" t="str">
        <f t="shared" si="17"/>
        <v>COLONIAL</v>
      </c>
    </row>
    <row r="1328" spans="1:8" x14ac:dyDescent="0.25">
      <c r="E1328" t="str">
        <f>"CL 201903208000"</f>
        <v>CL 201903208000</v>
      </c>
      <c r="F1328" t="str">
        <f t="shared" si="16"/>
        <v>COLONIAL</v>
      </c>
      <c r="G1328" s="2">
        <v>676.2</v>
      </c>
      <c r="H1328" t="str">
        <f t="shared" si="17"/>
        <v>COLONIAL</v>
      </c>
    </row>
    <row r="1329" spans="5:8" x14ac:dyDescent="0.25">
      <c r="E1329" t="str">
        <f>"CL 201903208001"</f>
        <v>CL 201903208001</v>
      </c>
      <c r="F1329" t="str">
        <f t="shared" si="16"/>
        <v>COLONIAL</v>
      </c>
      <c r="G1329" s="2">
        <v>14.49</v>
      </c>
      <c r="H1329" t="str">
        <f t="shared" si="17"/>
        <v>COLONIAL</v>
      </c>
    </row>
    <row r="1330" spans="5:8" x14ac:dyDescent="0.25">
      <c r="E1330" t="str">
        <f>"CLC201903067843"</f>
        <v>CLC201903067843</v>
      </c>
      <c r="F1330" t="str">
        <f t="shared" si="16"/>
        <v>COLONIAL</v>
      </c>
      <c r="G1330" s="2">
        <v>33.99</v>
      </c>
      <c r="H1330" t="str">
        <f t="shared" si="17"/>
        <v>COLONIAL</v>
      </c>
    </row>
    <row r="1331" spans="5:8" x14ac:dyDescent="0.25">
      <c r="E1331" t="str">
        <f>"CLC201903208000"</f>
        <v>CLC201903208000</v>
      </c>
      <c r="F1331" t="str">
        <f t="shared" si="16"/>
        <v>COLONIAL</v>
      </c>
      <c r="G1331" s="2">
        <v>33.99</v>
      </c>
      <c r="H1331" t="str">
        <f t="shared" si="17"/>
        <v>COLONIAL</v>
      </c>
    </row>
    <row r="1332" spans="5:8" x14ac:dyDescent="0.25">
      <c r="E1332" t="str">
        <f>"CLI201903067843"</f>
        <v>CLI201903067843</v>
      </c>
      <c r="F1332" t="str">
        <f t="shared" si="16"/>
        <v>COLONIAL</v>
      </c>
      <c r="G1332" s="2">
        <v>565.26</v>
      </c>
      <c r="H1332" t="str">
        <f t="shared" si="17"/>
        <v>COLONIAL</v>
      </c>
    </row>
    <row r="1333" spans="5:8" x14ac:dyDescent="0.25">
      <c r="E1333" t="str">
        <f>"CLI201903208000"</f>
        <v>CLI201903208000</v>
      </c>
      <c r="F1333" t="str">
        <f t="shared" si="16"/>
        <v>COLONIAL</v>
      </c>
      <c r="G1333" s="2">
        <v>565.26</v>
      </c>
      <c r="H1333" t="str">
        <f t="shared" si="17"/>
        <v>COLONIAL</v>
      </c>
    </row>
    <row r="1334" spans="5:8" x14ac:dyDescent="0.25">
      <c r="E1334" t="str">
        <f>"CLK201903067843"</f>
        <v>CLK201903067843</v>
      </c>
      <c r="F1334" t="str">
        <f t="shared" si="16"/>
        <v>COLONIAL</v>
      </c>
      <c r="G1334" s="2">
        <v>27.09</v>
      </c>
      <c r="H1334" t="str">
        <f t="shared" si="17"/>
        <v>COLONIAL</v>
      </c>
    </row>
    <row r="1335" spans="5:8" x14ac:dyDescent="0.25">
      <c r="E1335" t="str">
        <f>"CLK201903208000"</f>
        <v>CLK201903208000</v>
      </c>
      <c r="F1335" t="str">
        <f t="shared" si="16"/>
        <v>COLONIAL</v>
      </c>
      <c r="G1335" s="2">
        <v>27.09</v>
      </c>
      <c r="H1335" t="str">
        <f t="shared" si="17"/>
        <v>COLONIAL</v>
      </c>
    </row>
    <row r="1336" spans="5:8" x14ac:dyDescent="0.25">
      <c r="E1336" t="str">
        <f>"CLS201903067820"</f>
        <v>CLS201903067820</v>
      </c>
      <c r="F1336" t="str">
        <f t="shared" si="16"/>
        <v>COLONIAL</v>
      </c>
      <c r="G1336" s="2">
        <v>28.57</v>
      </c>
      <c r="H1336" t="str">
        <f t="shared" si="17"/>
        <v>COLONIAL</v>
      </c>
    </row>
    <row r="1337" spans="5:8" x14ac:dyDescent="0.25">
      <c r="E1337" t="str">
        <f>"CLS201903067843"</f>
        <v>CLS201903067843</v>
      </c>
      <c r="F1337" t="str">
        <f t="shared" si="16"/>
        <v>COLONIAL</v>
      </c>
      <c r="G1337" s="2">
        <v>441.06</v>
      </c>
      <c r="H1337" t="str">
        <f t="shared" si="17"/>
        <v>COLONIAL</v>
      </c>
    </row>
    <row r="1338" spans="5:8" x14ac:dyDescent="0.25">
      <c r="E1338" t="str">
        <f>"CLS201903208000"</f>
        <v>CLS201903208000</v>
      </c>
      <c r="F1338" t="str">
        <f t="shared" si="16"/>
        <v>COLONIAL</v>
      </c>
      <c r="G1338" s="2">
        <v>264.51</v>
      </c>
      <c r="H1338" t="str">
        <f t="shared" si="17"/>
        <v>COLONIAL</v>
      </c>
    </row>
    <row r="1339" spans="5:8" x14ac:dyDescent="0.25">
      <c r="E1339" t="str">
        <f>"CLS201903208001"</f>
        <v>CLS201903208001</v>
      </c>
      <c r="F1339" t="str">
        <f t="shared" si="16"/>
        <v>COLONIAL</v>
      </c>
      <c r="G1339" s="2">
        <v>28.57</v>
      </c>
      <c r="H1339" t="str">
        <f t="shared" si="17"/>
        <v>COLONIAL</v>
      </c>
    </row>
    <row r="1340" spans="5:8" x14ac:dyDescent="0.25">
      <c r="E1340" t="str">
        <f>"CLT201903067843"</f>
        <v>CLT201903067843</v>
      </c>
      <c r="F1340" t="str">
        <f t="shared" si="16"/>
        <v>COLONIAL</v>
      </c>
      <c r="G1340" s="2">
        <v>325.14</v>
      </c>
      <c r="H1340" t="str">
        <f t="shared" si="17"/>
        <v>COLONIAL</v>
      </c>
    </row>
    <row r="1341" spans="5:8" x14ac:dyDescent="0.25">
      <c r="E1341" t="str">
        <f>"CLT201903208000"</f>
        <v>CLT201903208000</v>
      </c>
      <c r="F1341" t="str">
        <f t="shared" si="16"/>
        <v>COLONIAL</v>
      </c>
      <c r="G1341" s="2">
        <v>325.14</v>
      </c>
      <c r="H1341" t="str">
        <f t="shared" si="17"/>
        <v>COLONIAL</v>
      </c>
    </row>
    <row r="1342" spans="5:8" x14ac:dyDescent="0.25">
      <c r="E1342" t="str">
        <f>"CLU201903067843"</f>
        <v>CLU201903067843</v>
      </c>
      <c r="F1342" t="str">
        <f t="shared" si="16"/>
        <v>COLONIAL</v>
      </c>
      <c r="G1342" s="2">
        <v>111.55</v>
      </c>
      <c r="H1342" t="str">
        <f t="shared" si="17"/>
        <v>COLONIAL</v>
      </c>
    </row>
    <row r="1343" spans="5:8" x14ac:dyDescent="0.25">
      <c r="E1343" t="str">
        <f>"CLU201903208000"</f>
        <v>CLU201903208000</v>
      </c>
      <c r="F1343" t="str">
        <f t="shared" si="16"/>
        <v>COLONIAL</v>
      </c>
      <c r="G1343" s="2">
        <v>111.55</v>
      </c>
      <c r="H1343" t="str">
        <f t="shared" si="17"/>
        <v>COLONIAL</v>
      </c>
    </row>
    <row r="1344" spans="5:8" x14ac:dyDescent="0.25">
      <c r="E1344" t="str">
        <f>"CLW201903067843"</f>
        <v>CLW201903067843</v>
      </c>
      <c r="F1344" t="str">
        <f t="shared" si="16"/>
        <v>COLONIAL</v>
      </c>
      <c r="G1344" s="2">
        <v>141.81</v>
      </c>
      <c r="H1344" t="str">
        <f t="shared" si="17"/>
        <v>COLONIAL</v>
      </c>
    </row>
    <row r="1345" spans="1:8" x14ac:dyDescent="0.25">
      <c r="E1345" t="str">
        <f>"CLW201903208000"</f>
        <v>CLW201903208000</v>
      </c>
      <c r="F1345" t="str">
        <f t="shared" si="16"/>
        <v>COLONIAL</v>
      </c>
      <c r="G1345" s="2">
        <v>141.81</v>
      </c>
      <c r="H1345" t="str">
        <f t="shared" si="17"/>
        <v>COLONIAL</v>
      </c>
    </row>
    <row r="1346" spans="1:8" x14ac:dyDescent="0.25">
      <c r="A1346" t="s">
        <v>111</v>
      </c>
      <c r="B1346">
        <v>82</v>
      </c>
      <c r="C1346" s="2">
        <v>6507.98</v>
      </c>
      <c r="D1346" s="1">
        <v>43532</v>
      </c>
      <c r="E1346" t="str">
        <f>"CPI201903067820"</f>
        <v>CPI201903067820</v>
      </c>
      <c r="F1346" t="str">
        <f>"DEFERRED COMP 457B PAYABLE"</f>
        <v>DEFERRED COMP 457B PAYABLE</v>
      </c>
      <c r="G1346" s="2">
        <v>107.5</v>
      </c>
      <c r="H1346" t="str">
        <f>"DEFERRED COMP 457B PAYABLE"</f>
        <v>DEFERRED COMP 457B PAYABLE</v>
      </c>
    </row>
    <row r="1347" spans="1:8" x14ac:dyDescent="0.25">
      <c r="E1347" t="str">
        <f>"CPI201903067843"</f>
        <v>CPI201903067843</v>
      </c>
      <c r="F1347" t="str">
        <f>"DEFERRED COMP 457B PAYABLE"</f>
        <v>DEFERRED COMP 457B PAYABLE</v>
      </c>
      <c r="G1347" s="2">
        <v>6400.48</v>
      </c>
      <c r="H1347" t="str">
        <f>"DEFERRED COMP 457B PAYABLE"</f>
        <v>DEFERRED COMP 457B PAYABLE</v>
      </c>
    </row>
    <row r="1348" spans="1:8" x14ac:dyDescent="0.25">
      <c r="A1348" t="s">
        <v>111</v>
      </c>
      <c r="B1348">
        <v>89</v>
      </c>
      <c r="C1348" s="2">
        <v>6515.08</v>
      </c>
      <c r="D1348" s="1">
        <v>43546</v>
      </c>
      <c r="E1348" t="str">
        <f>"CPI201903208000"</f>
        <v>CPI201903208000</v>
      </c>
      <c r="F1348" t="str">
        <f>"DEFERRED COMP 457B PAYABLE"</f>
        <v>DEFERRED COMP 457B PAYABLE</v>
      </c>
      <c r="G1348" s="2">
        <v>6407.58</v>
      </c>
      <c r="H1348" t="str">
        <f>"DEFERRED COMP 457B PAYABLE"</f>
        <v>DEFERRED COMP 457B PAYABLE</v>
      </c>
    </row>
    <row r="1349" spans="1:8" x14ac:dyDescent="0.25">
      <c r="E1349" t="str">
        <f>"CPI201903208001"</f>
        <v>CPI201903208001</v>
      </c>
      <c r="F1349" t="str">
        <f>"DEFERRED COMP 457B PAYABLE"</f>
        <v>DEFERRED COMP 457B PAYABLE</v>
      </c>
      <c r="G1349" s="2">
        <v>107.5</v>
      </c>
      <c r="H1349" t="str">
        <f>"DEFERRED COMP 457B PAYABLE"</f>
        <v>DEFERRED COMP 457B PAYABLE</v>
      </c>
    </row>
    <row r="1350" spans="1:8" x14ac:dyDescent="0.25">
      <c r="A1350" t="s">
        <v>472</v>
      </c>
      <c r="B1350">
        <v>47337</v>
      </c>
      <c r="C1350" s="2">
        <v>853.85</v>
      </c>
      <c r="D1350" s="1">
        <v>43532</v>
      </c>
      <c r="E1350" t="str">
        <f>"B13201903067843"</f>
        <v>B13201903067843</v>
      </c>
      <c r="F1350" t="str">
        <f>"Rosa Warren 15-10357-TMD"</f>
        <v>Rosa Warren 15-10357-TMD</v>
      </c>
      <c r="G1350" s="2">
        <v>853.85</v>
      </c>
      <c r="H1350" t="str">
        <f>"Rosa Warren 15-10357-TMD"</f>
        <v>Rosa Warren 15-10357-TMD</v>
      </c>
    </row>
    <row r="1351" spans="1:8" x14ac:dyDescent="0.25">
      <c r="A1351" t="s">
        <v>472</v>
      </c>
      <c r="B1351">
        <v>47362</v>
      </c>
      <c r="C1351" s="2">
        <v>853.85</v>
      </c>
      <c r="D1351" s="1">
        <v>43546</v>
      </c>
      <c r="E1351" t="str">
        <f>"B13201903208000"</f>
        <v>B13201903208000</v>
      </c>
      <c r="F1351" t="str">
        <f>"Rosa Warren 15-10357-TMD"</f>
        <v>Rosa Warren 15-10357-TMD</v>
      </c>
      <c r="G1351" s="2">
        <v>853.85</v>
      </c>
      <c r="H1351" t="str">
        <f>"Rosa Warren 15-10357-TMD"</f>
        <v>Rosa Warren 15-10357-TMD</v>
      </c>
    </row>
    <row r="1352" spans="1:8" x14ac:dyDescent="0.25">
      <c r="A1352" t="s">
        <v>473</v>
      </c>
      <c r="B1352">
        <v>95</v>
      </c>
      <c r="C1352" s="2">
        <v>40723.370000000003</v>
      </c>
      <c r="D1352" s="1">
        <v>43552</v>
      </c>
      <c r="E1352" t="str">
        <f>"201903288167"</f>
        <v>201903288167</v>
      </c>
      <c r="F1352" t="str">
        <f>"GUARDIAN Guardian Dental/Visio"</f>
        <v>GUARDIAN Guardian Dental/Visio</v>
      </c>
      <c r="G1352" s="2">
        <v>3108.62</v>
      </c>
      <c r="H1352" t="str">
        <f>"GUARDIAN Guardian Dental/Visio"</f>
        <v>GUARDIAN Guardian Dental/Visio</v>
      </c>
    </row>
    <row r="1353" spans="1:8" x14ac:dyDescent="0.25">
      <c r="E1353" t="str">
        <f>"201903288168"</f>
        <v>201903288168</v>
      </c>
      <c r="F1353" t="str">
        <f>"GUARDIAN Vision"</f>
        <v>GUARDIAN Vision</v>
      </c>
      <c r="G1353" s="2">
        <v>103.72</v>
      </c>
      <c r="H1353" t="str">
        <f>"GUARDIAN Vision"</f>
        <v>GUARDIAN Vision</v>
      </c>
    </row>
    <row r="1354" spans="1:8" x14ac:dyDescent="0.25">
      <c r="E1354" t="str">
        <f>"201903288169"</f>
        <v>201903288169</v>
      </c>
      <c r="F1354" t="str">
        <f>"GUARDIAN rounding"</f>
        <v>GUARDIAN rounding</v>
      </c>
      <c r="G1354" s="2">
        <v>7.69</v>
      </c>
      <c r="H1354" t="str">
        <f>"GUARDIAN rounding"</f>
        <v>GUARDIAN rounding</v>
      </c>
    </row>
    <row r="1355" spans="1:8" x14ac:dyDescent="0.25">
      <c r="E1355" t="str">
        <f>"201903288170"</f>
        <v>201903288170</v>
      </c>
      <c r="F1355" t="str">
        <f>"Amt added match signed bill"</f>
        <v>Amt added match signed bill</v>
      </c>
      <c r="G1355" s="2">
        <v>253.63</v>
      </c>
      <c r="H1355" t="str">
        <f>"Amt added match signed bill"</f>
        <v>Amt added match signed bill</v>
      </c>
    </row>
    <row r="1356" spans="1:8" x14ac:dyDescent="0.25">
      <c r="E1356" t="str">
        <f>"ADC201903067820"</f>
        <v>ADC201903067820</v>
      </c>
      <c r="F1356" t="str">
        <f t="shared" ref="F1356:F1368" si="18">"GUARDIAN"</f>
        <v>GUARDIAN</v>
      </c>
      <c r="G1356" s="2">
        <v>0.16</v>
      </c>
      <c r="H1356" t="str">
        <f t="shared" ref="H1356:H1419" si="19">"GUARDIAN"</f>
        <v>GUARDIAN</v>
      </c>
    </row>
    <row r="1357" spans="1:8" x14ac:dyDescent="0.25">
      <c r="E1357" t="str">
        <f>"ADC201903067843"</f>
        <v>ADC201903067843</v>
      </c>
      <c r="F1357" t="str">
        <f t="shared" si="18"/>
        <v>GUARDIAN</v>
      </c>
      <c r="G1357" s="2">
        <v>4.82</v>
      </c>
      <c r="H1357" t="str">
        <f t="shared" si="19"/>
        <v>GUARDIAN</v>
      </c>
    </row>
    <row r="1358" spans="1:8" x14ac:dyDescent="0.25">
      <c r="E1358" t="str">
        <f>"ADC201903208000"</f>
        <v>ADC201903208000</v>
      </c>
      <c r="F1358" t="str">
        <f t="shared" si="18"/>
        <v>GUARDIAN</v>
      </c>
      <c r="G1358" s="2">
        <v>4.82</v>
      </c>
      <c r="H1358" t="str">
        <f t="shared" si="19"/>
        <v>GUARDIAN</v>
      </c>
    </row>
    <row r="1359" spans="1:8" x14ac:dyDescent="0.25">
      <c r="E1359" t="str">
        <f>"ADC201903208001"</f>
        <v>ADC201903208001</v>
      </c>
      <c r="F1359" t="str">
        <f t="shared" si="18"/>
        <v>GUARDIAN</v>
      </c>
      <c r="G1359" s="2">
        <v>0.16</v>
      </c>
      <c r="H1359" t="str">
        <f t="shared" si="19"/>
        <v>GUARDIAN</v>
      </c>
    </row>
    <row r="1360" spans="1:8" x14ac:dyDescent="0.25">
      <c r="E1360" t="str">
        <f>"ADE201903067820"</f>
        <v>ADE201903067820</v>
      </c>
      <c r="F1360" t="str">
        <f t="shared" si="18"/>
        <v>GUARDIAN</v>
      </c>
      <c r="G1360" s="2">
        <v>6.3</v>
      </c>
      <c r="H1360" t="str">
        <f t="shared" si="19"/>
        <v>GUARDIAN</v>
      </c>
    </row>
    <row r="1361" spans="5:8" x14ac:dyDescent="0.25">
      <c r="E1361" t="str">
        <f>"ADE201903067843"</f>
        <v>ADE201903067843</v>
      </c>
      <c r="F1361" t="str">
        <f t="shared" si="18"/>
        <v>GUARDIAN</v>
      </c>
      <c r="G1361" s="2">
        <v>224.22</v>
      </c>
      <c r="H1361" t="str">
        <f t="shared" si="19"/>
        <v>GUARDIAN</v>
      </c>
    </row>
    <row r="1362" spans="5:8" x14ac:dyDescent="0.25">
      <c r="E1362" t="str">
        <f>"ADE201903208000"</f>
        <v>ADE201903208000</v>
      </c>
      <c r="F1362" t="str">
        <f t="shared" si="18"/>
        <v>GUARDIAN</v>
      </c>
      <c r="G1362" s="2">
        <v>209.21</v>
      </c>
      <c r="H1362" t="str">
        <f t="shared" si="19"/>
        <v>GUARDIAN</v>
      </c>
    </row>
    <row r="1363" spans="5:8" x14ac:dyDescent="0.25">
      <c r="E1363" t="str">
        <f>"ADE201903208001"</f>
        <v>ADE201903208001</v>
      </c>
      <c r="F1363" t="str">
        <f t="shared" si="18"/>
        <v>GUARDIAN</v>
      </c>
      <c r="G1363" s="2">
        <v>6.3</v>
      </c>
      <c r="H1363" t="str">
        <f t="shared" si="19"/>
        <v>GUARDIAN</v>
      </c>
    </row>
    <row r="1364" spans="5:8" x14ac:dyDescent="0.25">
      <c r="E1364" t="str">
        <f>"ADS201903067820"</f>
        <v>ADS201903067820</v>
      </c>
      <c r="F1364" t="str">
        <f t="shared" si="18"/>
        <v>GUARDIAN</v>
      </c>
      <c r="G1364" s="2">
        <v>0.53</v>
      </c>
      <c r="H1364" t="str">
        <f t="shared" si="19"/>
        <v>GUARDIAN</v>
      </c>
    </row>
    <row r="1365" spans="5:8" x14ac:dyDescent="0.25">
      <c r="E1365" t="str">
        <f>"ADS201903067843"</f>
        <v>ADS201903067843</v>
      </c>
      <c r="F1365" t="str">
        <f t="shared" si="18"/>
        <v>GUARDIAN</v>
      </c>
      <c r="G1365" s="2">
        <v>39.119999999999997</v>
      </c>
      <c r="H1365" t="str">
        <f t="shared" si="19"/>
        <v>GUARDIAN</v>
      </c>
    </row>
    <row r="1366" spans="5:8" x14ac:dyDescent="0.25">
      <c r="E1366" t="str">
        <f>"ADS201903208000"</f>
        <v>ADS201903208000</v>
      </c>
      <c r="F1366" t="str">
        <f t="shared" si="18"/>
        <v>GUARDIAN</v>
      </c>
      <c r="G1366" s="2">
        <v>39.119999999999997</v>
      </c>
      <c r="H1366" t="str">
        <f t="shared" si="19"/>
        <v>GUARDIAN</v>
      </c>
    </row>
    <row r="1367" spans="5:8" x14ac:dyDescent="0.25">
      <c r="E1367" t="str">
        <f>"ADS201903208001"</f>
        <v>ADS201903208001</v>
      </c>
      <c r="F1367" t="str">
        <f t="shared" si="18"/>
        <v>GUARDIAN</v>
      </c>
      <c r="G1367" s="2">
        <v>0.53</v>
      </c>
      <c r="H1367" t="str">
        <f t="shared" si="19"/>
        <v>GUARDIAN</v>
      </c>
    </row>
    <row r="1368" spans="5:8" x14ac:dyDescent="0.25">
      <c r="E1368" t="str">
        <f>"GDC201903067820"</f>
        <v>GDC201903067820</v>
      </c>
      <c r="F1368" t="str">
        <f t="shared" si="18"/>
        <v>GUARDIAN</v>
      </c>
      <c r="G1368" s="2">
        <v>135.84</v>
      </c>
      <c r="H1368" t="str">
        <f t="shared" si="19"/>
        <v>GUARDIAN</v>
      </c>
    </row>
    <row r="1369" spans="5:8" x14ac:dyDescent="0.25">
      <c r="E1369" t="str">
        <f>""</f>
        <v/>
      </c>
      <c r="F1369" t="str">
        <f>""</f>
        <v/>
      </c>
      <c r="H1369" t="str">
        <f t="shared" si="19"/>
        <v>GUARDIAN</v>
      </c>
    </row>
    <row r="1370" spans="5:8" x14ac:dyDescent="0.25">
      <c r="E1370" t="str">
        <f>"GDC201903067843"</f>
        <v>GDC201903067843</v>
      </c>
      <c r="F1370" t="str">
        <f>"GUARDIAN"</f>
        <v>GUARDIAN</v>
      </c>
      <c r="G1370" s="2">
        <v>2614.92</v>
      </c>
      <c r="H1370" t="str">
        <f t="shared" si="19"/>
        <v>GUARDIAN</v>
      </c>
    </row>
    <row r="1371" spans="5:8" x14ac:dyDescent="0.25">
      <c r="E1371" t="str">
        <f>""</f>
        <v/>
      </c>
      <c r="F1371" t="str">
        <f>""</f>
        <v/>
      </c>
      <c r="H1371" t="str">
        <f t="shared" si="19"/>
        <v>GUARDIAN</v>
      </c>
    </row>
    <row r="1372" spans="5:8" x14ac:dyDescent="0.25">
      <c r="E1372" t="str">
        <f>""</f>
        <v/>
      </c>
      <c r="F1372" t="str">
        <f>""</f>
        <v/>
      </c>
      <c r="H1372" t="str">
        <f t="shared" si="19"/>
        <v>GUARDIAN</v>
      </c>
    </row>
    <row r="1373" spans="5:8" x14ac:dyDescent="0.25">
      <c r="E1373" t="str">
        <f>""</f>
        <v/>
      </c>
      <c r="F1373" t="str">
        <f>""</f>
        <v/>
      </c>
      <c r="H1373" t="str">
        <f t="shared" si="19"/>
        <v>GUARDIAN</v>
      </c>
    </row>
    <row r="1374" spans="5:8" x14ac:dyDescent="0.25">
      <c r="E1374" t="str">
        <f>""</f>
        <v/>
      </c>
      <c r="F1374" t="str">
        <f>""</f>
        <v/>
      </c>
      <c r="H1374" t="str">
        <f t="shared" si="19"/>
        <v>GUARDIAN</v>
      </c>
    </row>
    <row r="1375" spans="5:8" x14ac:dyDescent="0.25">
      <c r="E1375" t="str">
        <f>""</f>
        <v/>
      </c>
      <c r="F1375" t="str">
        <f>""</f>
        <v/>
      </c>
      <c r="H1375" t="str">
        <f t="shared" si="19"/>
        <v>GUARDIAN</v>
      </c>
    </row>
    <row r="1376" spans="5:8" x14ac:dyDescent="0.25">
      <c r="E1376" t="str">
        <f>""</f>
        <v/>
      </c>
      <c r="F1376" t="str">
        <f>""</f>
        <v/>
      </c>
      <c r="H1376" t="str">
        <f t="shared" si="19"/>
        <v>GUARDIAN</v>
      </c>
    </row>
    <row r="1377" spans="5:8" x14ac:dyDescent="0.25">
      <c r="E1377" t="str">
        <f>""</f>
        <v/>
      </c>
      <c r="F1377" t="str">
        <f>""</f>
        <v/>
      </c>
      <c r="H1377" t="str">
        <f t="shared" si="19"/>
        <v>GUARDIAN</v>
      </c>
    </row>
    <row r="1378" spans="5:8" x14ac:dyDescent="0.25">
      <c r="E1378" t="str">
        <f>""</f>
        <v/>
      </c>
      <c r="F1378" t="str">
        <f>""</f>
        <v/>
      </c>
      <c r="H1378" t="str">
        <f t="shared" si="19"/>
        <v>GUARDIAN</v>
      </c>
    </row>
    <row r="1379" spans="5:8" x14ac:dyDescent="0.25">
      <c r="E1379" t="str">
        <f>""</f>
        <v/>
      </c>
      <c r="F1379" t="str">
        <f>""</f>
        <v/>
      </c>
      <c r="H1379" t="str">
        <f t="shared" si="19"/>
        <v>GUARDIAN</v>
      </c>
    </row>
    <row r="1380" spans="5:8" x14ac:dyDescent="0.25">
      <c r="E1380" t="str">
        <f>""</f>
        <v/>
      </c>
      <c r="F1380" t="str">
        <f>""</f>
        <v/>
      </c>
      <c r="H1380" t="str">
        <f t="shared" si="19"/>
        <v>GUARDIAN</v>
      </c>
    </row>
    <row r="1381" spans="5:8" x14ac:dyDescent="0.25">
      <c r="E1381" t="str">
        <f>""</f>
        <v/>
      </c>
      <c r="F1381" t="str">
        <f>""</f>
        <v/>
      </c>
      <c r="H1381" t="str">
        <f t="shared" si="19"/>
        <v>GUARDIAN</v>
      </c>
    </row>
    <row r="1382" spans="5:8" x14ac:dyDescent="0.25">
      <c r="E1382" t="str">
        <f>""</f>
        <v/>
      </c>
      <c r="F1382" t="str">
        <f>""</f>
        <v/>
      </c>
      <c r="H1382" t="str">
        <f t="shared" si="19"/>
        <v>GUARDIAN</v>
      </c>
    </row>
    <row r="1383" spans="5:8" x14ac:dyDescent="0.25">
      <c r="E1383" t="str">
        <f>""</f>
        <v/>
      </c>
      <c r="F1383" t="str">
        <f>""</f>
        <v/>
      </c>
      <c r="H1383" t="str">
        <f t="shared" si="19"/>
        <v>GUARDIAN</v>
      </c>
    </row>
    <row r="1384" spans="5:8" x14ac:dyDescent="0.25">
      <c r="E1384" t="str">
        <f>""</f>
        <v/>
      </c>
      <c r="F1384" t="str">
        <f>""</f>
        <v/>
      </c>
      <c r="H1384" t="str">
        <f t="shared" si="19"/>
        <v>GUARDIAN</v>
      </c>
    </row>
    <row r="1385" spans="5:8" x14ac:dyDescent="0.25">
      <c r="E1385" t="str">
        <f>""</f>
        <v/>
      </c>
      <c r="F1385" t="str">
        <f>""</f>
        <v/>
      </c>
      <c r="H1385" t="str">
        <f t="shared" si="19"/>
        <v>GUARDIAN</v>
      </c>
    </row>
    <row r="1386" spans="5:8" x14ac:dyDescent="0.25">
      <c r="E1386" t="str">
        <f>""</f>
        <v/>
      </c>
      <c r="F1386" t="str">
        <f>""</f>
        <v/>
      </c>
      <c r="H1386" t="str">
        <f t="shared" si="19"/>
        <v>GUARDIAN</v>
      </c>
    </row>
    <row r="1387" spans="5:8" x14ac:dyDescent="0.25">
      <c r="E1387" t="str">
        <f>""</f>
        <v/>
      </c>
      <c r="F1387" t="str">
        <f>""</f>
        <v/>
      </c>
      <c r="H1387" t="str">
        <f t="shared" si="19"/>
        <v>GUARDIAN</v>
      </c>
    </row>
    <row r="1388" spans="5:8" x14ac:dyDescent="0.25">
      <c r="E1388" t="str">
        <f>""</f>
        <v/>
      </c>
      <c r="F1388" t="str">
        <f>""</f>
        <v/>
      </c>
      <c r="H1388" t="str">
        <f t="shared" si="19"/>
        <v>GUARDIAN</v>
      </c>
    </row>
    <row r="1389" spans="5:8" x14ac:dyDescent="0.25">
      <c r="E1389" t="str">
        <f>""</f>
        <v/>
      </c>
      <c r="F1389" t="str">
        <f>""</f>
        <v/>
      </c>
      <c r="H1389" t="str">
        <f t="shared" si="19"/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 t="shared" si="19"/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 t="shared" si="19"/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 t="shared" si="19"/>
        <v>GUARDIAN</v>
      </c>
    </row>
    <row r="1393" spans="5:8" x14ac:dyDescent="0.25">
      <c r="E1393" t="str">
        <f>""</f>
        <v/>
      </c>
      <c r="F1393" t="str">
        <f>""</f>
        <v/>
      </c>
      <c r="H1393" t="str">
        <f t="shared" si="19"/>
        <v>GUARDIAN</v>
      </c>
    </row>
    <row r="1394" spans="5:8" x14ac:dyDescent="0.25">
      <c r="E1394" t="str">
        <f>""</f>
        <v/>
      </c>
      <c r="F1394" t="str">
        <f>""</f>
        <v/>
      </c>
      <c r="H1394" t="str">
        <f t="shared" si="19"/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 t="shared" si="19"/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 t="shared" si="19"/>
        <v>GUARDIAN</v>
      </c>
    </row>
    <row r="1397" spans="5:8" x14ac:dyDescent="0.25">
      <c r="E1397" t="str">
        <f>""</f>
        <v/>
      </c>
      <c r="F1397" t="str">
        <f>""</f>
        <v/>
      </c>
      <c r="H1397" t="str">
        <f t="shared" si="19"/>
        <v>GUARDIAN</v>
      </c>
    </row>
    <row r="1398" spans="5:8" x14ac:dyDescent="0.25">
      <c r="E1398" t="str">
        <f>""</f>
        <v/>
      </c>
      <c r="F1398" t="str">
        <f>""</f>
        <v/>
      </c>
      <c r="H1398" t="str">
        <f t="shared" si="19"/>
        <v>GUARDIAN</v>
      </c>
    </row>
    <row r="1399" spans="5:8" x14ac:dyDescent="0.25">
      <c r="E1399" t="str">
        <f>""</f>
        <v/>
      </c>
      <c r="F1399" t="str">
        <f>""</f>
        <v/>
      </c>
      <c r="H1399" t="str">
        <f t="shared" si="19"/>
        <v>GUARDIAN</v>
      </c>
    </row>
    <row r="1400" spans="5:8" x14ac:dyDescent="0.25">
      <c r="E1400" t="str">
        <f>""</f>
        <v/>
      </c>
      <c r="F1400" t="str">
        <f>""</f>
        <v/>
      </c>
      <c r="H1400" t="str">
        <f t="shared" si="19"/>
        <v>GUARDIAN</v>
      </c>
    </row>
    <row r="1401" spans="5:8" x14ac:dyDescent="0.25">
      <c r="E1401" t="str">
        <f>"GDC201903208000"</f>
        <v>GDC201903208000</v>
      </c>
      <c r="F1401" t="str">
        <f>"GUARDIAN"</f>
        <v>GUARDIAN</v>
      </c>
      <c r="G1401" s="2">
        <v>2614.92</v>
      </c>
      <c r="H1401" t="str">
        <f t="shared" si="19"/>
        <v>GUARDIAN</v>
      </c>
    </row>
    <row r="1402" spans="5:8" x14ac:dyDescent="0.25">
      <c r="E1402" t="str">
        <f>""</f>
        <v/>
      </c>
      <c r="F1402" t="str">
        <f>""</f>
        <v/>
      </c>
      <c r="H1402" t="str">
        <f t="shared" si="19"/>
        <v>GUARDIAN</v>
      </c>
    </row>
    <row r="1403" spans="5:8" x14ac:dyDescent="0.25">
      <c r="E1403" t="str">
        <f>""</f>
        <v/>
      </c>
      <c r="F1403" t="str">
        <f>""</f>
        <v/>
      </c>
      <c r="H1403" t="str">
        <f t="shared" si="19"/>
        <v>GUARDIAN</v>
      </c>
    </row>
    <row r="1404" spans="5:8" x14ac:dyDescent="0.25">
      <c r="E1404" t="str">
        <f>""</f>
        <v/>
      </c>
      <c r="F1404" t="str">
        <f>""</f>
        <v/>
      </c>
      <c r="H1404" t="str">
        <f t="shared" si="19"/>
        <v>GUARDIAN</v>
      </c>
    </row>
    <row r="1405" spans="5:8" x14ac:dyDescent="0.25">
      <c r="E1405" t="str">
        <f>""</f>
        <v/>
      </c>
      <c r="F1405" t="str">
        <f>""</f>
        <v/>
      </c>
      <c r="H1405" t="str">
        <f t="shared" si="19"/>
        <v>GUARDIAN</v>
      </c>
    </row>
    <row r="1406" spans="5:8" x14ac:dyDescent="0.25">
      <c r="E1406" t="str">
        <f>""</f>
        <v/>
      </c>
      <c r="F1406" t="str">
        <f>""</f>
        <v/>
      </c>
      <c r="H1406" t="str">
        <f t="shared" si="19"/>
        <v>GUARDIAN</v>
      </c>
    </row>
    <row r="1407" spans="5:8" x14ac:dyDescent="0.25">
      <c r="E1407" t="str">
        <f>""</f>
        <v/>
      </c>
      <c r="F1407" t="str">
        <f>""</f>
        <v/>
      </c>
      <c r="H1407" t="str">
        <f t="shared" si="19"/>
        <v>GUARDIAN</v>
      </c>
    </row>
    <row r="1408" spans="5:8" x14ac:dyDescent="0.25">
      <c r="E1408" t="str">
        <f>""</f>
        <v/>
      </c>
      <c r="F1408" t="str">
        <f>""</f>
        <v/>
      </c>
      <c r="H1408" t="str">
        <f t="shared" si="19"/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 t="shared" si="19"/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 t="shared" si="19"/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 t="shared" si="19"/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 t="shared" si="19"/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 t="shared" si="19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19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19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19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19"/>
        <v>GUARDIAN</v>
      </c>
    </row>
    <row r="1418" spans="5:8" x14ac:dyDescent="0.25">
      <c r="E1418" t="str">
        <f>""</f>
        <v/>
      </c>
      <c r="F1418" t="str">
        <f>""</f>
        <v/>
      </c>
      <c r="H1418" t="str">
        <f t="shared" si="19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19"/>
        <v>GUARDIAN</v>
      </c>
    </row>
    <row r="1420" spans="5:8" x14ac:dyDescent="0.25">
      <c r="E1420" t="str">
        <f>""</f>
        <v/>
      </c>
      <c r="F1420" t="str">
        <f>""</f>
        <v/>
      </c>
      <c r="H1420" t="str">
        <f t="shared" ref="H1420:H1483" si="20">"GUARDIAN"</f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si="20"/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20"/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 t="shared" si="20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20"/>
        <v>GUARDIAN</v>
      </c>
    </row>
    <row r="1425" spans="5:8" x14ac:dyDescent="0.25">
      <c r="E1425" t="str">
        <f>""</f>
        <v/>
      </c>
      <c r="F1425" t="str">
        <f>""</f>
        <v/>
      </c>
      <c r="H1425" t="str">
        <f t="shared" si="20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20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20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20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20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20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20"/>
        <v>GUARDIAN</v>
      </c>
    </row>
    <row r="1432" spans="5:8" x14ac:dyDescent="0.25">
      <c r="E1432" t="str">
        <f>"GDC201903208001"</f>
        <v>GDC201903208001</v>
      </c>
      <c r="F1432" t="str">
        <f>"GUARDIAN"</f>
        <v>GUARDIAN</v>
      </c>
      <c r="G1432" s="2">
        <v>135.84</v>
      </c>
      <c r="H1432" t="str">
        <f t="shared" si="20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si="20"/>
        <v>GUARDIAN</v>
      </c>
    </row>
    <row r="1434" spans="5:8" x14ac:dyDescent="0.25">
      <c r="E1434" t="str">
        <f>"GDE201903067820"</f>
        <v>GDE201903067820</v>
      </c>
      <c r="F1434" t="str">
        <f>"GUARDIAN"</f>
        <v>GUARDIAN</v>
      </c>
      <c r="G1434" s="2">
        <v>169.29</v>
      </c>
      <c r="H1434" t="str">
        <f t="shared" si="20"/>
        <v>GUARDIAN</v>
      </c>
    </row>
    <row r="1435" spans="5:8" x14ac:dyDescent="0.25">
      <c r="E1435" t="str">
        <f>"GDE201903067843"</f>
        <v>GDE201903067843</v>
      </c>
      <c r="F1435" t="str">
        <f>"GUARDIAN"</f>
        <v>GUARDIAN</v>
      </c>
      <c r="G1435" s="2">
        <v>4139.91</v>
      </c>
      <c r="H1435" t="str">
        <f t="shared" si="20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20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20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20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20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20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20"/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20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20"/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 t="shared" si="20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20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20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20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20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20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20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20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si="20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20"/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 t="shared" si="20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20"/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 t="shared" si="20"/>
        <v>GUARDIAN</v>
      </c>
    </row>
    <row r="1457" spans="5:8" x14ac:dyDescent="0.25">
      <c r="E1457" t="str">
        <f>""</f>
        <v/>
      </c>
      <c r="F1457" t="str">
        <f>""</f>
        <v/>
      </c>
      <c r="H1457" t="str">
        <f t="shared" si="20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20"/>
        <v>GUARDIAN</v>
      </c>
    </row>
    <row r="1459" spans="5:8" x14ac:dyDescent="0.25">
      <c r="E1459" t="str">
        <f>""</f>
        <v/>
      </c>
      <c r="F1459" t="str">
        <f>""</f>
        <v/>
      </c>
      <c r="H1459" t="str">
        <f t="shared" si="20"/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20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20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20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20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20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20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20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20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20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20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20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20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20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20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20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20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20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20"/>
        <v>GUARDIAN</v>
      </c>
    </row>
    <row r="1478" spans="5:8" x14ac:dyDescent="0.25">
      <c r="E1478" t="str">
        <f>"GDE201903208000"</f>
        <v>GDE201903208000</v>
      </c>
      <c r="F1478" t="str">
        <f>"GUARDIAN"</f>
        <v>GUARDIAN</v>
      </c>
      <c r="G1478" s="2">
        <v>4124.5200000000004</v>
      </c>
      <c r="H1478" t="str">
        <f t="shared" si="20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0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0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0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0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20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ref="H1484:H1547" si="21">"GUARDIAN"</f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si="21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1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21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1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1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1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21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21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21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21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21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21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21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21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21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21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21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21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21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si="21"/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21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1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1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1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1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1"/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21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1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1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1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1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21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1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1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1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1"/>
        <v>GUARDIAN</v>
      </c>
    </row>
    <row r="1521" spans="5:8" x14ac:dyDescent="0.25">
      <c r="E1521" t="str">
        <f>"GDE201903208001"</f>
        <v>GDE201903208001</v>
      </c>
      <c r="F1521" t="str">
        <f>"GUARDIAN"</f>
        <v>GUARDIAN</v>
      </c>
      <c r="G1521" s="2">
        <v>169.29</v>
      </c>
      <c r="H1521" t="str">
        <f t="shared" si="21"/>
        <v>GUARDIAN</v>
      </c>
    </row>
    <row r="1522" spans="5:8" x14ac:dyDescent="0.25">
      <c r="E1522" t="str">
        <f>"GDF201903067820"</f>
        <v>GDF201903067820</v>
      </c>
      <c r="F1522" t="str">
        <f>"GUARDIAN"</f>
        <v>GUARDIAN</v>
      </c>
      <c r="G1522" s="2">
        <v>100.42</v>
      </c>
      <c r="H1522" t="str">
        <f t="shared" si="21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1"/>
        <v>GUARDIAN</v>
      </c>
    </row>
    <row r="1524" spans="5:8" x14ac:dyDescent="0.25">
      <c r="E1524" t="str">
        <f>"GDF201903067843"</f>
        <v>GDF201903067843</v>
      </c>
      <c r="F1524" t="str">
        <f>"GUARDIAN"</f>
        <v>GUARDIAN</v>
      </c>
      <c r="G1524" s="2">
        <v>2510.5</v>
      </c>
      <c r="H1524" t="str">
        <f t="shared" si="21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1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1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1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1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1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1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1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1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1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1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1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1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1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1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1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1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1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1"/>
        <v>GUARDIAN</v>
      </c>
    </row>
    <row r="1543" spans="5:8" x14ac:dyDescent="0.25">
      <c r="E1543" t="str">
        <f>"GDF201903208000"</f>
        <v>GDF201903208000</v>
      </c>
      <c r="F1543" t="str">
        <f>"GUARDIAN"</f>
        <v>GUARDIAN</v>
      </c>
      <c r="G1543" s="2">
        <v>2510.5</v>
      </c>
      <c r="H1543" t="str">
        <f t="shared" si="21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1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1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1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1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ref="H1548:H1611" si="22">"GUARDIAN"</f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2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2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2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2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2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2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2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2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2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2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2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2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2"/>
        <v>GUARDIAN</v>
      </c>
    </row>
    <row r="1562" spans="5:8" x14ac:dyDescent="0.25">
      <c r="E1562" t="str">
        <f>"GDF201903208001"</f>
        <v>GDF201903208001</v>
      </c>
      <c r="F1562" t="str">
        <f>"GUARDIAN"</f>
        <v>GUARDIAN</v>
      </c>
      <c r="G1562" s="2">
        <v>100.42</v>
      </c>
      <c r="H1562" t="str">
        <f t="shared" si="22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2"/>
        <v>GUARDIAN</v>
      </c>
    </row>
    <row r="1564" spans="5:8" x14ac:dyDescent="0.25">
      <c r="E1564" t="str">
        <f>"GDS201903067843"</f>
        <v>GDS201903067843</v>
      </c>
      <c r="F1564" t="str">
        <f>"GUARDIAN"</f>
        <v>GUARDIAN</v>
      </c>
      <c r="G1564" s="2">
        <v>1892.22</v>
      </c>
      <c r="H1564" t="str">
        <f t="shared" si="22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2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2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2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2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2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2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2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2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2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2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2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2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2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2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2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2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2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2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2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2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2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2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2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2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2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2"/>
        <v>GUARDIAN</v>
      </c>
    </row>
    <row r="1591" spans="5:8" x14ac:dyDescent="0.25">
      <c r="E1591" t="str">
        <f>"GDS201903208000"</f>
        <v>GDS201903208000</v>
      </c>
      <c r="F1591" t="str">
        <f>"GUARDIAN"</f>
        <v>GUARDIAN</v>
      </c>
      <c r="G1591" s="2">
        <v>1892.22</v>
      </c>
      <c r="H1591" t="str">
        <f t="shared" si="22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2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2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2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2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2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2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2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22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2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22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2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2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2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2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2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2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2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2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2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2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ref="H1612:H1617" si="23">"GUARDIAN"</f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3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3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3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3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3"/>
        <v>GUARDIAN</v>
      </c>
    </row>
    <row r="1618" spans="5:8" x14ac:dyDescent="0.25">
      <c r="E1618" t="str">
        <f>"GV1201903067843"</f>
        <v>GV1201903067843</v>
      </c>
      <c r="F1618" t="str">
        <f>"GUARDIAN VISION"</f>
        <v>GUARDIAN VISION</v>
      </c>
      <c r="G1618" s="2">
        <v>380.8</v>
      </c>
      <c r="H1618" t="str">
        <f>"GUARDIAN VISION"</f>
        <v>GUARDIAN VISION</v>
      </c>
    </row>
    <row r="1619" spans="5:8" x14ac:dyDescent="0.25">
      <c r="E1619" t="str">
        <f>"GV1201903208000"</f>
        <v>GV1201903208000</v>
      </c>
      <c r="F1619" t="str">
        <f>"GUARDIAN VISION"</f>
        <v>GUARDIAN VISION</v>
      </c>
      <c r="G1619" s="2">
        <v>380.8</v>
      </c>
      <c r="H1619" t="str">
        <f>"GUARDIAN VISION"</f>
        <v>GUARDIAN VISION</v>
      </c>
    </row>
    <row r="1620" spans="5:8" x14ac:dyDescent="0.25">
      <c r="E1620" t="str">
        <f>"GVE201903067820"</f>
        <v>GVE201903067820</v>
      </c>
      <c r="F1620" t="str">
        <f>"GUARDIAN VISION VENDOR"</f>
        <v>GUARDIAN VISION VENDOR</v>
      </c>
      <c r="G1620" s="2">
        <v>25.83</v>
      </c>
      <c r="H1620" t="str">
        <f>"GUARDIAN VISION VENDOR"</f>
        <v>GUARDIAN VISION VENDOR</v>
      </c>
    </row>
    <row r="1621" spans="5:8" x14ac:dyDescent="0.25">
      <c r="E1621" t="str">
        <f>"GVE201903067843"</f>
        <v>GVE201903067843</v>
      </c>
      <c r="F1621" t="str">
        <f>"GUARDIAN VISION VENDOR"</f>
        <v>GUARDIAN VISION VENDOR</v>
      </c>
      <c r="G1621" s="2">
        <v>594.09</v>
      </c>
      <c r="H1621" t="str">
        <f>"GUARDIAN VISION VENDOR"</f>
        <v>GUARDIAN VISION VENDOR</v>
      </c>
    </row>
    <row r="1622" spans="5:8" x14ac:dyDescent="0.25">
      <c r="E1622" t="str">
        <f>"GVE201903208000"</f>
        <v>GVE201903208000</v>
      </c>
      <c r="F1622" t="str">
        <f>"GUARDIAN VISION VENDOR"</f>
        <v>GUARDIAN VISION VENDOR</v>
      </c>
      <c r="G1622" s="2">
        <v>575.64</v>
      </c>
      <c r="H1622" t="str">
        <f>"GUARDIAN VISION VENDOR"</f>
        <v>GUARDIAN VISION VENDOR</v>
      </c>
    </row>
    <row r="1623" spans="5:8" x14ac:dyDescent="0.25">
      <c r="E1623" t="str">
        <f>"GVE201903208001"</f>
        <v>GVE201903208001</v>
      </c>
      <c r="F1623" t="str">
        <f>"GUARDIAN VISION VENDOR"</f>
        <v>GUARDIAN VISION VENDOR</v>
      </c>
      <c r="G1623" s="2">
        <v>25.83</v>
      </c>
      <c r="H1623" t="str">
        <f>"GUARDIAN VISION VENDOR"</f>
        <v>GUARDIAN VISION VENDOR</v>
      </c>
    </row>
    <row r="1624" spans="5:8" x14ac:dyDescent="0.25">
      <c r="E1624" t="str">
        <f>"GVF201903067820"</f>
        <v>GVF201903067820</v>
      </c>
      <c r="F1624" t="str">
        <f>"GUARDIAN VISION VENDOR"</f>
        <v>GUARDIAN VISION VENDOR</v>
      </c>
      <c r="G1624" s="2">
        <v>29.55</v>
      </c>
      <c r="H1624" t="str">
        <f>"GUARDIAN VISION VENDOR"</f>
        <v>GUARDIAN VISION VENDOR</v>
      </c>
    </row>
    <row r="1625" spans="5:8" x14ac:dyDescent="0.25">
      <c r="E1625" t="str">
        <f>"GVF201903067843"</f>
        <v>GVF201903067843</v>
      </c>
      <c r="F1625" t="str">
        <f>"GUARDIAN VISION"</f>
        <v>GUARDIAN VISION</v>
      </c>
      <c r="G1625" s="2">
        <v>571.29999999999995</v>
      </c>
      <c r="H1625" t="str">
        <f>"GUARDIAN VISION"</f>
        <v>GUARDIAN VISION</v>
      </c>
    </row>
    <row r="1626" spans="5:8" x14ac:dyDescent="0.25">
      <c r="E1626" t="str">
        <f>"GVF201903208000"</f>
        <v>GVF201903208000</v>
      </c>
      <c r="F1626" t="str">
        <f>"GUARDIAN VISION"</f>
        <v>GUARDIAN VISION</v>
      </c>
      <c r="G1626" s="2">
        <v>571.29999999999995</v>
      </c>
      <c r="H1626" t="str">
        <f>"GUARDIAN VISION"</f>
        <v>GUARDIAN VISION</v>
      </c>
    </row>
    <row r="1627" spans="5:8" x14ac:dyDescent="0.25">
      <c r="E1627" t="str">
        <f>"GVF201903208001"</f>
        <v>GVF201903208001</v>
      </c>
      <c r="F1627" t="str">
        <f>"GUARDIAN VISION VENDOR"</f>
        <v>GUARDIAN VISION VENDOR</v>
      </c>
      <c r="G1627" s="2">
        <v>29.55</v>
      </c>
      <c r="H1627" t="str">
        <f>"GUARDIAN VISION VENDOR"</f>
        <v>GUARDIAN VISION VENDOR</v>
      </c>
    </row>
    <row r="1628" spans="5:8" x14ac:dyDescent="0.25">
      <c r="E1628" t="str">
        <f>"LIA201903067820"</f>
        <v>LIA201903067820</v>
      </c>
      <c r="F1628" t="str">
        <f>"GUARDIAN"</f>
        <v>GUARDIAN</v>
      </c>
      <c r="G1628" s="2">
        <v>40.799999999999997</v>
      </c>
      <c r="H1628" t="str">
        <f t="shared" ref="H1628:H1659" si="24">"GUARDIAN"</f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4"/>
        <v>GUARDIAN</v>
      </c>
    </row>
    <row r="1630" spans="5:8" x14ac:dyDescent="0.25">
      <c r="E1630" t="str">
        <f>"LIA201903067843"</f>
        <v>LIA201903067843</v>
      </c>
      <c r="F1630" t="str">
        <f>"GUARDIAN"</f>
        <v>GUARDIAN</v>
      </c>
      <c r="G1630" s="2">
        <v>230.87</v>
      </c>
      <c r="H1630" t="str">
        <f t="shared" si="24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4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4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24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4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4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4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4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4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4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4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4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4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4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4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4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4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4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4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4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4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4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4"/>
        <v>GUARDIAN</v>
      </c>
    </row>
    <row r="1653" spans="5:8" x14ac:dyDescent="0.25">
      <c r="E1653" t="str">
        <f>"LIA201903208000"</f>
        <v>LIA201903208000</v>
      </c>
      <c r="F1653" t="str">
        <f>"GUARDIAN"</f>
        <v>GUARDIAN</v>
      </c>
      <c r="G1653" s="2">
        <v>228.39</v>
      </c>
      <c r="H1653" t="str">
        <f t="shared" si="24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4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24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24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4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4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4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ref="H1660:H1691" si="25">"GUARDIAN"</f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5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5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5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5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5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5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5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5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5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5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5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5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25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25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25"/>
        <v>GUARDIAN</v>
      </c>
    </row>
    <row r="1676" spans="5:8" x14ac:dyDescent="0.25">
      <c r="E1676" t="str">
        <f>"LIA201903208001"</f>
        <v>LIA201903208001</v>
      </c>
      <c r="F1676" t="str">
        <f>"GUARDIAN"</f>
        <v>GUARDIAN</v>
      </c>
      <c r="G1676" s="2">
        <v>40.799999999999997</v>
      </c>
      <c r="H1676" t="str">
        <f t="shared" si="25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25"/>
        <v>GUARDIAN</v>
      </c>
    </row>
    <row r="1678" spans="5:8" x14ac:dyDescent="0.25">
      <c r="E1678" t="str">
        <f>"LIC201903067820"</f>
        <v>LIC201903067820</v>
      </c>
      <c r="F1678" t="str">
        <f>"GUARDIAN"</f>
        <v>GUARDIAN</v>
      </c>
      <c r="G1678" s="2">
        <v>1.05</v>
      </c>
      <c r="H1678" t="str">
        <f t="shared" si="25"/>
        <v>GUARDIAN</v>
      </c>
    </row>
    <row r="1679" spans="5:8" x14ac:dyDescent="0.25">
      <c r="E1679" t="str">
        <f>"LIC201903067843"</f>
        <v>LIC201903067843</v>
      </c>
      <c r="F1679" t="str">
        <f>"GUARDIAN"</f>
        <v>GUARDIAN</v>
      </c>
      <c r="G1679" s="2">
        <v>32.43</v>
      </c>
      <c r="H1679" t="str">
        <f t="shared" si="25"/>
        <v>GUARDIAN</v>
      </c>
    </row>
    <row r="1680" spans="5:8" x14ac:dyDescent="0.25">
      <c r="E1680" t="str">
        <f>"LIC201903208000"</f>
        <v>LIC201903208000</v>
      </c>
      <c r="F1680" t="str">
        <f>"GUARDIAN"</f>
        <v>GUARDIAN</v>
      </c>
      <c r="G1680" s="2">
        <v>32.43</v>
      </c>
      <c r="H1680" t="str">
        <f t="shared" si="25"/>
        <v>GUARDIAN</v>
      </c>
    </row>
    <row r="1681" spans="5:8" x14ac:dyDescent="0.25">
      <c r="E1681" t="str">
        <f>"LIC201903208001"</f>
        <v>LIC201903208001</v>
      </c>
      <c r="F1681" t="str">
        <f>"GUARDIAN"</f>
        <v>GUARDIAN</v>
      </c>
      <c r="G1681" s="2">
        <v>1.05</v>
      </c>
      <c r="H1681" t="str">
        <f t="shared" si="25"/>
        <v>GUARDIAN</v>
      </c>
    </row>
    <row r="1682" spans="5:8" x14ac:dyDescent="0.25">
      <c r="E1682" t="str">
        <f>"LIE201903067820"</f>
        <v>LIE201903067820</v>
      </c>
      <c r="F1682" t="str">
        <f>"GUARDIAN"</f>
        <v>GUARDIAN</v>
      </c>
      <c r="G1682" s="2">
        <v>83.65</v>
      </c>
      <c r="H1682" t="str">
        <f t="shared" si="25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5"/>
        <v>GUARDIAN</v>
      </c>
    </row>
    <row r="1684" spans="5:8" x14ac:dyDescent="0.25">
      <c r="E1684" t="str">
        <f>"LIE201903067843"</f>
        <v>LIE201903067843</v>
      </c>
      <c r="F1684" t="str">
        <f>"GUARDIAN"</f>
        <v>GUARDIAN</v>
      </c>
      <c r="G1684" s="2">
        <v>3431.2</v>
      </c>
      <c r="H1684" t="str">
        <f t="shared" si="25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5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5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25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5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5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5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5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ref="H1692:H1723" si="26">"GUARDIAN"</f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6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6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6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6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26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26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6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26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26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26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26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26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6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6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6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26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26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26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6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26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26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26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26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26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26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26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26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6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26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6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26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ref="H1724:H1755" si="27">"GUARDIAN"</f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27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27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27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7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7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7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7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7"/>
        <v>GUARDIAN</v>
      </c>
    </row>
    <row r="1733" spans="5:8" x14ac:dyDescent="0.25">
      <c r="E1733" t="str">
        <f>"LIE201903208000"</f>
        <v>LIE201903208000</v>
      </c>
      <c r="F1733" t="str">
        <f>"GUARDIAN"</f>
        <v>GUARDIAN</v>
      </c>
      <c r="G1733" s="2">
        <v>3418.35</v>
      </c>
      <c r="H1733" t="str">
        <f t="shared" si="27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7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27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27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7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7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27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7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7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7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7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7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7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7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7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7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27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7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7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7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7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7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7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ref="H1756:H1787" si="28">"GUARDIAN"</f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8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8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28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8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28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28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28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28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28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28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28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28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28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28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8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28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28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28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8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28"/>
        <v>GUARDIAN</v>
      </c>
    </row>
    <row r="1777" spans="1:8" x14ac:dyDescent="0.25">
      <c r="E1777" t="str">
        <f>""</f>
        <v/>
      </c>
      <c r="F1777" t="str">
        <f>""</f>
        <v/>
      </c>
      <c r="H1777" t="str">
        <f t="shared" si="28"/>
        <v>GUARDIAN</v>
      </c>
    </row>
    <row r="1778" spans="1:8" x14ac:dyDescent="0.25">
      <c r="E1778" t="str">
        <f>""</f>
        <v/>
      </c>
      <c r="F1778" t="str">
        <f>""</f>
        <v/>
      </c>
      <c r="H1778" t="str">
        <f t="shared" si="28"/>
        <v>GUARDIAN</v>
      </c>
    </row>
    <row r="1779" spans="1:8" x14ac:dyDescent="0.25">
      <c r="E1779" t="str">
        <f>""</f>
        <v/>
      </c>
      <c r="F1779" t="str">
        <f>""</f>
        <v/>
      </c>
      <c r="H1779" t="str">
        <f t="shared" si="28"/>
        <v>GUARDIAN</v>
      </c>
    </row>
    <row r="1780" spans="1:8" x14ac:dyDescent="0.25">
      <c r="E1780" t="str">
        <f>""</f>
        <v/>
      </c>
      <c r="F1780" t="str">
        <f>""</f>
        <v/>
      </c>
      <c r="H1780" t="str">
        <f t="shared" si="28"/>
        <v>GUARDIAN</v>
      </c>
    </row>
    <row r="1781" spans="1:8" x14ac:dyDescent="0.25">
      <c r="E1781" t="str">
        <f>""</f>
        <v/>
      </c>
      <c r="F1781" t="str">
        <f>""</f>
        <v/>
      </c>
      <c r="H1781" t="str">
        <f t="shared" si="28"/>
        <v>GUARDIAN</v>
      </c>
    </row>
    <row r="1782" spans="1:8" x14ac:dyDescent="0.25">
      <c r="E1782" t="str">
        <f>"LIE201903208001"</f>
        <v>LIE201903208001</v>
      </c>
      <c r="F1782" t="str">
        <f>"GUARDIAN"</f>
        <v>GUARDIAN</v>
      </c>
      <c r="G1782" s="2">
        <v>83.65</v>
      </c>
      <c r="H1782" t="str">
        <f t="shared" si="28"/>
        <v>GUARDIAN</v>
      </c>
    </row>
    <row r="1783" spans="1:8" x14ac:dyDescent="0.25">
      <c r="E1783" t="str">
        <f>""</f>
        <v/>
      </c>
      <c r="F1783" t="str">
        <f>""</f>
        <v/>
      </c>
      <c r="H1783" t="str">
        <f t="shared" si="28"/>
        <v>GUARDIAN</v>
      </c>
    </row>
    <row r="1784" spans="1:8" x14ac:dyDescent="0.25">
      <c r="E1784" t="str">
        <f>"LIS201903067820"</f>
        <v>LIS201903067820</v>
      </c>
      <c r="F1784" t="str">
        <f t="shared" ref="F1784:F1795" si="29">"GUARDIAN"</f>
        <v>GUARDIAN</v>
      </c>
      <c r="G1784" s="2">
        <v>36.15</v>
      </c>
      <c r="H1784" t="str">
        <f t="shared" si="28"/>
        <v>GUARDIAN</v>
      </c>
    </row>
    <row r="1785" spans="1:8" x14ac:dyDescent="0.25">
      <c r="E1785" t="str">
        <f>"LIS201903067843"</f>
        <v>LIS201903067843</v>
      </c>
      <c r="F1785" t="str">
        <f t="shared" si="29"/>
        <v>GUARDIAN</v>
      </c>
      <c r="G1785" s="2">
        <v>466.38</v>
      </c>
      <c r="H1785" t="str">
        <f t="shared" si="28"/>
        <v>GUARDIAN</v>
      </c>
    </row>
    <row r="1786" spans="1:8" x14ac:dyDescent="0.25">
      <c r="E1786" t="str">
        <f>"LIS201903208000"</f>
        <v>LIS201903208000</v>
      </c>
      <c r="F1786" t="str">
        <f t="shared" si="29"/>
        <v>GUARDIAN</v>
      </c>
      <c r="G1786" s="2">
        <v>466.38</v>
      </c>
      <c r="H1786" t="str">
        <f t="shared" si="28"/>
        <v>GUARDIAN</v>
      </c>
    </row>
    <row r="1787" spans="1:8" x14ac:dyDescent="0.25">
      <c r="E1787" t="str">
        <f>"LIS201903208001"</f>
        <v>LIS201903208001</v>
      </c>
      <c r="F1787" t="str">
        <f t="shared" si="29"/>
        <v>GUARDIAN</v>
      </c>
      <c r="G1787" s="2">
        <v>36.15</v>
      </c>
      <c r="H1787" t="str">
        <f t="shared" si="28"/>
        <v>GUARDIAN</v>
      </c>
    </row>
    <row r="1788" spans="1:8" x14ac:dyDescent="0.25">
      <c r="E1788" t="str">
        <f>"LTD201903067820"</f>
        <v>LTD201903067820</v>
      </c>
      <c r="F1788" t="str">
        <f t="shared" si="29"/>
        <v>GUARDIAN</v>
      </c>
      <c r="G1788" s="2">
        <v>6.11</v>
      </c>
      <c r="H1788" t="str">
        <f t="shared" ref="H1788:H1795" si="30">"GUARDIAN"</f>
        <v>GUARDIAN</v>
      </c>
    </row>
    <row r="1789" spans="1:8" x14ac:dyDescent="0.25">
      <c r="E1789" t="str">
        <f>"LTD201903067843"</f>
        <v>LTD201903067843</v>
      </c>
      <c r="F1789" t="str">
        <f t="shared" si="29"/>
        <v>GUARDIAN</v>
      </c>
      <c r="G1789" s="2">
        <v>924.16</v>
      </c>
      <c r="H1789" t="str">
        <f t="shared" si="30"/>
        <v>GUARDIAN</v>
      </c>
    </row>
    <row r="1790" spans="1:8" x14ac:dyDescent="0.25">
      <c r="E1790" t="str">
        <f>"LTD201903208000"</f>
        <v>LTD201903208000</v>
      </c>
      <c r="F1790" t="str">
        <f t="shared" si="29"/>
        <v>GUARDIAN</v>
      </c>
      <c r="G1790" s="2">
        <v>852.81</v>
      </c>
      <c r="H1790" t="str">
        <f t="shared" si="30"/>
        <v>GUARDIAN</v>
      </c>
    </row>
    <row r="1791" spans="1:8" x14ac:dyDescent="0.25">
      <c r="E1791" t="str">
        <f>"LTD201903208001"</f>
        <v>LTD201903208001</v>
      </c>
      <c r="F1791" t="str">
        <f t="shared" si="29"/>
        <v>GUARDIAN</v>
      </c>
      <c r="G1791" s="2">
        <v>6.11</v>
      </c>
      <c r="H1791" t="str">
        <f t="shared" si="30"/>
        <v>GUARDIAN</v>
      </c>
    </row>
    <row r="1792" spans="1:8" x14ac:dyDescent="0.25">
      <c r="A1792" t="s">
        <v>473</v>
      </c>
      <c r="B1792">
        <v>96</v>
      </c>
      <c r="C1792" s="2">
        <v>112.44</v>
      </c>
      <c r="D1792" s="1">
        <v>43552</v>
      </c>
      <c r="E1792" t="str">
        <f>"AEG201903067843"</f>
        <v>AEG201903067843</v>
      </c>
      <c r="F1792" t="str">
        <f t="shared" si="29"/>
        <v>GUARDIAN</v>
      </c>
      <c r="G1792" s="2">
        <v>6.66</v>
      </c>
      <c r="H1792" t="str">
        <f t="shared" si="30"/>
        <v>GUARDIAN</v>
      </c>
    </row>
    <row r="1793" spans="1:8" x14ac:dyDescent="0.25">
      <c r="E1793" t="str">
        <f>"AEG201903208000"</f>
        <v>AEG201903208000</v>
      </c>
      <c r="F1793" t="str">
        <f t="shared" si="29"/>
        <v>GUARDIAN</v>
      </c>
      <c r="G1793" s="2">
        <v>6.66</v>
      </c>
      <c r="H1793" t="str">
        <f t="shared" si="30"/>
        <v>GUARDIAN</v>
      </c>
    </row>
    <row r="1794" spans="1:8" x14ac:dyDescent="0.25">
      <c r="E1794" t="str">
        <f>"AFG201903067843"</f>
        <v>AFG201903067843</v>
      </c>
      <c r="F1794" t="str">
        <f t="shared" si="29"/>
        <v>GUARDIAN</v>
      </c>
      <c r="G1794" s="2">
        <v>49.56</v>
      </c>
      <c r="H1794" t="str">
        <f t="shared" si="30"/>
        <v>GUARDIAN</v>
      </c>
    </row>
    <row r="1795" spans="1:8" x14ac:dyDescent="0.25">
      <c r="E1795" t="str">
        <f>"AFG201903208000"</f>
        <v>AFG201903208000</v>
      </c>
      <c r="F1795" t="str">
        <f t="shared" si="29"/>
        <v>GUARDIAN</v>
      </c>
      <c r="G1795" s="2">
        <v>49.56</v>
      </c>
      <c r="H1795" t="str">
        <f t="shared" si="30"/>
        <v>GUARDIAN</v>
      </c>
    </row>
    <row r="1796" spans="1:8" x14ac:dyDescent="0.25">
      <c r="A1796" t="s">
        <v>474</v>
      </c>
      <c r="B1796">
        <v>78</v>
      </c>
      <c r="C1796" s="2">
        <v>3947.38</v>
      </c>
      <c r="D1796" s="1">
        <v>43528</v>
      </c>
      <c r="E1796" t="str">
        <f>"T1 201902287562"</f>
        <v>T1 201902287562</v>
      </c>
      <c r="F1796" t="str">
        <f>"FEDERAL WITHHOLDING"</f>
        <v>FEDERAL WITHHOLDING</v>
      </c>
      <c r="G1796" s="2">
        <v>910.55</v>
      </c>
      <c r="H1796" t="str">
        <f>"FEDERAL WITHHOLDING"</f>
        <v>FEDERAL WITHHOLDING</v>
      </c>
    </row>
    <row r="1797" spans="1:8" x14ac:dyDescent="0.25">
      <c r="E1797" t="str">
        <f>"T1 201902287563"</f>
        <v>T1 201902287563</v>
      </c>
      <c r="F1797" t="str">
        <f>"FEDERAL WITHHOLDING"</f>
        <v>FEDERAL WITHHOLDING</v>
      </c>
      <c r="G1797" s="2">
        <v>26.49</v>
      </c>
      <c r="H1797" t="str">
        <f>"FEDERAL WITHHOLDING"</f>
        <v>FEDERAL WITHHOLDING</v>
      </c>
    </row>
    <row r="1798" spans="1:8" x14ac:dyDescent="0.25">
      <c r="E1798" t="str">
        <f>"T3 201902287562"</f>
        <v>T3 201902287562</v>
      </c>
      <c r="F1798" t="str">
        <f>"SOCIAL SECURITY TAXES"</f>
        <v>SOCIAL SECURITY TAXES</v>
      </c>
      <c r="G1798" s="2">
        <v>2277.96</v>
      </c>
      <c r="H1798" t="str">
        <f t="shared" ref="H1798:H1808" si="31">"SOCIAL SECURITY TAXES"</f>
        <v>SOCIAL SECURITY TAXES</v>
      </c>
    </row>
    <row r="1799" spans="1:8" x14ac:dyDescent="0.25">
      <c r="E1799" t="str">
        <f>""</f>
        <v/>
      </c>
      <c r="F1799" t="str">
        <f>""</f>
        <v/>
      </c>
      <c r="H1799" t="str">
        <f t="shared" si="31"/>
        <v>SOCIAL SECURITY TAXES</v>
      </c>
    </row>
    <row r="1800" spans="1:8" x14ac:dyDescent="0.25">
      <c r="E1800" t="str">
        <f>""</f>
        <v/>
      </c>
      <c r="F1800" t="str">
        <f>""</f>
        <v/>
      </c>
      <c r="H1800" t="str">
        <f t="shared" si="31"/>
        <v>SOCIAL SECURITY TAXES</v>
      </c>
    </row>
    <row r="1801" spans="1:8" x14ac:dyDescent="0.25">
      <c r="E1801" t="str">
        <f>""</f>
        <v/>
      </c>
      <c r="F1801" t="str">
        <f>""</f>
        <v/>
      </c>
      <c r="H1801" t="str">
        <f t="shared" si="31"/>
        <v>SOCIAL SECURITY TAXES</v>
      </c>
    </row>
    <row r="1802" spans="1:8" x14ac:dyDescent="0.25">
      <c r="E1802" t="str">
        <f>""</f>
        <v/>
      </c>
      <c r="F1802" t="str">
        <f>""</f>
        <v/>
      </c>
      <c r="H1802" t="str">
        <f t="shared" si="31"/>
        <v>SOCIAL SECURITY TAXES</v>
      </c>
    </row>
    <row r="1803" spans="1:8" x14ac:dyDescent="0.25">
      <c r="E1803" t="str">
        <f>""</f>
        <v/>
      </c>
      <c r="F1803" t="str">
        <f>""</f>
        <v/>
      </c>
      <c r="H1803" t="str">
        <f t="shared" si="31"/>
        <v>SOCIAL SECURITY TAXES</v>
      </c>
    </row>
    <row r="1804" spans="1:8" x14ac:dyDescent="0.25">
      <c r="E1804" t="str">
        <f>""</f>
        <v/>
      </c>
      <c r="F1804" t="str">
        <f>""</f>
        <v/>
      </c>
      <c r="H1804" t="str">
        <f t="shared" si="31"/>
        <v>SOCIAL SECURITY TAXES</v>
      </c>
    </row>
    <row r="1805" spans="1:8" x14ac:dyDescent="0.25">
      <c r="E1805" t="str">
        <f>""</f>
        <v/>
      </c>
      <c r="F1805" t="str">
        <f>""</f>
        <v/>
      </c>
      <c r="H1805" t="str">
        <f t="shared" si="31"/>
        <v>SOCIAL SECURITY TAXES</v>
      </c>
    </row>
    <row r="1806" spans="1:8" x14ac:dyDescent="0.25">
      <c r="E1806" t="str">
        <f>""</f>
        <v/>
      </c>
      <c r="F1806" t="str">
        <f>""</f>
        <v/>
      </c>
      <c r="H1806" t="str">
        <f t="shared" si="31"/>
        <v>SOCIAL SECURITY TAXES</v>
      </c>
    </row>
    <row r="1807" spans="1:8" x14ac:dyDescent="0.25">
      <c r="E1807" t="str">
        <f>"T3 201902287563"</f>
        <v>T3 201902287563</v>
      </c>
      <c r="F1807" t="str">
        <f>"SOCIAL SECURITY TAXES"</f>
        <v>SOCIAL SECURITY TAXES</v>
      </c>
      <c r="G1807" s="2">
        <v>161.74</v>
      </c>
      <c r="H1807" t="str">
        <f t="shared" si="31"/>
        <v>SOCIAL SECURITY TAXES</v>
      </c>
    </row>
    <row r="1808" spans="1:8" x14ac:dyDescent="0.25">
      <c r="E1808" t="str">
        <f>""</f>
        <v/>
      </c>
      <c r="F1808" t="str">
        <f>""</f>
        <v/>
      </c>
      <c r="H1808" t="str">
        <f t="shared" si="31"/>
        <v>SOCIAL SECURITY TAXES</v>
      </c>
    </row>
    <row r="1809" spans="1:8" x14ac:dyDescent="0.25">
      <c r="E1809" t="str">
        <f>"T4 201902287562"</f>
        <v>T4 201902287562</v>
      </c>
      <c r="F1809" t="str">
        <f>"MEDICARE TAXES"</f>
        <v>MEDICARE TAXES</v>
      </c>
      <c r="G1809" s="2">
        <v>532.79999999999995</v>
      </c>
      <c r="H1809" t="str">
        <f t="shared" ref="H1809:H1819" si="32">"MEDICARE TAXES"</f>
        <v>MEDICARE TAXES</v>
      </c>
    </row>
    <row r="1810" spans="1:8" x14ac:dyDescent="0.25">
      <c r="E1810" t="str">
        <f>""</f>
        <v/>
      </c>
      <c r="F1810" t="str">
        <f>""</f>
        <v/>
      </c>
      <c r="H1810" t="str">
        <f t="shared" si="32"/>
        <v>MEDICARE TAXES</v>
      </c>
    </row>
    <row r="1811" spans="1:8" x14ac:dyDescent="0.25">
      <c r="E1811" t="str">
        <f>""</f>
        <v/>
      </c>
      <c r="F1811" t="str">
        <f>""</f>
        <v/>
      </c>
      <c r="H1811" t="str">
        <f t="shared" si="32"/>
        <v>MEDICARE TAXES</v>
      </c>
    </row>
    <row r="1812" spans="1:8" x14ac:dyDescent="0.25">
      <c r="E1812" t="str">
        <f>""</f>
        <v/>
      </c>
      <c r="F1812" t="str">
        <f>""</f>
        <v/>
      </c>
      <c r="H1812" t="str">
        <f t="shared" si="32"/>
        <v>MEDICARE TAXES</v>
      </c>
    </row>
    <row r="1813" spans="1:8" x14ac:dyDescent="0.25">
      <c r="E1813" t="str">
        <f>""</f>
        <v/>
      </c>
      <c r="F1813" t="str">
        <f>""</f>
        <v/>
      </c>
      <c r="H1813" t="str">
        <f t="shared" si="32"/>
        <v>MEDICARE TAXES</v>
      </c>
    </row>
    <row r="1814" spans="1:8" x14ac:dyDescent="0.25">
      <c r="E1814" t="str">
        <f>""</f>
        <v/>
      </c>
      <c r="F1814" t="str">
        <f>""</f>
        <v/>
      </c>
      <c r="H1814" t="str">
        <f t="shared" si="32"/>
        <v>MEDICARE TAXES</v>
      </c>
    </row>
    <row r="1815" spans="1:8" x14ac:dyDescent="0.25">
      <c r="E1815" t="str">
        <f>""</f>
        <v/>
      </c>
      <c r="F1815" t="str">
        <f>""</f>
        <v/>
      </c>
      <c r="H1815" t="str">
        <f t="shared" si="32"/>
        <v>MEDICARE TAXES</v>
      </c>
    </row>
    <row r="1816" spans="1:8" x14ac:dyDescent="0.25">
      <c r="E1816" t="str">
        <f>""</f>
        <v/>
      </c>
      <c r="F1816" t="str">
        <f>""</f>
        <v/>
      </c>
      <c r="H1816" t="str">
        <f t="shared" si="32"/>
        <v>MEDICARE TAXES</v>
      </c>
    </row>
    <row r="1817" spans="1:8" x14ac:dyDescent="0.25">
      <c r="E1817" t="str">
        <f>""</f>
        <v/>
      </c>
      <c r="F1817" t="str">
        <f>""</f>
        <v/>
      </c>
      <c r="H1817" t="str">
        <f t="shared" si="32"/>
        <v>MEDICARE TAXES</v>
      </c>
    </row>
    <row r="1818" spans="1:8" x14ac:dyDescent="0.25">
      <c r="E1818" t="str">
        <f>"T4 201902287563"</f>
        <v>T4 201902287563</v>
      </c>
      <c r="F1818" t="str">
        <f>"MEDICARE TAXES"</f>
        <v>MEDICARE TAXES</v>
      </c>
      <c r="G1818" s="2">
        <v>37.840000000000003</v>
      </c>
      <c r="H1818" t="str">
        <f t="shared" si="32"/>
        <v>MEDICARE TAXES</v>
      </c>
    </row>
    <row r="1819" spans="1:8" x14ac:dyDescent="0.25">
      <c r="E1819" t="str">
        <f>""</f>
        <v/>
      </c>
      <c r="F1819" t="str">
        <f>""</f>
        <v/>
      </c>
      <c r="H1819" t="str">
        <f t="shared" si="32"/>
        <v>MEDICARE TAXES</v>
      </c>
    </row>
    <row r="1820" spans="1:8" x14ac:dyDescent="0.25">
      <c r="A1820" t="s">
        <v>474</v>
      </c>
      <c r="B1820">
        <v>80</v>
      </c>
      <c r="C1820" s="2">
        <v>185679.42</v>
      </c>
      <c r="D1820" s="1">
        <v>43532</v>
      </c>
      <c r="E1820" t="str">
        <f>"T1 201903067820"</f>
        <v>T1 201903067820</v>
      </c>
      <c r="F1820" t="str">
        <f>"FEDERAL WITHHOLDING"</f>
        <v>FEDERAL WITHHOLDING</v>
      </c>
      <c r="G1820" s="2">
        <v>2909.53</v>
      </c>
      <c r="H1820" t="str">
        <f>"FEDERAL WITHHOLDING"</f>
        <v>FEDERAL WITHHOLDING</v>
      </c>
    </row>
    <row r="1821" spans="1:8" x14ac:dyDescent="0.25">
      <c r="E1821" t="str">
        <f>"T1 201903067843"</f>
        <v>T1 201903067843</v>
      </c>
      <c r="F1821" t="str">
        <f>"FEDERAL WITHHOLDING"</f>
        <v>FEDERAL WITHHOLDING</v>
      </c>
      <c r="G1821" s="2">
        <v>84179.62</v>
      </c>
      <c r="H1821" t="str">
        <f>"FEDERAL WITHHOLDING"</f>
        <v>FEDERAL WITHHOLDING</v>
      </c>
    </row>
    <row r="1822" spans="1:8" x14ac:dyDescent="0.25">
      <c r="E1822" t="str">
        <f>"T1 201903067844"</f>
        <v>T1 201903067844</v>
      </c>
      <c r="F1822" t="str">
        <f>"FEDERAL WITHHOLDING"</f>
        <v>FEDERAL WITHHOLDING</v>
      </c>
      <c r="G1822" s="2">
        <v>3149.8</v>
      </c>
      <c r="H1822" t="str">
        <f>"FEDERAL WITHHOLDING"</f>
        <v>FEDERAL WITHHOLDING</v>
      </c>
    </row>
    <row r="1823" spans="1:8" x14ac:dyDescent="0.25">
      <c r="E1823" t="str">
        <f>"T3 201903067820"</f>
        <v>T3 201903067820</v>
      </c>
      <c r="F1823" t="str">
        <f>"SOCIAL SECURITY TAXES"</f>
        <v>SOCIAL SECURITY TAXES</v>
      </c>
      <c r="G1823" s="2">
        <v>4031.78</v>
      </c>
      <c r="H1823" t="str">
        <f t="shared" ref="H1823:H1854" si="33">"SOCIAL SECURITY TAXES"</f>
        <v>SOCIAL SECURITY TAXES</v>
      </c>
    </row>
    <row r="1824" spans="1:8" x14ac:dyDescent="0.25">
      <c r="E1824" t="str">
        <f>""</f>
        <v/>
      </c>
      <c r="F1824" t="str">
        <f>""</f>
        <v/>
      </c>
      <c r="H1824" t="str">
        <f t="shared" si="33"/>
        <v>SOCIAL SECURITY TAXES</v>
      </c>
    </row>
    <row r="1825" spans="5:8" x14ac:dyDescent="0.25">
      <c r="E1825" t="str">
        <f>"T3 201903067843"</f>
        <v>T3 201903067843</v>
      </c>
      <c r="F1825" t="str">
        <f>"SOCIAL SECURITY TAXES"</f>
        <v>SOCIAL SECURITY TAXES</v>
      </c>
      <c r="G1825" s="2">
        <v>57670.91</v>
      </c>
      <c r="H1825" t="str">
        <f t="shared" si="33"/>
        <v>SOCIAL SECURITY TAXES</v>
      </c>
    </row>
    <row r="1826" spans="5:8" x14ac:dyDescent="0.25">
      <c r="E1826" t="str">
        <f>""</f>
        <v/>
      </c>
      <c r="F1826" t="str">
        <f>""</f>
        <v/>
      </c>
      <c r="H1826" t="str">
        <f t="shared" si="33"/>
        <v>SOCIAL SECURITY TAXES</v>
      </c>
    </row>
    <row r="1827" spans="5:8" x14ac:dyDescent="0.25">
      <c r="E1827" t="str">
        <f>""</f>
        <v/>
      </c>
      <c r="F1827" t="str">
        <f>""</f>
        <v/>
      </c>
      <c r="H1827" t="str">
        <f t="shared" si="33"/>
        <v>SOCIAL SECURITY TAXES</v>
      </c>
    </row>
    <row r="1828" spans="5:8" x14ac:dyDescent="0.25">
      <c r="E1828" t="str">
        <f>""</f>
        <v/>
      </c>
      <c r="F1828" t="str">
        <f>""</f>
        <v/>
      </c>
      <c r="H1828" t="str">
        <f t="shared" si="33"/>
        <v>SOCIAL SECURITY TAXES</v>
      </c>
    </row>
    <row r="1829" spans="5:8" x14ac:dyDescent="0.25">
      <c r="E1829" t="str">
        <f>""</f>
        <v/>
      </c>
      <c r="F1829" t="str">
        <f>""</f>
        <v/>
      </c>
      <c r="H1829" t="str">
        <f t="shared" si="33"/>
        <v>SOCIAL SECURITY TAXES</v>
      </c>
    </row>
    <row r="1830" spans="5:8" x14ac:dyDescent="0.25">
      <c r="E1830" t="str">
        <f>""</f>
        <v/>
      </c>
      <c r="F1830" t="str">
        <f>""</f>
        <v/>
      </c>
      <c r="H1830" t="str">
        <f t="shared" si="33"/>
        <v>SOCIAL SECURITY TAXES</v>
      </c>
    </row>
    <row r="1831" spans="5:8" x14ac:dyDescent="0.25">
      <c r="E1831" t="str">
        <f>""</f>
        <v/>
      </c>
      <c r="F1831" t="str">
        <f>""</f>
        <v/>
      </c>
      <c r="H1831" t="str">
        <f t="shared" si="33"/>
        <v>SOCIAL SECURITY TAXES</v>
      </c>
    </row>
    <row r="1832" spans="5:8" x14ac:dyDescent="0.25">
      <c r="E1832" t="str">
        <f>""</f>
        <v/>
      </c>
      <c r="F1832" t="str">
        <f>""</f>
        <v/>
      </c>
      <c r="H1832" t="str">
        <f t="shared" si="33"/>
        <v>SOCIAL SECURITY TAXES</v>
      </c>
    </row>
    <row r="1833" spans="5:8" x14ac:dyDescent="0.25">
      <c r="E1833" t="str">
        <f>""</f>
        <v/>
      </c>
      <c r="F1833" t="str">
        <f>""</f>
        <v/>
      </c>
      <c r="H1833" t="str">
        <f t="shared" si="33"/>
        <v>SOCIAL SECURITY TAXES</v>
      </c>
    </row>
    <row r="1834" spans="5:8" x14ac:dyDescent="0.25">
      <c r="E1834" t="str">
        <f>""</f>
        <v/>
      </c>
      <c r="F1834" t="str">
        <f>""</f>
        <v/>
      </c>
      <c r="H1834" t="str">
        <f t="shared" si="33"/>
        <v>SOCIAL SECURITY TAXES</v>
      </c>
    </row>
    <row r="1835" spans="5:8" x14ac:dyDescent="0.25">
      <c r="E1835" t="str">
        <f>""</f>
        <v/>
      </c>
      <c r="F1835" t="str">
        <f>""</f>
        <v/>
      </c>
      <c r="H1835" t="str">
        <f t="shared" si="33"/>
        <v>SOCIAL SECURITY TAXES</v>
      </c>
    </row>
    <row r="1836" spans="5:8" x14ac:dyDescent="0.25">
      <c r="E1836" t="str">
        <f>""</f>
        <v/>
      </c>
      <c r="F1836" t="str">
        <f>""</f>
        <v/>
      </c>
      <c r="H1836" t="str">
        <f t="shared" si="33"/>
        <v>SOCIAL SECURITY TAXES</v>
      </c>
    </row>
    <row r="1837" spans="5:8" x14ac:dyDescent="0.25">
      <c r="E1837" t="str">
        <f>""</f>
        <v/>
      </c>
      <c r="F1837" t="str">
        <f>""</f>
        <v/>
      </c>
      <c r="H1837" t="str">
        <f t="shared" si="33"/>
        <v>SOCIAL SECURITY TAXES</v>
      </c>
    </row>
    <row r="1838" spans="5:8" x14ac:dyDescent="0.25">
      <c r="E1838" t="str">
        <f>""</f>
        <v/>
      </c>
      <c r="F1838" t="str">
        <f>""</f>
        <v/>
      </c>
      <c r="H1838" t="str">
        <f t="shared" si="33"/>
        <v>SOCIAL SECURITY TAXES</v>
      </c>
    </row>
    <row r="1839" spans="5:8" x14ac:dyDescent="0.25">
      <c r="E1839" t="str">
        <f>""</f>
        <v/>
      </c>
      <c r="F1839" t="str">
        <f>""</f>
        <v/>
      </c>
      <c r="H1839" t="str">
        <f t="shared" si="33"/>
        <v>SOCIAL SECURITY TAXES</v>
      </c>
    </row>
    <row r="1840" spans="5:8" x14ac:dyDescent="0.25">
      <c r="E1840" t="str">
        <f>""</f>
        <v/>
      </c>
      <c r="F1840" t="str">
        <f>""</f>
        <v/>
      </c>
      <c r="H1840" t="str">
        <f t="shared" si="33"/>
        <v>SOCIAL SECURITY TAXES</v>
      </c>
    </row>
    <row r="1841" spans="5:8" x14ac:dyDescent="0.25">
      <c r="E1841" t="str">
        <f>""</f>
        <v/>
      </c>
      <c r="F1841" t="str">
        <f>""</f>
        <v/>
      </c>
      <c r="H1841" t="str">
        <f t="shared" si="33"/>
        <v>SOCIAL SECURITY TAXES</v>
      </c>
    </row>
    <row r="1842" spans="5:8" x14ac:dyDescent="0.25">
      <c r="E1842" t="str">
        <f>""</f>
        <v/>
      </c>
      <c r="F1842" t="str">
        <f>""</f>
        <v/>
      </c>
      <c r="H1842" t="str">
        <f t="shared" si="33"/>
        <v>SOCIAL SECURITY TAXES</v>
      </c>
    </row>
    <row r="1843" spans="5:8" x14ac:dyDescent="0.25">
      <c r="E1843" t="str">
        <f>""</f>
        <v/>
      </c>
      <c r="F1843" t="str">
        <f>""</f>
        <v/>
      </c>
      <c r="H1843" t="str">
        <f t="shared" si="33"/>
        <v>SOCIAL SECURITY TAXES</v>
      </c>
    </row>
    <row r="1844" spans="5:8" x14ac:dyDescent="0.25">
      <c r="E1844" t="str">
        <f>""</f>
        <v/>
      </c>
      <c r="F1844" t="str">
        <f>""</f>
        <v/>
      </c>
      <c r="H1844" t="str">
        <f t="shared" si="33"/>
        <v>SOCIAL SECURITY TAXES</v>
      </c>
    </row>
    <row r="1845" spans="5:8" x14ac:dyDescent="0.25">
      <c r="E1845" t="str">
        <f>""</f>
        <v/>
      </c>
      <c r="F1845" t="str">
        <f>""</f>
        <v/>
      </c>
      <c r="H1845" t="str">
        <f t="shared" si="33"/>
        <v>SOCIAL SECURITY TAXES</v>
      </c>
    </row>
    <row r="1846" spans="5:8" x14ac:dyDescent="0.25">
      <c r="E1846" t="str">
        <f>""</f>
        <v/>
      </c>
      <c r="F1846" t="str">
        <f>""</f>
        <v/>
      </c>
      <c r="H1846" t="str">
        <f t="shared" si="33"/>
        <v>SOCIAL SECURITY TAXES</v>
      </c>
    </row>
    <row r="1847" spans="5:8" x14ac:dyDescent="0.25">
      <c r="E1847" t="str">
        <f>""</f>
        <v/>
      </c>
      <c r="F1847" t="str">
        <f>""</f>
        <v/>
      </c>
      <c r="H1847" t="str">
        <f t="shared" si="33"/>
        <v>SOCIAL SECURITY TAXES</v>
      </c>
    </row>
    <row r="1848" spans="5:8" x14ac:dyDescent="0.25">
      <c r="E1848" t="str">
        <f>""</f>
        <v/>
      </c>
      <c r="F1848" t="str">
        <f>""</f>
        <v/>
      </c>
      <c r="H1848" t="str">
        <f t="shared" si="33"/>
        <v>SOCIAL SECURITY TAXES</v>
      </c>
    </row>
    <row r="1849" spans="5:8" x14ac:dyDescent="0.25">
      <c r="E1849" t="str">
        <f>""</f>
        <v/>
      </c>
      <c r="F1849" t="str">
        <f>""</f>
        <v/>
      </c>
      <c r="H1849" t="str">
        <f t="shared" si="33"/>
        <v>SOCIAL SECURITY TAXES</v>
      </c>
    </row>
    <row r="1850" spans="5:8" x14ac:dyDescent="0.25">
      <c r="E1850" t="str">
        <f>""</f>
        <v/>
      </c>
      <c r="F1850" t="str">
        <f>""</f>
        <v/>
      </c>
      <c r="H1850" t="str">
        <f t="shared" si="33"/>
        <v>SOCIAL SECURITY TAXES</v>
      </c>
    </row>
    <row r="1851" spans="5:8" x14ac:dyDescent="0.25">
      <c r="E1851" t="str">
        <f>""</f>
        <v/>
      </c>
      <c r="F1851" t="str">
        <f>""</f>
        <v/>
      </c>
      <c r="H1851" t="str">
        <f t="shared" si="33"/>
        <v>SOCIAL SECURITY TAXES</v>
      </c>
    </row>
    <row r="1852" spans="5:8" x14ac:dyDescent="0.25">
      <c r="E1852" t="str">
        <f>""</f>
        <v/>
      </c>
      <c r="F1852" t="str">
        <f>""</f>
        <v/>
      </c>
      <c r="H1852" t="str">
        <f t="shared" si="33"/>
        <v>SOCIAL SECURITY TAXES</v>
      </c>
    </row>
    <row r="1853" spans="5:8" x14ac:dyDescent="0.25">
      <c r="E1853" t="str">
        <f>""</f>
        <v/>
      </c>
      <c r="F1853" t="str">
        <f>""</f>
        <v/>
      </c>
      <c r="H1853" t="str">
        <f t="shared" si="33"/>
        <v>SOCIAL SECURITY TAXES</v>
      </c>
    </row>
    <row r="1854" spans="5:8" x14ac:dyDescent="0.25">
      <c r="E1854" t="str">
        <f>""</f>
        <v/>
      </c>
      <c r="F1854" t="str">
        <f>""</f>
        <v/>
      </c>
      <c r="H1854" t="str">
        <f t="shared" si="33"/>
        <v>SOCIAL SECURITY TAXES</v>
      </c>
    </row>
    <row r="1855" spans="5:8" x14ac:dyDescent="0.25">
      <c r="E1855" t="str">
        <f>""</f>
        <v/>
      </c>
      <c r="F1855" t="str">
        <f>""</f>
        <v/>
      </c>
      <c r="H1855" t="str">
        <f t="shared" ref="H1855:H1878" si="34">"SOCIAL SECURITY TAXES"</f>
        <v>SOCIAL SECURITY TAXES</v>
      </c>
    </row>
    <row r="1856" spans="5:8" x14ac:dyDescent="0.25">
      <c r="E1856" t="str">
        <f>""</f>
        <v/>
      </c>
      <c r="F1856" t="str">
        <f>""</f>
        <v/>
      </c>
      <c r="H1856" t="str">
        <f t="shared" si="34"/>
        <v>SOCIAL SECURITY TAXES</v>
      </c>
    </row>
    <row r="1857" spans="5:8" x14ac:dyDescent="0.25">
      <c r="E1857" t="str">
        <f>""</f>
        <v/>
      </c>
      <c r="F1857" t="str">
        <f>""</f>
        <v/>
      </c>
      <c r="H1857" t="str">
        <f t="shared" si="34"/>
        <v>SOCIAL SECURITY TAXES</v>
      </c>
    </row>
    <row r="1858" spans="5:8" x14ac:dyDescent="0.25">
      <c r="E1858" t="str">
        <f>""</f>
        <v/>
      </c>
      <c r="F1858" t="str">
        <f>""</f>
        <v/>
      </c>
      <c r="H1858" t="str">
        <f t="shared" si="34"/>
        <v>SOCIAL SECURITY TAXES</v>
      </c>
    </row>
    <row r="1859" spans="5:8" x14ac:dyDescent="0.25">
      <c r="E1859" t="str">
        <f>""</f>
        <v/>
      </c>
      <c r="F1859" t="str">
        <f>""</f>
        <v/>
      </c>
      <c r="H1859" t="str">
        <f t="shared" si="34"/>
        <v>SOCIAL SECURITY TAXES</v>
      </c>
    </row>
    <row r="1860" spans="5:8" x14ac:dyDescent="0.25">
      <c r="E1860" t="str">
        <f>""</f>
        <v/>
      </c>
      <c r="F1860" t="str">
        <f>""</f>
        <v/>
      </c>
      <c r="H1860" t="str">
        <f t="shared" si="34"/>
        <v>SOCIAL SECURITY TAXES</v>
      </c>
    </row>
    <row r="1861" spans="5:8" x14ac:dyDescent="0.25">
      <c r="E1861" t="str">
        <f>""</f>
        <v/>
      </c>
      <c r="F1861" t="str">
        <f>""</f>
        <v/>
      </c>
      <c r="H1861" t="str">
        <f t="shared" si="34"/>
        <v>SOCIAL SECURITY TAXES</v>
      </c>
    </row>
    <row r="1862" spans="5:8" x14ac:dyDescent="0.25">
      <c r="E1862" t="str">
        <f>""</f>
        <v/>
      </c>
      <c r="F1862" t="str">
        <f>""</f>
        <v/>
      </c>
      <c r="H1862" t="str">
        <f t="shared" si="34"/>
        <v>SOCIAL SECURITY TAXES</v>
      </c>
    </row>
    <row r="1863" spans="5:8" x14ac:dyDescent="0.25">
      <c r="E1863" t="str">
        <f>""</f>
        <v/>
      </c>
      <c r="F1863" t="str">
        <f>""</f>
        <v/>
      </c>
      <c r="H1863" t="str">
        <f t="shared" si="34"/>
        <v>SOCIAL SECURITY TAXES</v>
      </c>
    </row>
    <row r="1864" spans="5:8" x14ac:dyDescent="0.25">
      <c r="E1864" t="str">
        <f>""</f>
        <v/>
      </c>
      <c r="F1864" t="str">
        <f>""</f>
        <v/>
      </c>
      <c r="H1864" t="str">
        <f t="shared" si="34"/>
        <v>SOCIAL SECURITY TAXES</v>
      </c>
    </row>
    <row r="1865" spans="5:8" x14ac:dyDescent="0.25">
      <c r="E1865" t="str">
        <f>""</f>
        <v/>
      </c>
      <c r="F1865" t="str">
        <f>""</f>
        <v/>
      </c>
      <c r="H1865" t="str">
        <f t="shared" si="34"/>
        <v>SOCIAL SECURITY TAXES</v>
      </c>
    </row>
    <row r="1866" spans="5:8" x14ac:dyDescent="0.25">
      <c r="E1866" t="str">
        <f>""</f>
        <v/>
      </c>
      <c r="F1866" t="str">
        <f>""</f>
        <v/>
      </c>
      <c r="H1866" t="str">
        <f t="shared" si="34"/>
        <v>SOCIAL SECURITY TAXES</v>
      </c>
    </row>
    <row r="1867" spans="5:8" x14ac:dyDescent="0.25">
      <c r="E1867" t="str">
        <f>""</f>
        <v/>
      </c>
      <c r="F1867" t="str">
        <f>""</f>
        <v/>
      </c>
      <c r="H1867" t="str">
        <f t="shared" si="34"/>
        <v>SOCIAL SECURITY TAXES</v>
      </c>
    </row>
    <row r="1868" spans="5:8" x14ac:dyDescent="0.25">
      <c r="E1868" t="str">
        <f>""</f>
        <v/>
      </c>
      <c r="F1868" t="str">
        <f>""</f>
        <v/>
      </c>
      <c r="H1868" t="str">
        <f t="shared" si="34"/>
        <v>SOCIAL SECURITY TAXES</v>
      </c>
    </row>
    <row r="1869" spans="5:8" x14ac:dyDescent="0.25">
      <c r="E1869" t="str">
        <f>""</f>
        <v/>
      </c>
      <c r="F1869" t="str">
        <f>""</f>
        <v/>
      </c>
      <c r="H1869" t="str">
        <f t="shared" si="34"/>
        <v>SOCIAL SECURITY TAXES</v>
      </c>
    </row>
    <row r="1870" spans="5:8" x14ac:dyDescent="0.25">
      <c r="E1870" t="str">
        <f>""</f>
        <v/>
      </c>
      <c r="F1870" t="str">
        <f>""</f>
        <v/>
      </c>
      <c r="H1870" t="str">
        <f t="shared" si="34"/>
        <v>SOCIAL SECURITY TAXES</v>
      </c>
    </row>
    <row r="1871" spans="5:8" x14ac:dyDescent="0.25">
      <c r="E1871" t="str">
        <f>""</f>
        <v/>
      </c>
      <c r="F1871" t="str">
        <f>""</f>
        <v/>
      </c>
      <c r="H1871" t="str">
        <f t="shared" si="34"/>
        <v>SOCIAL SECURITY TAXES</v>
      </c>
    </row>
    <row r="1872" spans="5:8" x14ac:dyDescent="0.25">
      <c r="E1872" t="str">
        <f>""</f>
        <v/>
      </c>
      <c r="F1872" t="str">
        <f>""</f>
        <v/>
      </c>
      <c r="H1872" t="str">
        <f t="shared" si="34"/>
        <v>SOCIAL SECURITY TAXES</v>
      </c>
    </row>
    <row r="1873" spans="5:8" x14ac:dyDescent="0.25">
      <c r="E1873" t="str">
        <f>""</f>
        <v/>
      </c>
      <c r="F1873" t="str">
        <f>""</f>
        <v/>
      </c>
      <c r="H1873" t="str">
        <f t="shared" si="34"/>
        <v>SOCIAL SECURITY TAXES</v>
      </c>
    </row>
    <row r="1874" spans="5:8" x14ac:dyDescent="0.25">
      <c r="E1874" t="str">
        <f>""</f>
        <v/>
      </c>
      <c r="F1874" t="str">
        <f>""</f>
        <v/>
      </c>
      <c r="H1874" t="str">
        <f t="shared" si="34"/>
        <v>SOCIAL SECURITY TAXES</v>
      </c>
    </row>
    <row r="1875" spans="5:8" x14ac:dyDescent="0.25">
      <c r="E1875" t="str">
        <f>""</f>
        <v/>
      </c>
      <c r="F1875" t="str">
        <f>""</f>
        <v/>
      </c>
      <c r="H1875" t="str">
        <f t="shared" si="34"/>
        <v>SOCIAL SECURITY TAXES</v>
      </c>
    </row>
    <row r="1876" spans="5:8" x14ac:dyDescent="0.25">
      <c r="E1876" t="str">
        <f>""</f>
        <v/>
      </c>
      <c r="F1876" t="str">
        <f>""</f>
        <v/>
      </c>
      <c r="H1876" t="str">
        <f t="shared" si="34"/>
        <v>SOCIAL SECURITY TAXES</v>
      </c>
    </row>
    <row r="1877" spans="5:8" x14ac:dyDescent="0.25">
      <c r="E1877" t="str">
        <f>"T3 201903067844"</f>
        <v>T3 201903067844</v>
      </c>
      <c r="F1877" t="str">
        <f>"SOCIAL SECURITY TAXES"</f>
        <v>SOCIAL SECURITY TAXES</v>
      </c>
      <c r="G1877" s="2">
        <v>4716.78</v>
      </c>
      <c r="H1877" t="str">
        <f t="shared" si="34"/>
        <v>SOCIAL SECURITY TAXES</v>
      </c>
    </row>
    <row r="1878" spans="5:8" x14ac:dyDescent="0.25">
      <c r="E1878" t="str">
        <f>""</f>
        <v/>
      </c>
      <c r="F1878" t="str">
        <f>""</f>
        <v/>
      </c>
      <c r="H1878" t="str">
        <f t="shared" si="34"/>
        <v>SOCIAL SECURITY TAXES</v>
      </c>
    </row>
    <row r="1879" spans="5:8" x14ac:dyDescent="0.25">
      <c r="E1879" t="str">
        <f>"T4 201903067820"</f>
        <v>T4 201903067820</v>
      </c>
      <c r="F1879" t="str">
        <f>"MEDICARE TAXES"</f>
        <v>MEDICARE TAXES</v>
      </c>
      <c r="G1879" s="2">
        <v>942.92</v>
      </c>
      <c r="H1879" t="str">
        <f t="shared" ref="H1879:H1910" si="35">"MEDICARE TAXES"</f>
        <v>MEDICARE TAXES</v>
      </c>
    </row>
    <row r="1880" spans="5:8" x14ac:dyDescent="0.25">
      <c r="E1880" t="str">
        <f>""</f>
        <v/>
      </c>
      <c r="F1880" t="str">
        <f>""</f>
        <v/>
      </c>
      <c r="H1880" t="str">
        <f t="shared" si="35"/>
        <v>MEDICARE TAXES</v>
      </c>
    </row>
    <row r="1881" spans="5:8" x14ac:dyDescent="0.25">
      <c r="E1881" t="str">
        <f>"T4 201903067843"</f>
        <v>T4 201903067843</v>
      </c>
      <c r="F1881" t="str">
        <f>"MEDICARE TAXES"</f>
        <v>MEDICARE TAXES</v>
      </c>
      <c r="G1881" s="2">
        <v>26974.98</v>
      </c>
      <c r="H1881" t="str">
        <f t="shared" si="35"/>
        <v>MEDICARE TAXES</v>
      </c>
    </row>
    <row r="1882" spans="5:8" x14ac:dyDescent="0.25">
      <c r="E1882" t="str">
        <f>""</f>
        <v/>
      </c>
      <c r="F1882" t="str">
        <f>""</f>
        <v/>
      </c>
      <c r="H1882" t="str">
        <f t="shared" si="35"/>
        <v>MEDICARE TAXES</v>
      </c>
    </row>
    <row r="1883" spans="5:8" x14ac:dyDescent="0.25">
      <c r="E1883" t="str">
        <f>""</f>
        <v/>
      </c>
      <c r="F1883" t="str">
        <f>""</f>
        <v/>
      </c>
      <c r="H1883" t="str">
        <f t="shared" si="35"/>
        <v>MEDICARE TAXES</v>
      </c>
    </row>
    <row r="1884" spans="5:8" x14ac:dyDescent="0.25">
      <c r="E1884" t="str">
        <f>""</f>
        <v/>
      </c>
      <c r="F1884" t="str">
        <f>""</f>
        <v/>
      </c>
      <c r="H1884" t="str">
        <f t="shared" si="35"/>
        <v>MEDICARE TAXES</v>
      </c>
    </row>
    <row r="1885" spans="5:8" x14ac:dyDescent="0.25">
      <c r="E1885" t="str">
        <f>""</f>
        <v/>
      </c>
      <c r="F1885" t="str">
        <f>""</f>
        <v/>
      </c>
      <c r="H1885" t="str">
        <f t="shared" si="35"/>
        <v>MEDICARE TAXES</v>
      </c>
    </row>
    <row r="1886" spans="5:8" x14ac:dyDescent="0.25">
      <c r="E1886" t="str">
        <f>""</f>
        <v/>
      </c>
      <c r="F1886" t="str">
        <f>""</f>
        <v/>
      </c>
      <c r="H1886" t="str">
        <f t="shared" si="35"/>
        <v>MEDICARE TAXES</v>
      </c>
    </row>
    <row r="1887" spans="5:8" x14ac:dyDescent="0.25">
      <c r="E1887" t="str">
        <f>""</f>
        <v/>
      </c>
      <c r="F1887" t="str">
        <f>""</f>
        <v/>
      </c>
      <c r="H1887" t="str">
        <f t="shared" si="35"/>
        <v>MEDICARE TAXES</v>
      </c>
    </row>
    <row r="1888" spans="5:8" x14ac:dyDescent="0.25">
      <c r="E1888" t="str">
        <f>""</f>
        <v/>
      </c>
      <c r="F1888" t="str">
        <f>""</f>
        <v/>
      </c>
      <c r="H1888" t="str">
        <f t="shared" si="35"/>
        <v>MEDICARE TAXES</v>
      </c>
    </row>
    <row r="1889" spans="5:8" x14ac:dyDescent="0.25">
      <c r="E1889" t="str">
        <f>""</f>
        <v/>
      </c>
      <c r="F1889" t="str">
        <f>""</f>
        <v/>
      </c>
      <c r="H1889" t="str">
        <f t="shared" si="35"/>
        <v>MEDICARE TAXES</v>
      </c>
    </row>
    <row r="1890" spans="5:8" x14ac:dyDescent="0.25">
      <c r="E1890" t="str">
        <f>""</f>
        <v/>
      </c>
      <c r="F1890" t="str">
        <f>""</f>
        <v/>
      </c>
      <c r="H1890" t="str">
        <f t="shared" si="35"/>
        <v>MEDICARE TAXES</v>
      </c>
    </row>
    <row r="1891" spans="5:8" x14ac:dyDescent="0.25">
      <c r="E1891" t="str">
        <f>""</f>
        <v/>
      </c>
      <c r="F1891" t="str">
        <f>""</f>
        <v/>
      </c>
      <c r="H1891" t="str">
        <f t="shared" si="35"/>
        <v>MEDICARE TAXES</v>
      </c>
    </row>
    <row r="1892" spans="5:8" x14ac:dyDescent="0.25">
      <c r="E1892" t="str">
        <f>""</f>
        <v/>
      </c>
      <c r="F1892" t="str">
        <f>""</f>
        <v/>
      </c>
      <c r="H1892" t="str">
        <f t="shared" si="35"/>
        <v>MEDICARE TAXES</v>
      </c>
    </row>
    <row r="1893" spans="5:8" x14ac:dyDescent="0.25">
      <c r="E1893" t="str">
        <f>""</f>
        <v/>
      </c>
      <c r="F1893" t="str">
        <f>""</f>
        <v/>
      </c>
      <c r="H1893" t="str">
        <f t="shared" si="35"/>
        <v>MEDICARE TAXES</v>
      </c>
    </row>
    <row r="1894" spans="5:8" x14ac:dyDescent="0.25">
      <c r="E1894" t="str">
        <f>""</f>
        <v/>
      </c>
      <c r="F1894" t="str">
        <f>""</f>
        <v/>
      </c>
      <c r="H1894" t="str">
        <f t="shared" si="35"/>
        <v>MEDICARE TAXES</v>
      </c>
    </row>
    <row r="1895" spans="5:8" x14ac:dyDescent="0.25">
      <c r="E1895" t="str">
        <f>""</f>
        <v/>
      </c>
      <c r="F1895" t="str">
        <f>""</f>
        <v/>
      </c>
      <c r="H1895" t="str">
        <f t="shared" si="35"/>
        <v>MEDICARE TAXES</v>
      </c>
    </row>
    <row r="1896" spans="5:8" x14ac:dyDescent="0.25">
      <c r="E1896" t="str">
        <f>""</f>
        <v/>
      </c>
      <c r="F1896" t="str">
        <f>""</f>
        <v/>
      </c>
      <c r="H1896" t="str">
        <f t="shared" si="35"/>
        <v>MEDICARE TAXES</v>
      </c>
    </row>
    <row r="1897" spans="5:8" x14ac:dyDescent="0.25">
      <c r="E1897" t="str">
        <f>""</f>
        <v/>
      </c>
      <c r="F1897" t="str">
        <f>""</f>
        <v/>
      </c>
      <c r="H1897" t="str">
        <f t="shared" si="35"/>
        <v>MEDICARE TAXES</v>
      </c>
    </row>
    <row r="1898" spans="5:8" x14ac:dyDescent="0.25">
      <c r="E1898" t="str">
        <f>""</f>
        <v/>
      </c>
      <c r="F1898" t="str">
        <f>""</f>
        <v/>
      </c>
      <c r="H1898" t="str">
        <f t="shared" si="35"/>
        <v>MEDICARE TAXES</v>
      </c>
    </row>
    <row r="1899" spans="5:8" x14ac:dyDescent="0.25">
      <c r="E1899" t="str">
        <f>""</f>
        <v/>
      </c>
      <c r="F1899" t="str">
        <f>""</f>
        <v/>
      </c>
      <c r="H1899" t="str">
        <f t="shared" si="35"/>
        <v>MEDICARE TAXES</v>
      </c>
    </row>
    <row r="1900" spans="5:8" x14ac:dyDescent="0.25">
      <c r="E1900" t="str">
        <f>""</f>
        <v/>
      </c>
      <c r="F1900" t="str">
        <f>""</f>
        <v/>
      </c>
      <c r="H1900" t="str">
        <f t="shared" si="35"/>
        <v>MEDICARE TAXES</v>
      </c>
    </row>
    <row r="1901" spans="5:8" x14ac:dyDescent="0.25">
      <c r="E1901" t="str">
        <f>""</f>
        <v/>
      </c>
      <c r="F1901" t="str">
        <f>""</f>
        <v/>
      </c>
      <c r="H1901" t="str">
        <f t="shared" si="35"/>
        <v>MEDICARE TAXES</v>
      </c>
    </row>
    <row r="1902" spans="5:8" x14ac:dyDescent="0.25">
      <c r="E1902" t="str">
        <f>""</f>
        <v/>
      </c>
      <c r="F1902" t="str">
        <f>""</f>
        <v/>
      </c>
      <c r="H1902" t="str">
        <f t="shared" si="35"/>
        <v>MEDICARE TAXES</v>
      </c>
    </row>
    <row r="1903" spans="5:8" x14ac:dyDescent="0.25">
      <c r="E1903" t="str">
        <f>""</f>
        <v/>
      </c>
      <c r="F1903" t="str">
        <f>""</f>
        <v/>
      </c>
      <c r="H1903" t="str">
        <f t="shared" si="35"/>
        <v>MEDICARE TAXES</v>
      </c>
    </row>
    <row r="1904" spans="5:8" x14ac:dyDescent="0.25">
      <c r="E1904" t="str">
        <f>""</f>
        <v/>
      </c>
      <c r="F1904" t="str">
        <f>""</f>
        <v/>
      </c>
      <c r="H1904" t="str">
        <f t="shared" si="35"/>
        <v>MEDICARE TAXES</v>
      </c>
    </row>
    <row r="1905" spans="5:8" x14ac:dyDescent="0.25">
      <c r="E1905" t="str">
        <f>""</f>
        <v/>
      </c>
      <c r="F1905" t="str">
        <f>""</f>
        <v/>
      </c>
      <c r="H1905" t="str">
        <f t="shared" si="35"/>
        <v>MEDICARE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35"/>
        <v>MEDICARE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35"/>
        <v>MEDICARE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35"/>
        <v>MEDICARE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35"/>
        <v>MEDICARE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35"/>
        <v>MEDICARE TAXES</v>
      </c>
    </row>
    <row r="1911" spans="5:8" x14ac:dyDescent="0.25">
      <c r="E1911" t="str">
        <f>""</f>
        <v/>
      </c>
      <c r="F1911" t="str">
        <f>""</f>
        <v/>
      </c>
      <c r="H1911" t="str">
        <f t="shared" ref="H1911:H1934" si="36">"MEDICARE TAXES"</f>
        <v>MEDICARE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36"/>
        <v>MEDICARE TAXES</v>
      </c>
    </row>
    <row r="1913" spans="5:8" x14ac:dyDescent="0.25">
      <c r="E1913" t="str">
        <f>""</f>
        <v/>
      </c>
      <c r="F1913" t="str">
        <f>""</f>
        <v/>
      </c>
      <c r="H1913" t="str">
        <f t="shared" si="36"/>
        <v>MEDICARE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36"/>
        <v>MEDICARE TAXES</v>
      </c>
    </row>
    <row r="1915" spans="5:8" x14ac:dyDescent="0.25">
      <c r="E1915" t="str">
        <f>""</f>
        <v/>
      </c>
      <c r="F1915" t="str">
        <f>""</f>
        <v/>
      </c>
      <c r="H1915" t="str">
        <f t="shared" si="36"/>
        <v>MEDICARE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36"/>
        <v>MEDICARE TAXES</v>
      </c>
    </row>
    <row r="1917" spans="5:8" x14ac:dyDescent="0.25">
      <c r="E1917" t="str">
        <f>""</f>
        <v/>
      </c>
      <c r="F1917" t="str">
        <f>""</f>
        <v/>
      </c>
      <c r="H1917" t="str">
        <f t="shared" si="36"/>
        <v>MEDICARE TAXES</v>
      </c>
    </row>
    <row r="1918" spans="5:8" x14ac:dyDescent="0.25">
      <c r="E1918" t="str">
        <f>""</f>
        <v/>
      </c>
      <c r="F1918" t="str">
        <f>""</f>
        <v/>
      </c>
      <c r="H1918" t="str">
        <f t="shared" si="36"/>
        <v>MEDICARE TAXES</v>
      </c>
    </row>
    <row r="1919" spans="5:8" x14ac:dyDescent="0.25">
      <c r="E1919" t="str">
        <f>""</f>
        <v/>
      </c>
      <c r="F1919" t="str">
        <f>""</f>
        <v/>
      </c>
      <c r="H1919" t="str">
        <f t="shared" si="36"/>
        <v>MEDICARE TAXES</v>
      </c>
    </row>
    <row r="1920" spans="5:8" x14ac:dyDescent="0.25">
      <c r="E1920" t="str">
        <f>""</f>
        <v/>
      </c>
      <c r="F1920" t="str">
        <f>""</f>
        <v/>
      </c>
      <c r="H1920" t="str">
        <f t="shared" si="36"/>
        <v>MEDICARE TAXES</v>
      </c>
    </row>
    <row r="1921" spans="1:8" x14ac:dyDescent="0.25">
      <c r="E1921" t="str">
        <f>""</f>
        <v/>
      </c>
      <c r="F1921" t="str">
        <f>""</f>
        <v/>
      </c>
      <c r="H1921" t="str">
        <f t="shared" si="36"/>
        <v>MEDICARE TAXES</v>
      </c>
    </row>
    <row r="1922" spans="1:8" x14ac:dyDescent="0.25">
      <c r="E1922" t="str">
        <f>""</f>
        <v/>
      </c>
      <c r="F1922" t="str">
        <f>""</f>
        <v/>
      </c>
      <c r="H1922" t="str">
        <f t="shared" si="36"/>
        <v>MEDICARE TAXES</v>
      </c>
    </row>
    <row r="1923" spans="1:8" x14ac:dyDescent="0.25">
      <c r="E1923" t="str">
        <f>""</f>
        <v/>
      </c>
      <c r="F1923" t="str">
        <f>""</f>
        <v/>
      </c>
      <c r="H1923" t="str">
        <f t="shared" si="36"/>
        <v>MEDICARE TAXES</v>
      </c>
    </row>
    <row r="1924" spans="1:8" x14ac:dyDescent="0.25">
      <c r="E1924" t="str">
        <f>""</f>
        <v/>
      </c>
      <c r="F1924" t="str">
        <f>""</f>
        <v/>
      </c>
      <c r="H1924" t="str">
        <f t="shared" si="36"/>
        <v>MEDICARE TAXES</v>
      </c>
    </row>
    <row r="1925" spans="1:8" x14ac:dyDescent="0.25">
      <c r="E1925" t="str">
        <f>""</f>
        <v/>
      </c>
      <c r="F1925" t="str">
        <f>""</f>
        <v/>
      </c>
      <c r="H1925" t="str">
        <f t="shared" si="36"/>
        <v>MEDICARE TAXES</v>
      </c>
    </row>
    <row r="1926" spans="1:8" x14ac:dyDescent="0.25">
      <c r="E1926" t="str">
        <f>""</f>
        <v/>
      </c>
      <c r="F1926" t="str">
        <f>""</f>
        <v/>
      </c>
      <c r="H1926" t="str">
        <f t="shared" si="36"/>
        <v>MEDICARE TAXES</v>
      </c>
    </row>
    <row r="1927" spans="1:8" x14ac:dyDescent="0.25">
      <c r="E1927" t="str">
        <f>""</f>
        <v/>
      </c>
      <c r="F1927" t="str">
        <f>""</f>
        <v/>
      </c>
      <c r="H1927" t="str">
        <f t="shared" si="36"/>
        <v>MEDICARE TAXES</v>
      </c>
    </row>
    <row r="1928" spans="1:8" x14ac:dyDescent="0.25">
      <c r="E1928" t="str">
        <f>""</f>
        <v/>
      </c>
      <c r="F1928" t="str">
        <f>""</f>
        <v/>
      </c>
      <c r="H1928" t="str">
        <f t="shared" si="36"/>
        <v>MEDICARE TAXES</v>
      </c>
    </row>
    <row r="1929" spans="1:8" x14ac:dyDescent="0.25">
      <c r="E1929" t="str">
        <f>""</f>
        <v/>
      </c>
      <c r="F1929" t="str">
        <f>""</f>
        <v/>
      </c>
      <c r="H1929" t="str">
        <f t="shared" si="36"/>
        <v>MEDICARE TAXES</v>
      </c>
    </row>
    <row r="1930" spans="1:8" x14ac:dyDescent="0.25">
      <c r="E1930" t="str">
        <f>""</f>
        <v/>
      </c>
      <c r="F1930" t="str">
        <f>""</f>
        <v/>
      </c>
      <c r="H1930" t="str">
        <f t="shared" si="36"/>
        <v>MEDICARE TAXES</v>
      </c>
    </row>
    <row r="1931" spans="1:8" x14ac:dyDescent="0.25">
      <c r="E1931" t="str">
        <f>""</f>
        <v/>
      </c>
      <c r="F1931" t="str">
        <f>""</f>
        <v/>
      </c>
      <c r="H1931" t="str">
        <f t="shared" si="36"/>
        <v>MEDICARE TAXES</v>
      </c>
    </row>
    <row r="1932" spans="1:8" x14ac:dyDescent="0.25">
      <c r="E1932" t="str">
        <f>""</f>
        <v/>
      </c>
      <c r="F1932" t="str">
        <f>""</f>
        <v/>
      </c>
      <c r="H1932" t="str">
        <f t="shared" si="36"/>
        <v>MEDICARE TAXES</v>
      </c>
    </row>
    <row r="1933" spans="1:8" x14ac:dyDescent="0.25">
      <c r="E1933" t="str">
        <f>"T4 201903067844"</f>
        <v>T4 201903067844</v>
      </c>
      <c r="F1933" t="str">
        <f>"MEDICARE TAXES"</f>
        <v>MEDICARE TAXES</v>
      </c>
      <c r="G1933" s="2">
        <v>1103.0999999999999</v>
      </c>
      <c r="H1933" t="str">
        <f t="shared" si="36"/>
        <v>MEDICARE TAXES</v>
      </c>
    </row>
    <row r="1934" spans="1:8" x14ac:dyDescent="0.25">
      <c r="E1934" t="str">
        <f>""</f>
        <v/>
      </c>
      <c r="F1934" t="str">
        <f>""</f>
        <v/>
      </c>
      <c r="H1934" t="str">
        <f t="shared" si="36"/>
        <v>MEDICARE TAXES</v>
      </c>
    </row>
    <row r="1935" spans="1:8" x14ac:dyDescent="0.25">
      <c r="A1935" t="s">
        <v>474</v>
      </c>
      <c r="B1935">
        <v>87</v>
      </c>
      <c r="C1935" s="2">
        <v>228791.75</v>
      </c>
      <c r="D1935" s="1">
        <v>43546</v>
      </c>
      <c r="E1935" t="str">
        <f>"T1 201903208000"</f>
        <v>T1 201903208000</v>
      </c>
      <c r="F1935" t="str">
        <f>"FEDERAL WITHHOLDING"</f>
        <v>FEDERAL WITHHOLDING</v>
      </c>
      <c r="G1935" s="2">
        <v>77099.98</v>
      </c>
      <c r="H1935" t="str">
        <f>"FEDERAL WITHHOLDING"</f>
        <v>FEDERAL WITHHOLDING</v>
      </c>
    </row>
    <row r="1936" spans="1:8" x14ac:dyDescent="0.25">
      <c r="E1936" t="str">
        <f>"T1 201903208001"</f>
        <v>T1 201903208001</v>
      </c>
      <c r="F1936" t="str">
        <f>"FEDERAL WITHHOLDING"</f>
        <v>FEDERAL WITHHOLDING</v>
      </c>
      <c r="G1936" s="2">
        <v>2857.54</v>
      </c>
      <c r="H1936" t="str">
        <f>"FEDERAL WITHHOLDING"</f>
        <v>FEDERAL WITHHOLDING</v>
      </c>
    </row>
    <row r="1937" spans="5:8" x14ac:dyDescent="0.25">
      <c r="E1937" t="str">
        <f>"T1 201903208002"</f>
        <v>T1 201903208002</v>
      </c>
      <c r="F1937" t="str">
        <f>"FEDERAL WITHHOLDING"</f>
        <v>FEDERAL WITHHOLDING</v>
      </c>
      <c r="G1937" s="2">
        <v>3295.89</v>
      </c>
      <c r="H1937" t="str">
        <f>"FEDERAL WITHHOLDING"</f>
        <v>FEDERAL WITHHOLDING</v>
      </c>
    </row>
    <row r="1938" spans="5:8" x14ac:dyDescent="0.25">
      <c r="E1938" t="str">
        <f>"T3 201903208000"</f>
        <v>T3 201903208000</v>
      </c>
      <c r="F1938" t="str">
        <f>"SOCIAL SECURITY TAXES"</f>
        <v>SOCIAL SECURITY TAXES</v>
      </c>
      <c r="G1938" s="2">
        <v>109090.1</v>
      </c>
      <c r="H1938" t="str">
        <f t="shared" ref="H1938:H1969" si="37">"SOCIAL SECURITY TAXES"</f>
        <v>SOCIAL SECURITY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37"/>
        <v>SOCIAL SECURITY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37"/>
        <v>SOCIAL SECURITY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37"/>
        <v>SOCIAL SECURITY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37"/>
        <v>SOCIAL SECURITY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37"/>
        <v>SOCIAL SECURITY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37"/>
        <v>SOCIAL SECURITY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37"/>
        <v>SOCIAL SECURITY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37"/>
        <v>SOCIAL SECURITY TAXES</v>
      </c>
    </row>
    <row r="1947" spans="5:8" x14ac:dyDescent="0.25">
      <c r="E1947" t="str">
        <f>""</f>
        <v/>
      </c>
      <c r="F1947" t="str">
        <f>""</f>
        <v/>
      </c>
      <c r="H1947" t="str">
        <f t="shared" si="37"/>
        <v>SOCIAL SECURITY TAXES</v>
      </c>
    </row>
    <row r="1948" spans="5:8" x14ac:dyDescent="0.25">
      <c r="E1948" t="str">
        <f>""</f>
        <v/>
      </c>
      <c r="F1948" t="str">
        <f>""</f>
        <v/>
      </c>
      <c r="H1948" t="str">
        <f t="shared" si="37"/>
        <v>SOCIAL SECURITY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37"/>
        <v>SOCIAL SECURITY TAXES</v>
      </c>
    </row>
    <row r="1950" spans="5:8" x14ac:dyDescent="0.25">
      <c r="E1950" t="str">
        <f>""</f>
        <v/>
      </c>
      <c r="F1950" t="str">
        <f>""</f>
        <v/>
      </c>
      <c r="H1950" t="str">
        <f t="shared" si="37"/>
        <v>SOCIAL SECURITY TAXES</v>
      </c>
    </row>
    <row r="1951" spans="5:8" x14ac:dyDescent="0.25">
      <c r="E1951" t="str">
        <f>""</f>
        <v/>
      </c>
      <c r="F1951" t="str">
        <f>""</f>
        <v/>
      </c>
      <c r="H1951" t="str">
        <f t="shared" si="37"/>
        <v>SOCIAL SECURITY TAXES</v>
      </c>
    </row>
    <row r="1952" spans="5:8" x14ac:dyDescent="0.25">
      <c r="E1952" t="str">
        <f>""</f>
        <v/>
      </c>
      <c r="F1952" t="str">
        <f>""</f>
        <v/>
      </c>
      <c r="H1952" t="str">
        <f t="shared" si="37"/>
        <v>SOCIAL SECURITY TAXES</v>
      </c>
    </row>
    <row r="1953" spans="5:8" x14ac:dyDescent="0.25">
      <c r="E1953" t="str">
        <f>""</f>
        <v/>
      </c>
      <c r="F1953" t="str">
        <f>""</f>
        <v/>
      </c>
      <c r="H1953" t="str">
        <f t="shared" si="37"/>
        <v>SOCIAL SECURITY TAXES</v>
      </c>
    </row>
    <row r="1954" spans="5:8" x14ac:dyDescent="0.25">
      <c r="E1954" t="str">
        <f>""</f>
        <v/>
      </c>
      <c r="F1954" t="str">
        <f>""</f>
        <v/>
      </c>
      <c r="H1954" t="str">
        <f t="shared" si="37"/>
        <v>SOCIAL SECURITY TAXES</v>
      </c>
    </row>
    <row r="1955" spans="5:8" x14ac:dyDescent="0.25">
      <c r="E1955" t="str">
        <f>""</f>
        <v/>
      </c>
      <c r="F1955" t="str">
        <f>""</f>
        <v/>
      </c>
      <c r="H1955" t="str">
        <f t="shared" si="37"/>
        <v>SOCIAL SECURITY TAXES</v>
      </c>
    </row>
    <row r="1956" spans="5:8" x14ac:dyDescent="0.25">
      <c r="E1956" t="str">
        <f>""</f>
        <v/>
      </c>
      <c r="F1956" t="str">
        <f>""</f>
        <v/>
      </c>
      <c r="H1956" t="str">
        <f t="shared" si="37"/>
        <v>SOCIAL SECURITY TAXES</v>
      </c>
    </row>
    <row r="1957" spans="5:8" x14ac:dyDescent="0.25">
      <c r="E1957" t="str">
        <f>""</f>
        <v/>
      </c>
      <c r="F1957" t="str">
        <f>""</f>
        <v/>
      </c>
      <c r="H1957" t="str">
        <f t="shared" si="37"/>
        <v>SOCIAL SECURITY TAXES</v>
      </c>
    </row>
    <row r="1958" spans="5:8" x14ac:dyDescent="0.25">
      <c r="E1958" t="str">
        <f>""</f>
        <v/>
      </c>
      <c r="F1958" t="str">
        <f>""</f>
        <v/>
      </c>
      <c r="H1958" t="str">
        <f t="shared" si="37"/>
        <v>SOCIAL SECURITY TAXES</v>
      </c>
    </row>
    <row r="1959" spans="5:8" x14ac:dyDescent="0.25">
      <c r="E1959" t="str">
        <f>""</f>
        <v/>
      </c>
      <c r="F1959" t="str">
        <f>""</f>
        <v/>
      </c>
      <c r="H1959" t="str">
        <f t="shared" si="37"/>
        <v>SOCIAL SECURITY TAXES</v>
      </c>
    </row>
    <row r="1960" spans="5:8" x14ac:dyDescent="0.25">
      <c r="E1960" t="str">
        <f>""</f>
        <v/>
      </c>
      <c r="F1960" t="str">
        <f>""</f>
        <v/>
      </c>
      <c r="H1960" t="str">
        <f t="shared" si="37"/>
        <v>SOCIAL SECURITY TAXES</v>
      </c>
    </row>
    <row r="1961" spans="5:8" x14ac:dyDescent="0.25">
      <c r="E1961" t="str">
        <f>""</f>
        <v/>
      </c>
      <c r="F1961" t="str">
        <f>""</f>
        <v/>
      </c>
      <c r="H1961" t="str">
        <f t="shared" si="37"/>
        <v>SOCIAL SECURITY TAXES</v>
      </c>
    </row>
    <row r="1962" spans="5:8" x14ac:dyDescent="0.25">
      <c r="E1962" t="str">
        <f>""</f>
        <v/>
      </c>
      <c r="F1962" t="str">
        <f>""</f>
        <v/>
      </c>
      <c r="H1962" t="str">
        <f t="shared" si="37"/>
        <v>SOCIAL SECURITY TAXES</v>
      </c>
    </row>
    <row r="1963" spans="5:8" x14ac:dyDescent="0.25">
      <c r="E1963" t="str">
        <f>""</f>
        <v/>
      </c>
      <c r="F1963" t="str">
        <f>""</f>
        <v/>
      </c>
      <c r="H1963" t="str">
        <f t="shared" si="37"/>
        <v>SOCIAL SECURITY TAXES</v>
      </c>
    </row>
    <row r="1964" spans="5:8" x14ac:dyDescent="0.25">
      <c r="E1964" t="str">
        <f>""</f>
        <v/>
      </c>
      <c r="F1964" t="str">
        <f>""</f>
        <v/>
      </c>
      <c r="H1964" t="str">
        <f t="shared" si="37"/>
        <v>SOCIAL SECURITY TAXES</v>
      </c>
    </row>
    <row r="1965" spans="5:8" x14ac:dyDescent="0.25">
      <c r="E1965" t="str">
        <f>""</f>
        <v/>
      </c>
      <c r="F1965" t="str">
        <f>""</f>
        <v/>
      </c>
      <c r="H1965" t="str">
        <f t="shared" si="37"/>
        <v>SOCIAL SECURITY TAXES</v>
      </c>
    </row>
    <row r="1966" spans="5:8" x14ac:dyDescent="0.25">
      <c r="E1966" t="str">
        <f>""</f>
        <v/>
      </c>
      <c r="F1966" t="str">
        <f>""</f>
        <v/>
      </c>
      <c r="H1966" t="str">
        <f t="shared" si="37"/>
        <v>SOCIAL SECURITY TAXES</v>
      </c>
    </row>
    <row r="1967" spans="5:8" x14ac:dyDescent="0.25">
      <c r="E1967" t="str">
        <f>""</f>
        <v/>
      </c>
      <c r="F1967" t="str">
        <f>""</f>
        <v/>
      </c>
      <c r="H1967" t="str">
        <f t="shared" si="37"/>
        <v>SOCIAL SECURITY TAXES</v>
      </c>
    </row>
    <row r="1968" spans="5:8" x14ac:dyDescent="0.25">
      <c r="E1968" t="str">
        <f>""</f>
        <v/>
      </c>
      <c r="F1968" t="str">
        <f>""</f>
        <v/>
      </c>
      <c r="H1968" t="str">
        <f t="shared" si="37"/>
        <v>SOCIAL SECURITY TAXES</v>
      </c>
    </row>
    <row r="1969" spans="5:8" x14ac:dyDescent="0.25">
      <c r="E1969" t="str">
        <f>""</f>
        <v/>
      </c>
      <c r="F1969" t="str">
        <f>""</f>
        <v/>
      </c>
      <c r="H1969" t="str">
        <f t="shared" si="37"/>
        <v>SOCIAL SECURITY TAXES</v>
      </c>
    </row>
    <row r="1970" spans="5:8" x14ac:dyDescent="0.25">
      <c r="E1970" t="str">
        <f>""</f>
        <v/>
      </c>
      <c r="F1970" t="str">
        <f>""</f>
        <v/>
      </c>
      <c r="H1970" t="str">
        <f t="shared" ref="H1970:H1993" si="38">"SOCIAL SECURITY TAXES"</f>
        <v>SOCIAL SECURITY TAXES</v>
      </c>
    </row>
    <row r="1971" spans="5:8" x14ac:dyDescent="0.25">
      <c r="E1971" t="str">
        <f>""</f>
        <v/>
      </c>
      <c r="F1971" t="str">
        <f>""</f>
        <v/>
      </c>
      <c r="H1971" t="str">
        <f t="shared" si="38"/>
        <v>SOCIAL SECURITY TAXES</v>
      </c>
    </row>
    <row r="1972" spans="5:8" x14ac:dyDescent="0.25">
      <c r="E1972" t="str">
        <f>""</f>
        <v/>
      </c>
      <c r="F1972" t="str">
        <f>""</f>
        <v/>
      </c>
      <c r="H1972" t="str">
        <f t="shared" si="38"/>
        <v>SOCIAL SECURITY TAXES</v>
      </c>
    </row>
    <row r="1973" spans="5:8" x14ac:dyDescent="0.25">
      <c r="E1973" t="str">
        <f>""</f>
        <v/>
      </c>
      <c r="F1973" t="str">
        <f>""</f>
        <v/>
      </c>
      <c r="H1973" t="str">
        <f t="shared" si="38"/>
        <v>SOCIAL SECURITY TAXES</v>
      </c>
    </row>
    <row r="1974" spans="5:8" x14ac:dyDescent="0.25">
      <c r="E1974" t="str">
        <f>""</f>
        <v/>
      </c>
      <c r="F1974" t="str">
        <f>""</f>
        <v/>
      </c>
      <c r="H1974" t="str">
        <f t="shared" si="38"/>
        <v>SOCIAL SECURITY TAXES</v>
      </c>
    </row>
    <row r="1975" spans="5:8" x14ac:dyDescent="0.25">
      <c r="E1975" t="str">
        <f>""</f>
        <v/>
      </c>
      <c r="F1975" t="str">
        <f>""</f>
        <v/>
      </c>
      <c r="H1975" t="str">
        <f t="shared" si="38"/>
        <v>SOCIAL SECURITY TAXES</v>
      </c>
    </row>
    <row r="1976" spans="5:8" x14ac:dyDescent="0.25">
      <c r="E1976" t="str">
        <f>""</f>
        <v/>
      </c>
      <c r="F1976" t="str">
        <f>""</f>
        <v/>
      </c>
      <c r="H1976" t="str">
        <f t="shared" si="38"/>
        <v>SOCIAL SECURITY TAXES</v>
      </c>
    </row>
    <row r="1977" spans="5:8" x14ac:dyDescent="0.25">
      <c r="E1977" t="str">
        <f>""</f>
        <v/>
      </c>
      <c r="F1977" t="str">
        <f>""</f>
        <v/>
      </c>
      <c r="H1977" t="str">
        <f t="shared" si="38"/>
        <v>SOCIAL SECURITY TAXES</v>
      </c>
    </row>
    <row r="1978" spans="5:8" x14ac:dyDescent="0.25">
      <c r="E1978" t="str">
        <f>""</f>
        <v/>
      </c>
      <c r="F1978" t="str">
        <f>""</f>
        <v/>
      </c>
      <c r="H1978" t="str">
        <f t="shared" si="38"/>
        <v>SOCIAL SECURITY TAXES</v>
      </c>
    </row>
    <row r="1979" spans="5:8" x14ac:dyDescent="0.25">
      <c r="E1979" t="str">
        <f>""</f>
        <v/>
      </c>
      <c r="F1979" t="str">
        <f>""</f>
        <v/>
      </c>
      <c r="H1979" t="str">
        <f t="shared" si="38"/>
        <v>SOCIAL SECURITY TAXES</v>
      </c>
    </row>
    <row r="1980" spans="5:8" x14ac:dyDescent="0.25">
      <c r="E1980" t="str">
        <f>""</f>
        <v/>
      </c>
      <c r="F1980" t="str">
        <f>""</f>
        <v/>
      </c>
      <c r="H1980" t="str">
        <f t="shared" si="38"/>
        <v>SOCIAL SECURITY TAXES</v>
      </c>
    </row>
    <row r="1981" spans="5:8" x14ac:dyDescent="0.25">
      <c r="E1981" t="str">
        <f>""</f>
        <v/>
      </c>
      <c r="F1981" t="str">
        <f>""</f>
        <v/>
      </c>
      <c r="H1981" t="str">
        <f t="shared" si="38"/>
        <v>SOCIAL SECURITY TAXES</v>
      </c>
    </row>
    <row r="1982" spans="5:8" x14ac:dyDescent="0.25">
      <c r="E1982" t="str">
        <f>""</f>
        <v/>
      </c>
      <c r="F1982" t="str">
        <f>""</f>
        <v/>
      </c>
      <c r="H1982" t="str">
        <f t="shared" si="38"/>
        <v>SOCIAL SECURITY TAXES</v>
      </c>
    </row>
    <row r="1983" spans="5:8" x14ac:dyDescent="0.25">
      <c r="E1983" t="str">
        <f>""</f>
        <v/>
      </c>
      <c r="F1983" t="str">
        <f>""</f>
        <v/>
      </c>
      <c r="H1983" t="str">
        <f t="shared" si="38"/>
        <v>SOCIAL SECURITY TAXES</v>
      </c>
    </row>
    <row r="1984" spans="5:8" x14ac:dyDescent="0.25">
      <c r="E1984" t="str">
        <f>""</f>
        <v/>
      </c>
      <c r="F1984" t="str">
        <f>""</f>
        <v/>
      </c>
      <c r="H1984" t="str">
        <f t="shared" si="38"/>
        <v>SOCIAL SECURITY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38"/>
        <v>SOCIAL SECURITY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38"/>
        <v>SOCIAL SECURITY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38"/>
        <v>SOCIAL SECURITY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38"/>
        <v>SOCIAL SECURITY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38"/>
        <v>SOCIAL SECURITY TAXES</v>
      </c>
    </row>
    <row r="1990" spans="5:8" x14ac:dyDescent="0.25">
      <c r="E1990" t="str">
        <f>"T3 201903208001"</f>
        <v>T3 201903208001</v>
      </c>
      <c r="F1990" t="str">
        <f>"SOCIAL SECURITY TAXES"</f>
        <v>SOCIAL SECURITY TAXES</v>
      </c>
      <c r="G1990" s="2">
        <v>3996.86</v>
      </c>
      <c r="H1990" t="str">
        <f t="shared" si="38"/>
        <v>SOCIAL SECURITY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38"/>
        <v>SOCIAL SECURITY TAXES</v>
      </c>
    </row>
    <row r="1992" spans="5:8" x14ac:dyDescent="0.25">
      <c r="E1992" t="str">
        <f>"T3 201903208002"</f>
        <v>T3 201903208002</v>
      </c>
      <c r="F1992" t="str">
        <f>"SOCIAL SECURITY TAXES"</f>
        <v>SOCIAL SECURITY TAXES</v>
      </c>
      <c r="G1992" s="2">
        <v>4865.7</v>
      </c>
      <c r="H1992" t="str">
        <f t="shared" si="38"/>
        <v>SOCIAL SECURITY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38"/>
        <v>SOCIAL SECURITY TAXES</v>
      </c>
    </row>
    <row r="1994" spans="5:8" x14ac:dyDescent="0.25">
      <c r="E1994" t="str">
        <f>"T4 201903208000"</f>
        <v>T4 201903208000</v>
      </c>
      <c r="F1994" t="str">
        <f>"MEDICARE TAXES"</f>
        <v>MEDICARE TAXES</v>
      </c>
      <c r="G1994" s="2">
        <v>25512.959999999999</v>
      </c>
      <c r="H1994" t="str">
        <f t="shared" ref="H1994:H2025" si="39">"MEDICARE TAXES"</f>
        <v>MEDICARE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39"/>
        <v>MEDICARE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39"/>
        <v>MEDICARE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39"/>
        <v>MEDICARE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39"/>
        <v>MEDICARE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39"/>
        <v>MEDICARE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39"/>
        <v>MEDICARE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39"/>
        <v>MEDICARE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39"/>
        <v>MEDICARE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39"/>
        <v>MEDICARE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39"/>
        <v>MEDICARE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39"/>
        <v>MEDICARE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39"/>
        <v>MEDICARE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39"/>
        <v>MEDICARE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39"/>
        <v>MEDICARE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39"/>
        <v>MEDICARE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39"/>
        <v>MEDICARE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39"/>
        <v>MEDICARE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39"/>
        <v>MEDICARE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39"/>
        <v>MEDICARE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39"/>
        <v>MEDICARE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39"/>
        <v>MEDICARE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39"/>
        <v>MEDICARE TAXES</v>
      </c>
    </row>
    <row r="2017" spans="5:8" x14ac:dyDescent="0.25">
      <c r="E2017" t="str">
        <f>""</f>
        <v/>
      </c>
      <c r="F2017" t="str">
        <f>""</f>
        <v/>
      </c>
      <c r="H2017" t="str">
        <f t="shared" si="39"/>
        <v>MEDICARE TAXES</v>
      </c>
    </row>
    <row r="2018" spans="5:8" x14ac:dyDescent="0.25">
      <c r="E2018" t="str">
        <f>""</f>
        <v/>
      </c>
      <c r="F2018" t="str">
        <f>""</f>
        <v/>
      </c>
      <c r="H2018" t="str">
        <f t="shared" si="39"/>
        <v>MEDICARE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39"/>
        <v>MEDICARE TAXES</v>
      </c>
    </row>
    <row r="2020" spans="5:8" x14ac:dyDescent="0.25">
      <c r="E2020" t="str">
        <f>""</f>
        <v/>
      </c>
      <c r="F2020" t="str">
        <f>""</f>
        <v/>
      </c>
      <c r="H2020" t="str">
        <f t="shared" si="39"/>
        <v>MEDICARE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39"/>
        <v>MEDICARE TAXES</v>
      </c>
    </row>
    <row r="2022" spans="5:8" x14ac:dyDescent="0.25">
      <c r="E2022" t="str">
        <f>""</f>
        <v/>
      </c>
      <c r="F2022" t="str">
        <f>""</f>
        <v/>
      </c>
      <c r="H2022" t="str">
        <f t="shared" si="39"/>
        <v>MEDICARE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39"/>
        <v>MEDICARE TAXES</v>
      </c>
    </row>
    <row r="2024" spans="5:8" x14ac:dyDescent="0.25">
      <c r="E2024" t="str">
        <f>""</f>
        <v/>
      </c>
      <c r="F2024" t="str">
        <f>""</f>
        <v/>
      </c>
      <c r="H2024" t="str">
        <f t="shared" si="39"/>
        <v>MEDICARE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39"/>
        <v>MEDICARE TAXES</v>
      </c>
    </row>
    <row r="2026" spans="5:8" x14ac:dyDescent="0.25">
      <c r="E2026" t="str">
        <f>""</f>
        <v/>
      </c>
      <c r="F2026" t="str">
        <f>""</f>
        <v/>
      </c>
      <c r="H2026" t="str">
        <f t="shared" ref="H2026:H2049" si="40">"MEDICARE TAXES"</f>
        <v>MEDICARE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40"/>
        <v>MEDICARE TAXES</v>
      </c>
    </row>
    <row r="2028" spans="5:8" x14ac:dyDescent="0.25">
      <c r="E2028" t="str">
        <f>""</f>
        <v/>
      </c>
      <c r="F2028" t="str">
        <f>""</f>
        <v/>
      </c>
      <c r="H2028" t="str">
        <f t="shared" si="40"/>
        <v>MEDICARE TAXES</v>
      </c>
    </row>
    <row r="2029" spans="5:8" x14ac:dyDescent="0.25">
      <c r="E2029" t="str">
        <f>""</f>
        <v/>
      </c>
      <c r="F2029" t="str">
        <f>""</f>
        <v/>
      </c>
      <c r="H2029" t="str">
        <f t="shared" si="40"/>
        <v>MEDICARE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40"/>
        <v>MEDICARE TAXES</v>
      </c>
    </row>
    <row r="2031" spans="5:8" x14ac:dyDescent="0.25">
      <c r="E2031" t="str">
        <f>""</f>
        <v/>
      </c>
      <c r="F2031" t="str">
        <f>""</f>
        <v/>
      </c>
      <c r="H2031" t="str">
        <f t="shared" si="40"/>
        <v>MEDICARE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40"/>
        <v>MEDICARE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40"/>
        <v>MEDICARE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40"/>
        <v>MEDICARE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40"/>
        <v>MEDICARE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40"/>
        <v>MEDICARE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40"/>
        <v>MEDICARE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40"/>
        <v>MEDICARE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40"/>
        <v>MEDICARE TAXES</v>
      </c>
    </row>
    <row r="2040" spans="5:8" x14ac:dyDescent="0.25">
      <c r="E2040" t="str">
        <f>""</f>
        <v/>
      </c>
      <c r="F2040" t="str">
        <f>""</f>
        <v/>
      </c>
      <c r="H2040" t="str">
        <f t="shared" si="40"/>
        <v>MEDICARE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40"/>
        <v>MEDICARE TAXES</v>
      </c>
    </row>
    <row r="2042" spans="5:8" x14ac:dyDescent="0.25">
      <c r="E2042" t="str">
        <f>""</f>
        <v/>
      </c>
      <c r="F2042" t="str">
        <f>""</f>
        <v/>
      </c>
      <c r="H2042" t="str">
        <f t="shared" si="40"/>
        <v>MEDICARE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40"/>
        <v>MEDICARE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40"/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40"/>
        <v>MEDICARE TAXES</v>
      </c>
    </row>
    <row r="2046" spans="5:8" x14ac:dyDescent="0.25">
      <c r="E2046" t="str">
        <f>"T4 201903208001"</f>
        <v>T4 201903208001</v>
      </c>
      <c r="F2046" t="str">
        <f>"MEDICARE TAXES"</f>
        <v>MEDICARE TAXES</v>
      </c>
      <c r="G2046" s="2">
        <v>934.78</v>
      </c>
      <c r="H2046" t="str">
        <f t="shared" si="40"/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40"/>
        <v>MEDICARE TAXES</v>
      </c>
    </row>
    <row r="2048" spans="5:8" x14ac:dyDescent="0.25">
      <c r="E2048" t="str">
        <f>"T4 201903208002"</f>
        <v>T4 201903208002</v>
      </c>
      <c r="F2048" t="str">
        <f>"MEDICARE TAXES"</f>
        <v>MEDICARE TAXES</v>
      </c>
      <c r="G2048" s="2">
        <v>1137.94</v>
      </c>
      <c r="H2048" t="str">
        <f t="shared" si="40"/>
        <v>MEDICARE TAXES</v>
      </c>
    </row>
    <row r="2049" spans="1:8" x14ac:dyDescent="0.25">
      <c r="E2049" t="str">
        <f>""</f>
        <v/>
      </c>
      <c r="F2049" t="str">
        <f>""</f>
        <v/>
      </c>
      <c r="H2049" t="str">
        <f t="shared" si="40"/>
        <v>MEDICARE TAXES</v>
      </c>
    </row>
    <row r="2050" spans="1:8" x14ac:dyDescent="0.25">
      <c r="A2050" t="s">
        <v>474</v>
      </c>
      <c r="B2050">
        <v>105</v>
      </c>
      <c r="C2050" s="2">
        <v>57670.91</v>
      </c>
      <c r="D2050" s="1">
        <v>43532</v>
      </c>
      <c r="E2050" t="str">
        <f>"T3201903067843"</f>
        <v>T3201903067843</v>
      </c>
      <c r="F2050" t="str">
        <f>"SS CORRECTION IRSPY 3/8"</f>
        <v>SS CORRECTION IRSPY 3/8</v>
      </c>
      <c r="G2050" s="2">
        <v>57670.91</v>
      </c>
      <c r="H2050" t="str">
        <f>"SS CORRECTION IRSPY 3/8"</f>
        <v>SS CORRECTION IRSPY 3/8</v>
      </c>
    </row>
    <row r="2051" spans="1:8" x14ac:dyDescent="0.25">
      <c r="A2051" t="s">
        <v>475</v>
      </c>
      <c r="B2051">
        <v>47336</v>
      </c>
      <c r="C2051" s="2">
        <v>222.76</v>
      </c>
      <c r="D2051" s="1">
        <v>43532</v>
      </c>
      <c r="E2051" t="str">
        <f>"C64201903067843"</f>
        <v>C64201903067843</v>
      </c>
      <c r="F2051" t="str">
        <f>"CASE #912745322"</f>
        <v>CASE #912745322</v>
      </c>
      <c r="G2051" s="2">
        <v>222.76</v>
      </c>
      <c r="H2051" t="str">
        <f>"CASE #912745322"</f>
        <v>CASE #912745322</v>
      </c>
    </row>
    <row r="2052" spans="1:8" x14ac:dyDescent="0.25">
      <c r="A2052" t="s">
        <v>475</v>
      </c>
      <c r="B2052">
        <v>47360</v>
      </c>
      <c r="C2052" s="2">
        <v>222.76</v>
      </c>
      <c r="D2052" s="1">
        <v>43546</v>
      </c>
      <c r="E2052" t="str">
        <f>"C64201903208000"</f>
        <v>C64201903208000</v>
      </c>
      <c r="F2052" t="str">
        <f>"CASE #912745322"</f>
        <v>CASE #912745322</v>
      </c>
      <c r="G2052" s="2">
        <v>222.76</v>
      </c>
      <c r="H2052" t="str">
        <f>"CASE #912745322"</f>
        <v>CASE #912745322</v>
      </c>
    </row>
    <row r="2053" spans="1:8" x14ac:dyDescent="0.25">
      <c r="A2053" t="s">
        <v>476</v>
      </c>
      <c r="B2053">
        <v>94</v>
      </c>
      <c r="C2053" s="2">
        <v>26968.39</v>
      </c>
      <c r="D2053" s="1">
        <v>43552</v>
      </c>
      <c r="E2053" t="str">
        <f>"201903288166"</f>
        <v>201903288166</v>
      </c>
      <c r="F2053" t="str">
        <f>"MONUMENTAL LIFE INS CO"</f>
        <v>MONUMENTAL LIFE INS CO</v>
      </c>
      <c r="G2053" s="2">
        <v>26968.39</v>
      </c>
      <c r="H2053" t="str">
        <f>"MONUMENTAL LIFE INS CO"</f>
        <v>MONUMENTAL LIFE INS CO</v>
      </c>
    </row>
    <row r="2054" spans="1:8" x14ac:dyDescent="0.25">
      <c r="A2054" t="s">
        <v>477</v>
      </c>
      <c r="B2054">
        <v>97</v>
      </c>
      <c r="C2054" s="2">
        <v>674.82</v>
      </c>
      <c r="D2054" s="1">
        <v>43552</v>
      </c>
      <c r="E2054" t="str">
        <f>"LIX201903067843"</f>
        <v>LIX201903067843</v>
      </c>
      <c r="F2054" t="str">
        <f>"TEXAS LIFE/OLIVO GROUP"</f>
        <v>TEXAS LIFE/OLIVO GROUP</v>
      </c>
      <c r="G2054" s="2">
        <v>337.41</v>
      </c>
      <c r="H2054" t="str">
        <f>"TEXAS LIFE/OLIVO GROUP"</f>
        <v>TEXAS LIFE/OLIVO GROUP</v>
      </c>
    </row>
    <row r="2055" spans="1:8" x14ac:dyDescent="0.25">
      <c r="E2055" t="str">
        <f>"LIX201903208000"</f>
        <v>LIX201903208000</v>
      </c>
      <c r="F2055" t="str">
        <f>"TEXAS LIFE/OLIVO GROUP"</f>
        <v>TEXAS LIFE/OLIVO GROUP</v>
      </c>
      <c r="G2055" s="2">
        <v>337.41</v>
      </c>
      <c r="H2055" t="str">
        <f>"TEXAS LIFE/OLIVO GROUP"</f>
        <v>TEXAS LIFE/OLIVO GROUP</v>
      </c>
    </row>
    <row r="2056" spans="1:8" x14ac:dyDescent="0.25">
      <c r="A2056" t="s">
        <v>478</v>
      </c>
      <c r="B2056">
        <v>47365</v>
      </c>
      <c r="C2056" s="2">
        <v>333029.24</v>
      </c>
      <c r="D2056" s="1">
        <v>43552</v>
      </c>
      <c r="E2056" t="str">
        <f>"201903288172"</f>
        <v>201903288172</v>
      </c>
      <c r="F2056" t="str">
        <f>"Amt off deduct to match bill"</f>
        <v>Amt off deduct to match bill</v>
      </c>
      <c r="G2056" s="2">
        <v>-434.45</v>
      </c>
      <c r="H2056" t="str">
        <f>"Amt off deduct to match bill"</f>
        <v>Amt off deduct to match bill</v>
      </c>
    </row>
    <row r="2057" spans="1:8" x14ac:dyDescent="0.25">
      <c r="E2057" t="str">
        <f>"201903288171"</f>
        <v>201903288171</v>
      </c>
      <c r="F2057" t="str">
        <f>"TAC HEALTH BENEFITS POOL"</f>
        <v>TAC HEALTH BENEFITS POOL</v>
      </c>
      <c r="G2057" s="2">
        <v>15523.3</v>
      </c>
      <c r="H2057" t="str">
        <f>"TAC HEALTH BENEFITS POOL"</f>
        <v>TAC HEALTH BENEFITS POOL</v>
      </c>
    </row>
    <row r="2058" spans="1:8" x14ac:dyDescent="0.25">
      <c r="E2058" t="str">
        <f>"2EC201903067820"</f>
        <v>2EC201903067820</v>
      </c>
      <c r="F2058" t="str">
        <f>"BCBS PAYABLE"</f>
        <v>BCBS PAYABLE</v>
      </c>
      <c r="G2058" s="2">
        <v>1737.8</v>
      </c>
      <c r="H2058" t="str">
        <f t="shared" ref="H2058:H2089" si="41">"BCBS PAYABLE"</f>
        <v>BCBS PAYABLE</v>
      </c>
    </row>
    <row r="2059" spans="1:8" x14ac:dyDescent="0.25">
      <c r="E2059" t="str">
        <f>""</f>
        <v/>
      </c>
      <c r="F2059" t="str">
        <f>""</f>
        <v/>
      </c>
      <c r="H2059" t="str">
        <f t="shared" si="41"/>
        <v>BCBS PAYABLE</v>
      </c>
    </row>
    <row r="2060" spans="1:8" x14ac:dyDescent="0.25">
      <c r="E2060" t="str">
        <f>"2EC201903067843"</f>
        <v>2EC201903067843</v>
      </c>
      <c r="F2060" t="str">
        <f>"BCBS PAYABLE"</f>
        <v>BCBS PAYABLE</v>
      </c>
      <c r="G2060" s="2">
        <v>45182.8</v>
      </c>
      <c r="H2060" t="str">
        <f t="shared" si="41"/>
        <v>BCBS PAYABLE</v>
      </c>
    </row>
    <row r="2061" spans="1:8" x14ac:dyDescent="0.25">
      <c r="E2061" t="str">
        <f>""</f>
        <v/>
      </c>
      <c r="F2061" t="str">
        <f>""</f>
        <v/>
      </c>
      <c r="H2061" t="str">
        <f t="shared" si="41"/>
        <v>BCBS PAYABLE</v>
      </c>
    </row>
    <row r="2062" spans="1:8" x14ac:dyDescent="0.25">
      <c r="E2062" t="str">
        <f>""</f>
        <v/>
      </c>
      <c r="F2062" t="str">
        <f>""</f>
        <v/>
      </c>
      <c r="H2062" t="str">
        <f t="shared" si="41"/>
        <v>BCBS PAYABLE</v>
      </c>
    </row>
    <row r="2063" spans="1:8" x14ac:dyDescent="0.25">
      <c r="E2063" t="str">
        <f>""</f>
        <v/>
      </c>
      <c r="F2063" t="str">
        <f>""</f>
        <v/>
      </c>
      <c r="H2063" t="str">
        <f t="shared" si="41"/>
        <v>BCBS PAYABLE</v>
      </c>
    </row>
    <row r="2064" spans="1:8" x14ac:dyDescent="0.25">
      <c r="E2064" t="str">
        <f>""</f>
        <v/>
      </c>
      <c r="F2064" t="str">
        <f>""</f>
        <v/>
      </c>
      <c r="H2064" t="str">
        <f t="shared" si="41"/>
        <v>BCBS PAYABLE</v>
      </c>
    </row>
    <row r="2065" spans="5:8" x14ac:dyDescent="0.25">
      <c r="E2065" t="str">
        <f>""</f>
        <v/>
      </c>
      <c r="F2065" t="str">
        <f>""</f>
        <v/>
      </c>
      <c r="H2065" t="str">
        <f t="shared" si="41"/>
        <v>BCBS PAYABLE</v>
      </c>
    </row>
    <row r="2066" spans="5:8" x14ac:dyDescent="0.25">
      <c r="E2066" t="str">
        <f>""</f>
        <v/>
      </c>
      <c r="F2066" t="str">
        <f>""</f>
        <v/>
      </c>
      <c r="H2066" t="str">
        <f t="shared" si="41"/>
        <v>BCBS PAYABLE</v>
      </c>
    </row>
    <row r="2067" spans="5:8" x14ac:dyDescent="0.25">
      <c r="E2067" t="str">
        <f>""</f>
        <v/>
      </c>
      <c r="F2067" t="str">
        <f>""</f>
        <v/>
      </c>
      <c r="H2067" t="str">
        <f t="shared" si="41"/>
        <v>BCBS PAYABLE</v>
      </c>
    </row>
    <row r="2068" spans="5:8" x14ac:dyDescent="0.25">
      <c r="E2068" t="str">
        <f>""</f>
        <v/>
      </c>
      <c r="F2068" t="str">
        <f>""</f>
        <v/>
      </c>
      <c r="H2068" t="str">
        <f t="shared" si="41"/>
        <v>BCBS PAYABLE</v>
      </c>
    </row>
    <row r="2069" spans="5:8" x14ac:dyDescent="0.25">
      <c r="E2069" t="str">
        <f>""</f>
        <v/>
      </c>
      <c r="F2069" t="str">
        <f>""</f>
        <v/>
      </c>
      <c r="H2069" t="str">
        <f t="shared" si="41"/>
        <v>BCBS PAYABLE</v>
      </c>
    </row>
    <row r="2070" spans="5:8" x14ac:dyDescent="0.25">
      <c r="E2070" t="str">
        <f>""</f>
        <v/>
      </c>
      <c r="F2070" t="str">
        <f>""</f>
        <v/>
      </c>
      <c r="H2070" t="str">
        <f t="shared" si="41"/>
        <v>BCBS PAYABLE</v>
      </c>
    </row>
    <row r="2071" spans="5:8" x14ac:dyDescent="0.25">
      <c r="E2071" t="str">
        <f>""</f>
        <v/>
      </c>
      <c r="F2071" t="str">
        <f>""</f>
        <v/>
      </c>
      <c r="H2071" t="str">
        <f t="shared" si="41"/>
        <v>BCBS PAYABLE</v>
      </c>
    </row>
    <row r="2072" spans="5:8" x14ac:dyDescent="0.25">
      <c r="E2072" t="str">
        <f>""</f>
        <v/>
      </c>
      <c r="F2072" t="str">
        <f>""</f>
        <v/>
      </c>
      <c r="H2072" t="str">
        <f t="shared" si="41"/>
        <v>BCBS PAYABLE</v>
      </c>
    </row>
    <row r="2073" spans="5:8" x14ac:dyDescent="0.25">
      <c r="E2073" t="str">
        <f>""</f>
        <v/>
      </c>
      <c r="F2073" t="str">
        <f>""</f>
        <v/>
      </c>
      <c r="H2073" t="str">
        <f t="shared" si="41"/>
        <v>BCBS PAYABLE</v>
      </c>
    </row>
    <row r="2074" spans="5:8" x14ac:dyDescent="0.25">
      <c r="E2074" t="str">
        <f>""</f>
        <v/>
      </c>
      <c r="F2074" t="str">
        <f>""</f>
        <v/>
      </c>
      <c r="H2074" t="str">
        <f t="shared" si="41"/>
        <v>BCBS PAYABLE</v>
      </c>
    </row>
    <row r="2075" spans="5:8" x14ac:dyDescent="0.25">
      <c r="E2075" t="str">
        <f>""</f>
        <v/>
      </c>
      <c r="F2075" t="str">
        <f>""</f>
        <v/>
      </c>
      <c r="H2075" t="str">
        <f t="shared" si="41"/>
        <v>BCBS PAYABLE</v>
      </c>
    </row>
    <row r="2076" spans="5:8" x14ac:dyDescent="0.25">
      <c r="E2076" t="str">
        <f>""</f>
        <v/>
      </c>
      <c r="F2076" t="str">
        <f>""</f>
        <v/>
      </c>
      <c r="H2076" t="str">
        <f t="shared" si="41"/>
        <v>BCBS PAYABLE</v>
      </c>
    </row>
    <row r="2077" spans="5:8" x14ac:dyDescent="0.25">
      <c r="E2077" t="str">
        <f>""</f>
        <v/>
      </c>
      <c r="F2077" t="str">
        <f>""</f>
        <v/>
      </c>
      <c r="H2077" t="str">
        <f t="shared" si="41"/>
        <v>BCBS PAYABLE</v>
      </c>
    </row>
    <row r="2078" spans="5:8" x14ac:dyDescent="0.25">
      <c r="E2078" t="str">
        <f>""</f>
        <v/>
      </c>
      <c r="F2078" t="str">
        <f>""</f>
        <v/>
      </c>
      <c r="H2078" t="str">
        <f t="shared" si="41"/>
        <v>BCBS PAYABLE</v>
      </c>
    </row>
    <row r="2079" spans="5:8" x14ac:dyDescent="0.25">
      <c r="E2079" t="str">
        <f>""</f>
        <v/>
      </c>
      <c r="F2079" t="str">
        <f>""</f>
        <v/>
      </c>
      <c r="H2079" t="str">
        <f t="shared" si="41"/>
        <v>BCBS PAYABLE</v>
      </c>
    </row>
    <row r="2080" spans="5:8" x14ac:dyDescent="0.25">
      <c r="E2080" t="str">
        <f>""</f>
        <v/>
      </c>
      <c r="F2080" t="str">
        <f>""</f>
        <v/>
      </c>
      <c r="H2080" t="str">
        <f t="shared" si="41"/>
        <v>BCBS PAYABLE</v>
      </c>
    </row>
    <row r="2081" spans="5:8" x14ac:dyDescent="0.25">
      <c r="E2081" t="str">
        <f>""</f>
        <v/>
      </c>
      <c r="F2081" t="str">
        <f>""</f>
        <v/>
      </c>
      <c r="H2081" t="str">
        <f t="shared" si="41"/>
        <v>BCBS PAYABLE</v>
      </c>
    </row>
    <row r="2082" spans="5:8" x14ac:dyDescent="0.25">
      <c r="E2082" t="str">
        <f>""</f>
        <v/>
      </c>
      <c r="F2082" t="str">
        <f>""</f>
        <v/>
      </c>
      <c r="H2082" t="str">
        <f t="shared" si="41"/>
        <v>BCBS PAYABLE</v>
      </c>
    </row>
    <row r="2083" spans="5:8" x14ac:dyDescent="0.25">
      <c r="E2083" t="str">
        <f>""</f>
        <v/>
      </c>
      <c r="F2083" t="str">
        <f>""</f>
        <v/>
      </c>
      <c r="H2083" t="str">
        <f t="shared" si="41"/>
        <v>BCBS PAYABLE</v>
      </c>
    </row>
    <row r="2084" spans="5:8" x14ac:dyDescent="0.25">
      <c r="E2084" t="str">
        <f>""</f>
        <v/>
      </c>
      <c r="F2084" t="str">
        <f>""</f>
        <v/>
      </c>
      <c r="H2084" t="str">
        <f t="shared" si="41"/>
        <v>BCBS PAYABLE</v>
      </c>
    </row>
    <row r="2085" spans="5:8" x14ac:dyDescent="0.25">
      <c r="E2085" t="str">
        <f>""</f>
        <v/>
      </c>
      <c r="F2085" t="str">
        <f>""</f>
        <v/>
      </c>
      <c r="H2085" t="str">
        <f t="shared" si="41"/>
        <v>BCBS PAYABLE</v>
      </c>
    </row>
    <row r="2086" spans="5:8" x14ac:dyDescent="0.25">
      <c r="E2086" t="str">
        <f>""</f>
        <v/>
      </c>
      <c r="F2086" t="str">
        <f>""</f>
        <v/>
      </c>
      <c r="H2086" t="str">
        <f t="shared" si="41"/>
        <v>BCBS PAYABLE</v>
      </c>
    </row>
    <row r="2087" spans="5:8" x14ac:dyDescent="0.25">
      <c r="E2087" t="str">
        <f>""</f>
        <v/>
      </c>
      <c r="F2087" t="str">
        <f>""</f>
        <v/>
      </c>
      <c r="H2087" t="str">
        <f t="shared" si="41"/>
        <v>BCBS PAYABLE</v>
      </c>
    </row>
    <row r="2088" spans="5:8" x14ac:dyDescent="0.25">
      <c r="E2088" t="str">
        <f>""</f>
        <v/>
      </c>
      <c r="F2088" t="str">
        <f>""</f>
        <v/>
      </c>
      <c r="H2088" t="str">
        <f t="shared" si="41"/>
        <v>BCBS PAYABLE</v>
      </c>
    </row>
    <row r="2089" spans="5:8" x14ac:dyDescent="0.25">
      <c r="E2089" t="str">
        <f>""</f>
        <v/>
      </c>
      <c r="F2089" t="str">
        <f>""</f>
        <v/>
      </c>
      <c r="H2089" t="str">
        <f t="shared" si="41"/>
        <v>BCBS PAYABLE</v>
      </c>
    </row>
    <row r="2090" spans="5:8" x14ac:dyDescent="0.25">
      <c r="E2090" t="str">
        <f>""</f>
        <v/>
      </c>
      <c r="F2090" t="str">
        <f>""</f>
        <v/>
      </c>
      <c r="H2090" t="str">
        <f t="shared" ref="H2090:H2121" si="42">"BCBS PAYABLE"</f>
        <v>BCBS PAYABLE</v>
      </c>
    </row>
    <row r="2091" spans="5:8" x14ac:dyDescent="0.25">
      <c r="E2091" t="str">
        <f>"2EC201903208000"</f>
        <v>2EC201903208000</v>
      </c>
      <c r="F2091" t="str">
        <f>"BCBS PAYABLE"</f>
        <v>BCBS PAYABLE</v>
      </c>
      <c r="G2091" s="2">
        <v>44748.35</v>
      </c>
      <c r="H2091" t="str">
        <f t="shared" si="42"/>
        <v>BCBS PAYABLE</v>
      </c>
    </row>
    <row r="2092" spans="5:8" x14ac:dyDescent="0.25">
      <c r="E2092" t="str">
        <f>""</f>
        <v/>
      </c>
      <c r="F2092" t="str">
        <f>""</f>
        <v/>
      </c>
      <c r="H2092" t="str">
        <f t="shared" si="42"/>
        <v>BCBS PAYABLE</v>
      </c>
    </row>
    <row r="2093" spans="5:8" x14ac:dyDescent="0.25">
      <c r="E2093" t="str">
        <f>""</f>
        <v/>
      </c>
      <c r="F2093" t="str">
        <f>""</f>
        <v/>
      </c>
      <c r="H2093" t="str">
        <f t="shared" si="42"/>
        <v>BCBS PAYABLE</v>
      </c>
    </row>
    <row r="2094" spans="5:8" x14ac:dyDescent="0.25">
      <c r="E2094" t="str">
        <f>""</f>
        <v/>
      </c>
      <c r="F2094" t="str">
        <f>""</f>
        <v/>
      </c>
      <c r="H2094" t="str">
        <f t="shared" si="42"/>
        <v>BCBS PAYABLE</v>
      </c>
    </row>
    <row r="2095" spans="5:8" x14ac:dyDescent="0.25">
      <c r="E2095" t="str">
        <f>""</f>
        <v/>
      </c>
      <c r="F2095" t="str">
        <f>""</f>
        <v/>
      </c>
      <c r="H2095" t="str">
        <f t="shared" si="42"/>
        <v>BCBS PAYABLE</v>
      </c>
    </row>
    <row r="2096" spans="5:8" x14ac:dyDescent="0.25">
      <c r="E2096" t="str">
        <f>""</f>
        <v/>
      </c>
      <c r="F2096" t="str">
        <f>""</f>
        <v/>
      </c>
      <c r="H2096" t="str">
        <f t="shared" si="42"/>
        <v>BCBS PAYABLE</v>
      </c>
    </row>
    <row r="2097" spans="5:8" x14ac:dyDescent="0.25">
      <c r="E2097" t="str">
        <f>""</f>
        <v/>
      </c>
      <c r="F2097" t="str">
        <f>""</f>
        <v/>
      </c>
      <c r="H2097" t="str">
        <f t="shared" si="42"/>
        <v>BCBS PAYABLE</v>
      </c>
    </row>
    <row r="2098" spans="5:8" x14ac:dyDescent="0.25">
      <c r="E2098" t="str">
        <f>""</f>
        <v/>
      </c>
      <c r="F2098" t="str">
        <f>""</f>
        <v/>
      </c>
      <c r="H2098" t="str">
        <f t="shared" si="42"/>
        <v>BCBS PAYABLE</v>
      </c>
    </row>
    <row r="2099" spans="5:8" x14ac:dyDescent="0.25">
      <c r="E2099" t="str">
        <f>""</f>
        <v/>
      </c>
      <c r="F2099" t="str">
        <f>""</f>
        <v/>
      </c>
      <c r="H2099" t="str">
        <f t="shared" si="42"/>
        <v>BCBS PAYABLE</v>
      </c>
    </row>
    <row r="2100" spans="5:8" x14ac:dyDescent="0.25">
      <c r="E2100" t="str">
        <f>""</f>
        <v/>
      </c>
      <c r="F2100" t="str">
        <f>""</f>
        <v/>
      </c>
      <c r="H2100" t="str">
        <f t="shared" si="42"/>
        <v>BCBS PAYABLE</v>
      </c>
    </row>
    <row r="2101" spans="5:8" x14ac:dyDescent="0.25">
      <c r="E2101" t="str">
        <f>""</f>
        <v/>
      </c>
      <c r="F2101" t="str">
        <f>""</f>
        <v/>
      </c>
      <c r="H2101" t="str">
        <f t="shared" si="42"/>
        <v>BCBS PAYABLE</v>
      </c>
    </row>
    <row r="2102" spans="5:8" x14ac:dyDescent="0.25">
      <c r="E2102" t="str">
        <f>""</f>
        <v/>
      </c>
      <c r="F2102" t="str">
        <f>""</f>
        <v/>
      </c>
      <c r="H2102" t="str">
        <f t="shared" si="42"/>
        <v>BCBS PAYABLE</v>
      </c>
    </row>
    <row r="2103" spans="5:8" x14ac:dyDescent="0.25">
      <c r="E2103" t="str">
        <f>""</f>
        <v/>
      </c>
      <c r="F2103" t="str">
        <f>""</f>
        <v/>
      </c>
      <c r="H2103" t="str">
        <f t="shared" si="42"/>
        <v>BCBS PAYABLE</v>
      </c>
    </row>
    <row r="2104" spans="5:8" x14ac:dyDescent="0.25">
      <c r="E2104" t="str">
        <f>""</f>
        <v/>
      </c>
      <c r="F2104" t="str">
        <f>""</f>
        <v/>
      </c>
      <c r="H2104" t="str">
        <f t="shared" si="42"/>
        <v>BCBS PAYABLE</v>
      </c>
    </row>
    <row r="2105" spans="5:8" x14ac:dyDescent="0.25">
      <c r="E2105" t="str">
        <f>""</f>
        <v/>
      </c>
      <c r="F2105" t="str">
        <f>""</f>
        <v/>
      </c>
      <c r="H2105" t="str">
        <f t="shared" si="42"/>
        <v>BCBS PAYABLE</v>
      </c>
    </row>
    <row r="2106" spans="5:8" x14ac:dyDescent="0.25">
      <c r="E2106" t="str">
        <f>""</f>
        <v/>
      </c>
      <c r="F2106" t="str">
        <f>""</f>
        <v/>
      </c>
      <c r="H2106" t="str">
        <f t="shared" si="42"/>
        <v>BCBS PAYABLE</v>
      </c>
    </row>
    <row r="2107" spans="5:8" x14ac:dyDescent="0.25">
      <c r="E2107" t="str">
        <f>""</f>
        <v/>
      </c>
      <c r="F2107" t="str">
        <f>""</f>
        <v/>
      </c>
      <c r="H2107" t="str">
        <f t="shared" si="42"/>
        <v>BCBS PAYABLE</v>
      </c>
    </row>
    <row r="2108" spans="5:8" x14ac:dyDescent="0.25">
      <c r="E2108" t="str">
        <f>""</f>
        <v/>
      </c>
      <c r="F2108" t="str">
        <f>""</f>
        <v/>
      </c>
      <c r="H2108" t="str">
        <f t="shared" si="42"/>
        <v>BCBS PAYABLE</v>
      </c>
    </row>
    <row r="2109" spans="5:8" x14ac:dyDescent="0.25">
      <c r="E2109" t="str">
        <f>""</f>
        <v/>
      </c>
      <c r="F2109" t="str">
        <f>""</f>
        <v/>
      </c>
      <c r="H2109" t="str">
        <f t="shared" si="42"/>
        <v>BCBS PAYABLE</v>
      </c>
    </row>
    <row r="2110" spans="5:8" x14ac:dyDescent="0.25">
      <c r="E2110" t="str">
        <f>""</f>
        <v/>
      </c>
      <c r="F2110" t="str">
        <f>""</f>
        <v/>
      </c>
      <c r="H2110" t="str">
        <f t="shared" si="42"/>
        <v>BCBS PAYABLE</v>
      </c>
    </row>
    <row r="2111" spans="5:8" x14ac:dyDescent="0.25">
      <c r="E2111" t="str">
        <f>""</f>
        <v/>
      </c>
      <c r="F2111" t="str">
        <f>""</f>
        <v/>
      </c>
      <c r="H2111" t="str">
        <f t="shared" si="42"/>
        <v>BCBS PAYABLE</v>
      </c>
    </row>
    <row r="2112" spans="5:8" x14ac:dyDescent="0.25">
      <c r="E2112" t="str">
        <f>""</f>
        <v/>
      </c>
      <c r="F2112" t="str">
        <f>""</f>
        <v/>
      </c>
      <c r="H2112" t="str">
        <f t="shared" si="42"/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42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42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42"/>
        <v>BCBS PAYABLE</v>
      </c>
    </row>
    <row r="2116" spans="5:8" x14ac:dyDescent="0.25">
      <c r="E2116" t="str">
        <f>""</f>
        <v/>
      </c>
      <c r="F2116" t="str">
        <f>""</f>
        <v/>
      </c>
      <c r="H2116" t="str">
        <f t="shared" si="42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si="42"/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 t="shared" si="42"/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 t="shared" si="42"/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42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42"/>
        <v>BCBS PAYABLE</v>
      </c>
    </row>
    <row r="2122" spans="5:8" x14ac:dyDescent="0.25">
      <c r="E2122" t="str">
        <f>"2EC201903208001"</f>
        <v>2EC201903208001</v>
      </c>
      <c r="F2122" t="str">
        <f>"BCBS PAYABLE"</f>
        <v>BCBS PAYABLE</v>
      </c>
      <c r="G2122" s="2">
        <v>1737.8</v>
      </c>
      <c r="H2122" t="str">
        <f t="shared" ref="H2122:H2153" si="43">"BCBS PAYABLE"</f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43"/>
        <v>BCBS PAYABLE</v>
      </c>
    </row>
    <row r="2124" spans="5:8" x14ac:dyDescent="0.25">
      <c r="E2124" t="str">
        <f>"2EF201903067843"</f>
        <v>2EF201903067843</v>
      </c>
      <c r="F2124" t="str">
        <f>"BCBS PAYABLE"</f>
        <v>BCBS PAYABLE</v>
      </c>
      <c r="G2124" s="2">
        <v>1726.66</v>
      </c>
      <c r="H2124" t="str">
        <f t="shared" si="43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43"/>
        <v>BCBS PAYABLE</v>
      </c>
    </row>
    <row r="2126" spans="5:8" x14ac:dyDescent="0.25">
      <c r="E2126" t="str">
        <f>"2EF201903208000"</f>
        <v>2EF201903208000</v>
      </c>
      <c r="F2126" t="str">
        <f>"BCBS PAYABLE"</f>
        <v>BCBS PAYABLE</v>
      </c>
      <c r="G2126" s="2">
        <v>1726.66</v>
      </c>
      <c r="H2126" t="str">
        <f t="shared" si="43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43"/>
        <v>BCBS PAYABLE</v>
      </c>
    </row>
    <row r="2128" spans="5:8" x14ac:dyDescent="0.25">
      <c r="E2128" t="str">
        <f>"2EO201903067820"</f>
        <v>2EO201903067820</v>
      </c>
      <c r="F2128" t="str">
        <f>"BCBS PAYABLE"</f>
        <v>BCBS PAYABLE</v>
      </c>
      <c r="G2128" s="2">
        <v>3792.96</v>
      </c>
      <c r="H2128" t="str">
        <f t="shared" si="43"/>
        <v>BCBS PAYABLE</v>
      </c>
    </row>
    <row r="2129" spans="5:8" x14ac:dyDescent="0.25">
      <c r="E2129" t="str">
        <f>"2EO201903067843"</f>
        <v>2EO201903067843</v>
      </c>
      <c r="F2129" t="str">
        <f>"BCBS PAYABLE"</f>
        <v>BCBS PAYABLE</v>
      </c>
      <c r="G2129" s="2">
        <v>91663.2</v>
      </c>
      <c r="H2129" t="str">
        <f t="shared" si="43"/>
        <v>BCBS PAYABLE</v>
      </c>
    </row>
    <row r="2130" spans="5:8" x14ac:dyDescent="0.25">
      <c r="E2130" t="str">
        <f>""</f>
        <v/>
      </c>
      <c r="F2130" t="str">
        <f>""</f>
        <v/>
      </c>
      <c r="H2130" t="str">
        <f t="shared" si="43"/>
        <v>BCBS PAYABLE</v>
      </c>
    </row>
    <row r="2131" spans="5:8" x14ac:dyDescent="0.25">
      <c r="E2131" t="str">
        <f>""</f>
        <v/>
      </c>
      <c r="F2131" t="str">
        <f>""</f>
        <v/>
      </c>
      <c r="H2131" t="str">
        <f t="shared" si="43"/>
        <v>BCBS PAYABLE</v>
      </c>
    </row>
    <row r="2132" spans="5:8" x14ac:dyDescent="0.25">
      <c r="E2132" t="str">
        <f>""</f>
        <v/>
      </c>
      <c r="F2132" t="str">
        <f>""</f>
        <v/>
      </c>
      <c r="H2132" t="str">
        <f t="shared" si="43"/>
        <v>BCBS PAYABLE</v>
      </c>
    </row>
    <row r="2133" spans="5:8" x14ac:dyDescent="0.25">
      <c r="E2133" t="str">
        <f>""</f>
        <v/>
      </c>
      <c r="F2133" t="str">
        <f>""</f>
        <v/>
      </c>
      <c r="H2133" t="str">
        <f t="shared" si="43"/>
        <v>BCBS PAYABLE</v>
      </c>
    </row>
    <row r="2134" spans="5:8" x14ac:dyDescent="0.25">
      <c r="E2134" t="str">
        <f>""</f>
        <v/>
      </c>
      <c r="F2134" t="str">
        <f>""</f>
        <v/>
      </c>
      <c r="H2134" t="str">
        <f t="shared" si="43"/>
        <v>BCBS PAYABLE</v>
      </c>
    </row>
    <row r="2135" spans="5:8" x14ac:dyDescent="0.25">
      <c r="E2135" t="str">
        <f>""</f>
        <v/>
      </c>
      <c r="F2135" t="str">
        <f>""</f>
        <v/>
      </c>
      <c r="H2135" t="str">
        <f t="shared" si="43"/>
        <v>BCBS PAYABLE</v>
      </c>
    </row>
    <row r="2136" spans="5:8" x14ac:dyDescent="0.25">
      <c r="E2136" t="str">
        <f>""</f>
        <v/>
      </c>
      <c r="F2136" t="str">
        <f>""</f>
        <v/>
      </c>
      <c r="H2136" t="str">
        <f t="shared" si="43"/>
        <v>BCBS PAYABLE</v>
      </c>
    </row>
    <row r="2137" spans="5:8" x14ac:dyDescent="0.25">
      <c r="E2137" t="str">
        <f>""</f>
        <v/>
      </c>
      <c r="F2137" t="str">
        <f>""</f>
        <v/>
      </c>
      <c r="H2137" t="str">
        <f t="shared" si="43"/>
        <v>BCBS PAYABLE</v>
      </c>
    </row>
    <row r="2138" spans="5:8" x14ac:dyDescent="0.25">
      <c r="E2138" t="str">
        <f>""</f>
        <v/>
      </c>
      <c r="F2138" t="str">
        <f>""</f>
        <v/>
      </c>
      <c r="H2138" t="str">
        <f t="shared" si="43"/>
        <v>BCBS PAYABLE</v>
      </c>
    </row>
    <row r="2139" spans="5:8" x14ac:dyDescent="0.25">
      <c r="E2139" t="str">
        <f>""</f>
        <v/>
      </c>
      <c r="F2139" t="str">
        <f>""</f>
        <v/>
      </c>
      <c r="H2139" t="str">
        <f t="shared" si="43"/>
        <v>BCBS PAYABLE</v>
      </c>
    </row>
    <row r="2140" spans="5:8" x14ac:dyDescent="0.25">
      <c r="E2140" t="str">
        <f>""</f>
        <v/>
      </c>
      <c r="F2140" t="str">
        <f>""</f>
        <v/>
      </c>
      <c r="H2140" t="str">
        <f t="shared" si="43"/>
        <v>BCBS PAYABLE</v>
      </c>
    </row>
    <row r="2141" spans="5:8" x14ac:dyDescent="0.25">
      <c r="E2141" t="str">
        <f>""</f>
        <v/>
      </c>
      <c r="F2141" t="str">
        <f>""</f>
        <v/>
      </c>
      <c r="H2141" t="str">
        <f t="shared" si="43"/>
        <v>BCBS PAYABLE</v>
      </c>
    </row>
    <row r="2142" spans="5:8" x14ac:dyDescent="0.25">
      <c r="E2142" t="str">
        <f>""</f>
        <v/>
      </c>
      <c r="F2142" t="str">
        <f>""</f>
        <v/>
      </c>
      <c r="H2142" t="str">
        <f t="shared" si="43"/>
        <v>BCBS PAYABLE</v>
      </c>
    </row>
    <row r="2143" spans="5:8" x14ac:dyDescent="0.25">
      <c r="E2143" t="str">
        <f>""</f>
        <v/>
      </c>
      <c r="F2143" t="str">
        <f>""</f>
        <v/>
      </c>
      <c r="H2143" t="str">
        <f t="shared" si="43"/>
        <v>BCBS PAYABLE</v>
      </c>
    </row>
    <row r="2144" spans="5:8" x14ac:dyDescent="0.25">
      <c r="E2144" t="str">
        <f>""</f>
        <v/>
      </c>
      <c r="F2144" t="str">
        <f>""</f>
        <v/>
      </c>
      <c r="H2144" t="str">
        <f t="shared" si="43"/>
        <v>BCBS PAYABLE</v>
      </c>
    </row>
    <row r="2145" spans="5:8" x14ac:dyDescent="0.25">
      <c r="E2145" t="str">
        <f>""</f>
        <v/>
      </c>
      <c r="F2145" t="str">
        <f>""</f>
        <v/>
      </c>
      <c r="H2145" t="str">
        <f t="shared" si="43"/>
        <v>BCBS PAYABLE</v>
      </c>
    </row>
    <row r="2146" spans="5:8" x14ac:dyDescent="0.25">
      <c r="E2146" t="str">
        <f>""</f>
        <v/>
      </c>
      <c r="F2146" t="str">
        <f>""</f>
        <v/>
      </c>
      <c r="H2146" t="str">
        <f t="shared" si="43"/>
        <v>BCBS PAYABLE</v>
      </c>
    </row>
    <row r="2147" spans="5:8" x14ac:dyDescent="0.25">
      <c r="E2147" t="str">
        <f>""</f>
        <v/>
      </c>
      <c r="F2147" t="str">
        <f>""</f>
        <v/>
      </c>
      <c r="H2147" t="str">
        <f t="shared" si="43"/>
        <v>BCBS PAYABLE</v>
      </c>
    </row>
    <row r="2148" spans="5:8" x14ac:dyDescent="0.25">
      <c r="E2148" t="str">
        <f>""</f>
        <v/>
      </c>
      <c r="F2148" t="str">
        <f>""</f>
        <v/>
      </c>
      <c r="H2148" t="str">
        <f t="shared" si="43"/>
        <v>BCBS PAYABLE</v>
      </c>
    </row>
    <row r="2149" spans="5:8" x14ac:dyDescent="0.25">
      <c r="E2149" t="str">
        <f>""</f>
        <v/>
      </c>
      <c r="F2149" t="str">
        <f>""</f>
        <v/>
      </c>
      <c r="H2149" t="str">
        <f t="shared" si="43"/>
        <v>BCBS PAYABLE</v>
      </c>
    </row>
    <row r="2150" spans="5:8" x14ac:dyDescent="0.25">
      <c r="E2150" t="str">
        <f>""</f>
        <v/>
      </c>
      <c r="F2150" t="str">
        <f>""</f>
        <v/>
      </c>
      <c r="H2150" t="str">
        <f t="shared" si="43"/>
        <v>BCBS PAYABLE</v>
      </c>
    </row>
    <row r="2151" spans="5:8" x14ac:dyDescent="0.25">
      <c r="E2151" t="str">
        <f>""</f>
        <v/>
      </c>
      <c r="F2151" t="str">
        <f>""</f>
        <v/>
      </c>
      <c r="H2151" t="str">
        <f t="shared" si="43"/>
        <v>BCBS PAYABLE</v>
      </c>
    </row>
    <row r="2152" spans="5:8" x14ac:dyDescent="0.25">
      <c r="E2152" t="str">
        <f>""</f>
        <v/>
      </c>
      <c r="F2152" t="str">
        <f>""</f>
        <v/>
      </c>
      <c r="H2152" t="str">
        <f t="shared" si="43"/>
        <v>BCBS PAYABLE</v>
      </c>
    </row>
    <row r="2153" spans="5:8" x14ac:dyDescent="0.25">
      <c r="E2153" t="str">
        <f>""</f>
        <v/>
      </c>
      <c r="F2153" t="str">
        <f>""</f>
        <v/>
      </c>
      <c r="H2153" t="str">
        <f t="shared" si="43"/>
        <v>BCBS PAYABLE</v>
      </c>
    </row>
    <row r="2154" spans="5:8" x14ac:dyDescent="0.25">
      <c r="E2154" t="str">
        <f>""</f>
        <v/>
      </c>
      <c r="F2154" t="str">
        <f>""</f>
        <v/>
      </c>
      <c r="H2154" t="str">
        <f t="shared" ref="H2154:H2185" si="44">"BCBS PAYABLE"</f>
        <v>BCBS PAYABLE</v>
      </c>
    </row>
    <row r="2155" spans="5:8" x14ac:dyDescent="0.25">
      <c r="E2155" t="str">
        <f>""</f>
        <v/>
      </c>
      <c r="F2155" t="str">
        <f>""</f>
        <v/>
      </c>
      <c r="H2155" t="str">
        <f t="shared" si="44"/>
        <v>BCBS PAYABLE</v>
      </c>
    </row>
    <row r="2156" spans="5:8" x14ac:dyDescent="0.25">
      <c r="E2156" t="str">
        <f>""</f>
        <v/>
      </c>
      <c r="F2156" t="str">
        <f>""</f>
        <v/>
      </c>
      <c r="H2156" t="str">
        <f t="shared" si="44"/>
        <v>BCBS PAYABLE</v>
      </c>
    </row>
    <row r="2157" spans="5:8" x14ac:dyDescent="0.25">
      <c r="E2157" t="str">
        <f>""</f>
        <v/>
      </c>
      <c r="F2157" t="str">
        <f>""</f>
        <v/>
      </c>
      <c r="H2157" t="str">
        <f t="shared" si="44"/>
        <v>BCBS PAYABLE</v>
      </c>
    </row>
    <row r="2158" spans="5:8" x14ac:dyDescent="0.25">
      <c r="E2158" t="str">
        <f>""</f>
        <v/>
      </c>
      <c r="F2158" t="str">
        <f>""</f>
        <v/>
      </c>
      <c r="H2158" t="str">
        <f t="shared" si="44"/>
        <v>BCBS PAYABLE</v>
      </c>
    </row>
    <row r="2159" spans="5:8" x14ac:dyDescent="0.25">
      <c r="E2159" t="str">
        <f>""</f>
        <v/>
      </c>
      <c r="F2159" t="str">
        <f>""</f>
        <v/>
      </c>
      <c r="H2159" t="str">
        <f t="shared" si="44"/>
        <v>BCBS PAYABLE</v>
      </c>
    </row>
    <row r="2160" spans="5:8" x14ac:dyDescent="0.25">
      <c r="E2160" t="str">
        <f>""</f>
        <v/>
      </c>
      <c r="F2160" t="str">
        <f>""</f>
        <v/>
      </c>
      <c r="H2160" t="str">
        <f t="shared" si="44"/>
        <v>BCBS PAYABLE</v>
      </c>
    </row>
    <row r="2161" spans="5:8" x14ac:dyDescent="0.25">
      <c r="E2161" t="str">
        <f>""</f>
        <v/>
      </c>
      <c r="F2161" t="str">
        <f>""</f>
        <v/>
      </c>
      <c r="H2161" t="str">
        <f t="shared" si="44"/>
        <v>BCBS PAYABLE</v>
      </c>
    </row>
    <row r="2162" spans="5:8" x14ac:dyDescent="0.25">
      <c r="E2162" t="str">
        <f>""</f>
        <v/>
      </c>
      <c r="F2162" t="str">
        <f>""</f>
        <v/>
      </c>
      <c r="H2162" t="str">
        <f t="shared" si="44"/>
        <v>BCBS PAYABLE</v>
      </c>
    </row>
    <row r="2163" spans="5:8" x14ac:dyDescent="0.25">
      <c r="E2163" t="str">
        <f>""</f>
        <v/>
      </c>
      <c r="F2163" t="str">
        <f>""</f>
        <v/>
      </c>
      <c r="H2163" t="str">
        <f t="shared" si="44"/>
        <v>BCBS PAYABLE</v>
      </c>
    </row>
    <row r="2164" spans="5:8" x14ac:dyDescent="0.25">
      <c r="E2164" t="str">
        <f>""</f>
        <v/>
      </c>
      <c r="F2164" t="str">
        <f>""</f>
        <v/>
      </c>
      <c r="H2164" t="str">
        <f t="shared" si="44"/>
        <v>BCBS PAYABLE</v>
      </c>
    </row>
    <row r="2165" spans="5:8" x14ac:dyDescent="0.25">
      <c r="E2165" t="str">
        <f>""</f>
        <v/>
      </c>
      <c r="F2165" t="str">
        <f>""</f>
        <v/>
      </c>
      <c r="H2165" t="str">
        <f t="shared" si="44"/>
        <v>BCBS PAYABLE</v>
      </c>
    </row>
    <row r="2166" spans="5:8" x14ac:dyDescent="0.25">
      <c r="E2166" t="str">
        <f>""</f>
        <v/>
      </c>
      <c r="F2166" t="str">
        <f>""</f>
        <v/>
      </c>
      <c r="H2166" t="str">
        <f t="shared" si="44"/>
        <v>BCBS PAYABLE</v>
      </c>
    </row>
    <row r="2167" spans="5:8" x14ac:dyDescent="0.25">
      <c r="E2167" t="str">
        <f>""</f>
        <v/>
      </c>
      <c r="F2167" t="str">
        <f>""</f>
        <v/>
      </c>
      <c r="H2167" t="str">
        <f t="shared" si="44"/>
        <v>BCBS PAYABLE</v>
      </c>
    </row>
    <row r="2168" spans="5:8" x14ac:dyDescent="0.25">
      <c r="E2168" t="str">
        <f>""</f>
        <v/>
      </c>
      <c r="F2168" t="str">
        <f>""</f>
        <v/>
      </c>
      <c r="H2168" t="str">
        <f t="shared" si="44"/>
        <v>BCBS PAYABLE</v>
      </c>
    </row>
    <row r="2169" spans="5:8" x14ac:dyDescent="0.25">
      <c r="E2169" t="str">
        <f>""</f>
        <v/>
      </c>
      <c r="F2169" t="str">
        <f>""</f>
        <v/>
      </c>
      <c r="H2169" t="str">
        <f t="shared" si="44"/>
        <v>BCBS PAYABLE</v>
      </c>
    </row>
    <row r="2170" spans="5:8" x14ac:dyDescent="0.25">
      <c r="E2170" t="str">
        <f>""</f>
        <v/>
      </c>
      <c r="F2170" t="str">
        <f>""</f>
        <v/>
      </c>
      <c r="H2170" t="str">
        <f t="shared" si="44"/>
        <v>BCBS PAYABLE</v>
      </c>
    </row>
    <row r="2171" spans="5:8" x14ac:dyDescent="0.25">
      <c r="E2171" t="str">
        <f>""</f>
        <v/>
      </c>
      <c r="F2171" t="str">
        <f>""</f>
        <v/>
      </c>
      <c r="H2171" t="str">
        <f t="shared" si="44"/>
        <v>BCBS PAYABLE</v>
      </c>
    </row>
    <row r="2172" spans="5:8" x14ac:dyDescent="0.25">
      <c r="E2172" t="str">
        <f>""</f>
        <v/>
      </c>
      <c r="F2172" t="str">
        <f>""</f>
        <v/>
      </c>
      <c r="H2172" t="str">
        <f t="shared" si="44"/>
        <v>BCBS PAYABLE</v>
      </c>
    </row>
    <row r="2173" spans="5:8" x14ac:dyDescent="0.25">
      <c r="E2173" t="str">
        <f>"2EO201903208000"</f>
        <v>2EO201903208000</v>
      </c>
      <c r="F2173" t="str">
        <f>"BCBS PAYABLE"</f>
        <v>BCBS PAYABLE</v>
      </c>
      <c r="G2173" s="2">
        <v>91663.2</v>
      </c>
      <c r="H2173" t="str">
        <f t="shared" si="44"/>
        <v>BCBS PAYABLE</v>
      </c>
    </row>
    <row r="2174" spans="5:8" x14ac:dyDescent="0.25">
      <c r="E2174" t="str">
        <f>""</f>
        <v/>
      </c>
      <c r="F2174" t="str">
        <f>""</f>
        <v/>
      </c>
      <c r="H2174" t="str">
        <f t="shared" si="44"/>
        <v>BCBS PAYABLE</v>
      </c>
    </row>
    <row r="2175" spans="5:8" x14ac:dyDescent="0.25">
      <c r="E2175" t="str">
        <f>""</f>
        <v/>
      </c>
      <c r="F2175" t="str">
        <f>""</f>
        <v/>
      </c>
      <c r="H2175" t="str">
        <f t="shared" si="44"/>
        <v>BCBS PAYABLE</v>
      </c>
    </row>
    <row r="2176" spans="5:8" x14ac:dyDescent="0.25">
      <c r="E2176" t="str">
        <f>""</f>
        <v/>
      </c>
      <c r="F2176" t="str">
        <f>""</f>
        <v/>
      </c>
      <c r="H2176" t="str">
        <f t="shared" si="44"/>
        <v>BCBS PAYABLE</v>
      </c>
    </row>
    <row r="2177" spans="5:8" x14ac:dyDescent="0.25">
      <c r="E2177" t="str">
        <f>""</f>
        <v/>
      </c>
      <c r="F2177" t="str">
        <f>""</f>
        <v/>
      </c>
      <c r="H2177" t="str">
        <f t="shared" si="44"/>
        <v>BCBS PAYABLE</v>
      </c>
    </row>
    <row r="2178" spans="5:8" x14ac:dyDescent="0.25">
      <c r="E2178" t="str">
        <f>""</f>
        <v/>
      </c>
      <c r="F2178" t="str">
        <f>""</f>
        <v/>
      </c>
      <c r="H2178" t="str">
        <f t="shared" si="44"/>
        <v>BCBS PAYABLE</v>
      </c>
    </row>
    <row r="2179" spans="5:8" x14ac:dyDescent="0.25">
      <c r="E2179" t="str">
        <f>""</f>
        <v/>
      </c>
      <c r="F2179" t="str">
        <f>""</f>
        <v/>
      </c>
      <c r="H2179" t="str">
        <f t="shared" si="44"/>
        <v>BCBS PAYABLE</v>
      </c>
    </row>
    <row r="2180" spans="5:8" x14ac:dyDescent="0.25">
      <c r="E2180" t="str">
        <f>""</f>
        <v/>
      </c>
      <c r="F2180" t="str">
        <f>""</f>
        <v/>
      </c>
      <c r="H2180" t="str">
        <f t="shared" si="44"/>
        <v>BCBS PAYABLE</v>
      </c>
    </row>
    <row r="2181" spans="5:8" x14ac:dyDescent="0.25">
      <c r="E2181" t="str">
        <f>""</f>
        <v/>
      </c>
      <c r="F2181" t="str">
        <f>""</f>
        <v/>
      </c>
      <c r="H2181" t="str">
        <f t="shared" si="44"/>
        <v>BCBS PAYABLE</v>
      </c>
    </row>
    <row r="2182" spans="5:8" x14ac:dyDescent="0.25">
      <c r="E2182" t="str">
        <f>""</f>
        <v/>
      </c>
      <c r="F2182" t="str">
        <f>""</f>
        <v/>
      </c>
      <c r="H2182" t="str">
        <f t="shared" si="44"/>
        <v>BCBS PAYABLE</v>
      </c>
    </row>
    <row r="2183" spans="5:8" x14ac:dyDescent="0.25">
      <c r="E2183" t="str">
        <f>""</f>
        <v/>
      </c>
      <c r="F2183" t="str">
        <f>""</f>
        <v/>
      </c>
      <c r="H2183" t="str">
        <f t="shared" si="44"/>
        <v>BCBS PAYABLE</v>
      </c>
    </row>
    <row r="2184" spans="5:8" x14ac:dyDescent="0.25">
      <c r="E2184" t="str">
        <f>""</f>
        <v/>
      </c>
      <c r="F2184" t="str">
        <f>""</f>
        <v/>
      </c>
      <c r="H2184" t="str">
        <f t="shared" si="44"/>
        <v>BCBS PAYABLE</v>
      </c>
    </row>
    <row r="2185" spans="5:8" x14ac:dyDescent="0.25">
      <c r="E2185" t="str">
        <f>""</f>
        <v/>
      </c>
      <c r="F2185" t="str">
        <f>""</f>
        <v/>
      </c>
      <c r="H2185" t="str">
        <f t="shared" si="44"/>
        <v>BCBS PAYABLE</v>
      </c>
    </row>
    <row r="2186" spans="5:8" x14ac:dyDescent="0.25">
      <c r="E2186" t="str">
        <f>""</f>
        <v/>
      </c>
      <c r="F2186" t="str">
        <f>""</f>
        <v/>
      </c>
      <c r="H2186" t="str">
        <f t="shared" ref="H2186:H2217" si="45">"BCBS PAYABLE"</f>
        <v>BCBS PAYABLE</v>
      </c>
    </row>
    <row r="2187" spans="5:8" x14ac:dyDescent="0.25">
      <c r="E2187" t="str">
        <f>""</f>
        <v/>
      </c>
      <c r="F2187" t="str">
        <f>""</f>
        <v/>
      </c>
      <c r="H2187" t="str">
        <f t="shared" si="45"/>
        <v>BCBS PAYABLE</v>
      </c>
    </row>
    <row r="2188" spans="5:8" x14ac:dyDescent="0.25">
      <c r="E2188" t="str">
        <f>""</f>
        <v/>
      </c>
      <c r="F2188" t="str">
        <f>""</f>
        <v/>
      </c>
      <c r="H2188" t="str">
        <f t="shared" si="45"/>
        <v>BCBS PAYABLE</v>
      </c>
    </row>
    <row r="2189" spans="5:8" x14ac:dyDescent="0.25">
      <c r="E2189" t="str">
        <f>""</f>
        <v/>
      </c>
      <c r="F2189" t="str">
        <f>""</f>
        <v/>
      </c>
      <c r="H2189" t="str">
        <f t="shared" si="45"/>
        <v>BCBS PAYABLE</v>
      </c>
    </row>
    <row r="2190" spans="5:8" x14ac:dyDescent="0.25">
      <c r="E2190" t="str">
        <f>""</f>
        <v/>
      </c>
      <c r="F2190" t="str">
        <f>""</f>
        <v/>
      </c>
      <c r="H2190" t="str">
        <f t="shared" si="45"/>
        <v>BCBS PAYABLE</v>
      </c>
    </row>
    <row r="2191" spans="5:8" x14ac:dyDescent="0.25">
      <c r="E2191" t="str">
        <f>""</f>
        <v/>
      </c>
      <c r="F2191" t="str">
        <f>""</f>
        <v/>
      </c>
      <c r="H2191" t="str">
        <f t="shared" si="45"/>
        <v>BCBS PAYABLE</v>
      </c>
    </row>
    <row r="2192" spans="5:8" x14ac:dyDescent="0.25">
      <c r="E2192" t="str">
        <f>""</f>
        <v/>
      </c>
      <c r="F2192" t="str">
        <f>""</f>
        <v/>
      </c>
      <c r="H2192" t="str">
        <f t="shared" si="45"/>
        <v>BCBS PAYABLE</v>
      </c>
    </row>
    <row r="2193" spans="5:8" x14ac:dyDescent="0.25">
      <c r="E2193" t="str">
        <f>""</f>
        <v/>
      </c>
      <c r="F2193" t="str">
        <f>""</f>
        <v/>
      </c>
      <c r="H2193" t="str">
        <f t="shared" si="45"/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 t="shared" si="45"/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 t="shared" si="45"/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 t="shared" si="45"/>
        <v>BCBS PAYABLE</v>
      </c>
    </row>
    <row r="2197" spans="5:8" x14ac:dyDescent="0.25">
      <c r="E2197" t="str">
        <f>""</f>
        <v/>
      </c>
      <c r="F2197" t="str">
        <f>""</f>
        <v/>
      </c>
      <c r="H2197" t="str">
        <f t="shared" si="45"/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 t="shared" si="45"/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 t="shared" si="45"/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 t="shared" si="45"/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 t="shared" si="45"/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 t="shared" si="45"/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 t="shared" si="45"/>
        <v>BCBS PAYABLE</v>
      </c>
    </row>
    <row r="2204" spans="5:8" x14ac:dyDescent="0.25">
      <c r="E2204" t="str">
        <f>""</f>
        <v/>
      </c>
      <c r="F2204" t="str">
        <f>""</f>
        <v/>
      </c>
      <c r="H2204" t="str">
        <f t="shared" si="45"/>
        <v>BCBS PAYABLE</v>
      </c>
    </row>
    <row r="2205" spans="5:8" x14ac:dyDescent="0.25">
      <c r="E2205" t="str">
        <f>""</f>
        <v/>
      </c>
      <c r="F2205" t="str">
        <f>""</f>
        <v/>
      </c>
      <c r="H2205" t="str">
        <f t="shared" si="45"/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 t="shared" si="45"/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 t="shared" si="45"/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 t="shared" si="45"/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 t="shared" si="45"/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 t="shared" si="45"/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 t="shared" si="45"/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 t="shared" si="45"/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 t="shared" si="45"/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 t="shared" si="45"/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 t="shared" si="45"/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 t="shared" si="45"/>
        <v>BCBS PAYABLE</v>
      </c>
    </row>
    <row r="2217" spans="5:8" x14ac:dyDescent="0.25">
      <c r="E2217" t="str">
        <f>"2EO201903208001"</f>
        <v>2EO201903208001</v>
      </c>
      <c r="F2217" t="str">
        <f>"BCBS PAYABLE"</f>
        <v>BCBS PAYABLE</v>
      </c>
      <c r="G2217" s="2">
        <v>3792.96</v>
      </c>
      <c r="H2217" t="str">
        <f t="shared" si="45"/>
        <v>BCBS PAYABLE</v>
      </c>
    </row>
    <row r="2218" spans="5:8" x14ac:dyDescent="0.25">
      <c r="E2218" t="str">
        <f>"2ES201903067843"</f>
        <v>2ES201903067843</v>
      </c>
      <c r="F2218" t="str">
        <f>"BCBS PAYABLE"</f>
        <v>BCBS PAYABLE</v>
      </c>
      <c r="G2218" s="2">
        <v>15084</v>
      </c>
      <c r="H2218" t="str">
        <f t="shared" ref="H2218:H2249" si="46">"BCBS PAYABLE"</f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 t="shared" si="46"/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 t="shared" si="46"/>
        <v>BCBS PAYABLE</v>
      </c>
    </row>
    <row r="2221" spans="5:8" x14ac:dyDescent="0.25">
      <c r="E2221" t="str">
        <f>""</f>
        <v/>
      </c>
      <c r="F2221" t="str">
        <f>""</f>
        <v/>
      </c>
      <c r="H2221" t="str">
        <f t="shared" si="46"/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 t="shared" si="46"/>
        <v>BCBS PAYABLE</v>
      </c>
    </row>
    <row r="2223" spans="5:8" x14ac:dyDescent="0.25">
      <c r="E2223" t="str">
        <f>""</f>
        <v/>
      </c>
      <c r="F2223" t="str">
        <f>""</f>
        <v/>
      </c>
      <c r="H2223" t="str">
        <f t="shared" si="46"/>
        <v>BCBS PAYABLE</v>
      </c>
    </row>
    <row r="2224" spans="5:8" x14ac:dyDescent="0.25">
      <c r="E2224" t="str">
        <f>""</f>
        <v/>
      </c>
      <c r="F2224" t="str">
        <f>""</f>
        <v/>
      </c>
      <c r="H2224" t="str">
        <f t="shared" si="46"/>
        <v>BCBS PAYABLE</v>
      </c>
    </row>
    <row r="2225" spans="5:8" x14ac:dyDescent="0.25">
      <c r="E2225" t="str">
        <f>""</f>
        <v/>
      </c>
      <c r="F2225" t="str">
        <f>""</f>
        <v/>
      </c>
      <c r="H2225" t="str">
        <f t="shared" si="46"/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 t="shared" si="46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46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46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46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46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46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46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46"/>
        <v>BCBS PAYABLE</v>
      </c>
    </row>
    <row r="2234" spans="5:8" x14ac:dyDescent="0.25">
      <c r="E2234" t="str">
        <f>"2ES201903208000"</f>
        <v>2ES201903208000</v>
      </c>
      <c r="F2234" t="str">
        <f>"BCBS PAYABLE"</f>
        <v>BCBS PAYABLE</v>
      </c>
      <c r="G2234" s="2">
        <v>15084</v>
      </c>
      <c r="H2234" t="str">
        <f t="shared" si="46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46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46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46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46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46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46"/>
        <v>BCBS PAYABLE</v>
      </c>
    </row>
    <row r="2241" spans="1:8" x14ac:dyDescent="0.25">
      <c r="E2241" t="str">
        <f>""</f>
        <v/>
      </c>
      <c r="F2241" t="str">
        <f>""</f>
        <v/>
      </c>
      <c r="H2241" t="str">
        <f t="shared" si="46"/>
        <v>BCBS PAYABLE</v>
      </c>
    </row>
    <row r="2242" spans="1:8" x14ac:dyDescent="0.25">
      <c r="E2242" t="str">
        <f>""</f>
        <v/>
      </c>
      <c r="F2242" t="str">
        <f>""</f>
        <v/>
      </c>
      <c r="H2242" t="str">
        <f t="shared" si="46"/>
        <v>BCBS PAYABLE</v>
      </c>
    </row>
    <row r="2243" spans="1:8" x14ac:dyDescent="0.25">
      <c r="E2243" t="str">
        <f>""</f>
        <v/>
      </c>
      <c r="F2243" t="str">
        <f>""</f>
        <v/>
      </c>
      <c r="H2243" t="str">
        <f t="shared" si="46"/>
        <v>BCBS PAYABLE</v>
      </c>
    </row>
    <row r="2244" spans="1:8" x14ac:dyDescent="0.25">
      <c r="E2244" t="str">
        <f>""</f>
        <v/>
      </c>
      <c r="F2244" t="str">
        <f>""</f>
        <v/>
      </c>
      <c r="H2244" t="str">
        <f t="shared" si="46"/>
        <v>BCBS PAYABLE</v>
      </c>
    </row>
    <row r="2245" spans="1:8" x14ac:dyDescent="0.25">
      <c r="E2245" t="str">
        <f>""</f>
        <v/>
      </c>
      <c r="F2245" t="str">
        <f>""</f>
        <v/>
      </c>
      <c r="H2245" t="str">
        <f t="shared" si="46"/>
        <v>BCBS PAYABLE</v>
      </c>
    </row>
    <row r="2246" spans="1:8" x14ac:dyDescent="0.25">
      <c r="E2246" t="str">
        <f>""</f>
        <v/>
      </c>
      <c r="F2246" t="str">
        <f>""</f>
        <v/>
      </c>
      <c r="H2246" t="str">
        <f t="shared" si="46"/>
        <v>BCBS PAYABLE</v>
      </c>
    </row>
    <row r="2247" spans="1:8" x14ac:dyDescent="0.25">
      <c r="E2247" t="str">
        <f>""</f>
        <v/>
      </c>
      <c r="F2247" t="str">
        <f>""</f>
        <v/>
      </c>
      <c r="H2247" t="str">
        <f t="shared" si="46"/>
        <v>BCBS PAYABLE</v>
      </c>
    </row>
    <row r="2248" spans="1:8" x14ac:dyDescent="0.25">
      <c r="E2248" t="str">
        <f>""</f>
        <v/>
      </c>
      <c r="F2248" t="str">
        <f>""</f>
        <v/>
      </c>
      <c r="H2248" t="str">
        <f t="shared" si="46"/>
        <v>BCBS PAYABLE</v>
      </c>
    </row>
    <row r="2249" spans="1:8" x14ac:dyDescent="0.25">
      <c r="E2249" t="str">
        <f>""</f>
        <v/>
      </c>
      <c r="F2249" t="str">
        <f>""</f>
        <v/>
      </c>
      <c r="H2249" t="str">
        <f t="shared" si="46"/>
        <v>BCBS PAYABLE</v>
      </c>
    </row>
    <row r="2250" spans="1:8" x14ac:dyDescent="0.25">
      <c r="A2250" t="s">
        <v>479</v>
      </c>
      <c r="B2250">
        <v>84</v>
      </c>
      <c r="C2250" s="2">
        <v>11638.32</v>
      </c>
      <c r="D2250" s="1">
        <v>43532</v>
      </c>
      <c r="E2250" t="str">
        <f>"FSA201903067820"</f>
        <v>FSA201903067820</v>
      </c>
      <c r="F2250" t="str">
        <f>"TASC FSA"</f>
        <v>TASC FSA</v>
      </c>
      <c r="G2250" s="2">
        <v>550.05999999999995</v>
      </c>
      <c r="H2250" t="str">
        <f>"TASC FSA"</f>
        <v>TASC FSA</v>
      </c>
    </row>
    <row r="2251" spans="1:8" x14ac:dyDescent="0.25">
      <c r="E2251" t="str">
        <f>"FSA201903067843"</f>
        <v>FSA201903067843</v>
      </c>
      <c r="F2251" t="str">
        <f>"TASC FSA"</f>
        <v>TASC FSA</v>
      </c>
      <c r="G2251" s="2">
        <v>7701.5</v>
      </c>
      <c r="H2251" t="str">
        <f>"TASC FSA"</f>
        <v>TASC FSA</v>
      </c>
    </row>
    <row r="2252" spans="1:8" x14ac:dyDescent="0.25">
      <c r="E2252" t="str">
        <f>"FSC201903067843"</f>
        <v>FSC201903067843</v>
      </c>
      <c r="F2252" t="str">
        <f>"TASC DEPENDENT CARE"</f>
        <v>TASC DEPENDENT CARE</v>
      </c>
      <c r="G2252" s="2">
        <v>313.95999999999998</v>
      </c>
      <c r="H2252" t="str">
        <f>"TASC DEPENDENT CARE"</f>
        <v>TASC DEPENDENT CARE</v>
      </c>
    </row>
    <row r="2253" spans="1:8" x14ac:dyDescent="0.25">
      <c r="E2253" t="str">
        <f>"FSF201903067820"</f>
        <v>FSF201903067820</v>
      </c>
      <c r="F2253" t="str">
        <f>"TASC - FSA  FEES"</f>
        <v>TASC - FSA  FEES</v>
      </c>
      <c r="G2253" s="2">
        <v>12.6</v>
      </c>
      <c r="H2253" t="str">
        <f t="shared" ref="H2253:H2290" si="47">"TASC - FSA  FEES"</f>
        <v>TASC - FSA  FEES</v>
      </c>
    </row>
    <row r="2254" spans="1:8" x14ac:dyDescent="0.25">
      <c r="E2254" t="str">
        <f>"FSF201903067843"</f>
        <v>FSF201903067843</v>
      </c>
      <c r="F2254" t="str">
        <f>"TASC - FSA  FEES"</f>
        <v>TASC - FSA  FEES</v>
      </c>
      <c r="G2254" s="2">
        <v>264.60000000000002</v>
      </c>
      <c r="H2254" t="str">
        <f t="shared" si="47"/>
        <v>TASC - FSA  FEES</v>
      </c>
    </row>
    <row r="2255" spans="1:8" x14ac:dyDescent="0.25">
      <c r="E2255" t="str">
        <f>""</f>
        <v/>
      </c>
      <c r="F2255" t="str">
        <f>""</f>
        <v/>
      </c>
      <c r="H2255" t="str">
        <f t="shared" si="47"/>
        <v>TASC - FSA  FEES</v>
      </c>
    </row>
    <row r="2256" spans="1:8" x14ac:dyDescent="0.25">
      <c r="E2256" t="str">
        <f>""</f>
        <v/>
      </c>
      <c r="F2256" t="str">
        <f>""</f>
        <v/>
      </c>
      <c r="H2256" t="str">
        <f t="shared" si="47"/>
        <v>TASC - FSA  FEES</v>
      </c>
    </row>
    <row r="2257" spans="5:8" x14ac:dyDescent="0.25">
      <c r="E2257" t="str">
        <f>""</f>
        <v/>
      </c>
      <c r="F2257" t="str">
        <f>""</f>
        <v/>
      </c>
      <c r="H2257" t="str">
        <f t="shared" si="47"/>
        <v>TASC - FSA  FEES</v>
      </c>
    </row>
    <row r="2258" spans="5:8" x14ac:dyDescent="0.25">
      <c r="E2258" t="str">
        <f>""</f>
        <v/>
      </c>
      <c r="F2258" t="str">
        <f>""</f>
        <v/>
      </c>
      <c r="H2258" t="str">
        <f t="shared" si="47"/>
        <v>TASC - FSA  FEES</v>
      </c>
    </row>
    <row r="2259" spans="5:8" x14ac:dyDescent="0.25">
      <c r="E2259" t="str">
        <f>""</f>
        <v/>
      </c>
      <c r="F2259" t="str">
        <f>""</f>
        <v/>
      </c>
      <c r="H2259" t="str">
        <f t="shared" si="47"/>
        <v>TASC - FSA  FEES</v>
      </c>
    </row>
    <row r="2260" spans="5:8" x14ac:dyDescent="0.25">
      <c r="E2260" t="str">
        <f>""</f>
        <v/>
      </c>
      <c r="F2260" t="str">
        <f>""</f>
        <v/>
      </c>
      <c r="H2260" t="str">
        <f t="shared" si="47"/>
        <v>TASC - FSA  FEES</v>
      </c>
    </row>
    <row r="2261" spans="5:8" x14ac:dyDescent="0.25">
      <c r="E2261" t="str">
        <f>""</f>
        <v/>
      </c>
      <c r="F2261" t="str">
        <f>""</f>
        <v/>
      </c>
      <c r="H2261" t="str">
        <f t="shared" si="47"/>
        <v>TASC - FSA  FEES</v>
      </c>
    </row>
    <row r="2262" spans="5:8" x14ac:dyDescent="0.25">
      <c r="E2262" t="str">
        <f>""</f>
        <v/>
      </c>
      <c r="F2262" t="str">
        <f>""</f>
        <v/>
      </c>
      <c r="H2262" t="str">
        <f t="shared" si="47"/>
        <v>TASC - FSA  FEES</v>
      </c>
    </row>
    <row r="2263" spans="5:8" x14ac:dyDescent="0.25">
      <c r="E2263" t="str">
        <f>""</f>
        <v/>
      </c>
      <c r="F2263" t="str">
        <f>""</f>
        <v/>
      </c>
      <c r="H2263" t="str">
        <f t="shared" si="47"/>
        <v>TASC - FSA  FEES</v>
      </c>
    </row>
    <row r="2264" spans="5:8" x14ac:dyDescent="0.25">
      <c r="E2264" t="str">
        <f>""</f>
        <v/>
      </c>
      <c r="F2264" t="str">
        <f>""</f>
        <v/>
      </c>
      <c r="H2264" t="str">
        <f t="shared" si="47"/>
        <v>TASC - FSA  FEES</v>
      </c>
    </row>
    <row r="2265" spans="5:8" x14ac:dyDescent="0.25">
      <c r="E2265" t="str">
        <f>""</f>
        <v/>
      </c>
      <c r="F2265" t="str">
        <f>""</f>
        <v/>
      </c>
      <c r="H2265" t="str">
        <f t="shared" si="47"/>
        <v>TASC - FSA  FEES</v>
      </c>
    </row>
    <row r="2266" spans="5:8" x14ac:dyDescent="0.25">
      <c r="E2266" t="str">
        <f>""</f>
        <v/>
      </c>
      <c r="F2266" t="str">
        <f>""</f>
        <v/>
      </c>
      <c r="H2266" t="str">
        <f t="shared" si="47"/>
        <v>TASC - FSA  FEES</v>
      </c>
    </row>
    <row r="2267" spans="5:8" x14ac:dyDescent="0.25">
      <c r="E2267" t="str">
        <f>""</f>
        <v/>
      </c>
      <c r="F2267" t="str">
        <f>""</f>
        <v/>
      </c>
      <c r="H2267" t="str">
        <f t="shared" si="47"/>
        <v>TASC - FSA  FEES</v>
      </c>
    </row>
    <row r="2268" spans="5:8" x14ac:dyDescent="0.25">
      <c r="E2268" t="str">
        <f>""</f>
        <v/>
      </c>
      <c r="F2268" t="str">
        <f>""</f>
        <v/>
      </c>
      <c r="H2268" t="str">
        <f t="shared" si="47"/>
        <v>TASC - FSA  FEES</v>
      </c>
    </row>
    <row r="2269" spans="5:8" x14ac:dyDescent="0.25">
      <c r="E2269" t="str">
        <f>""</f>
        <v/>
      </c>
      <c r="F2269" t="str">
        <f>""</f>
        <v/>
      </c>
      <c r="H2269" t="str">
        <f t="shared" si="47"/>
        <v>TASC - FSA  FEES</v>
      </c>
    </row>
    <row r="2270" spans="5:8" x14ac:dyDescent="0.25">
      <c r="E2270" t="str">
        <f>""</f>
        <v/>
      </c>
      <c r="F2270" t="str">
        <f>""</f>
        <v/>
      </c>
      <c r="H2270" t="str">
        <f t="shared" si="47"/>
        <v>TASC - FSA  FEES</v>
      </c>
    </row>
    <row r="2271" spans="5:8" x14ac:dyDescent="0.25">
      <c r="E2271" t="str">
        <f>""</f>
        <v/>
      </c>
      <c r="F2271" t="str">
        <f>""</f>
        <v/>
      </c>
      <c r="H2271" t="str">
        <f t="shared" si="47"/>
        <v>TASC - FSA  FEES</v>
      </c>
    </row>
    <row r="2272" spans="5:8" x14ac:dyDescent="0.25">
      <c r="E2272" t="str">
        <f>""</f>
        <v/>
      </c>
      <c r="F2272" t="str">
        <f>""</f>
        <v/>
      </c>
      <c r="H2272" t="str">
        <f t="shared" si="47"/>
        <v>TASC - FSA  FEES</v>
      </c>
    </row>
    <row r="2273" spans="5:8" x14ac:dyDescent="0.25">
      <c r="E2273" t="str">
        <f>""</f>
        <v/>
      </c>
      <c r="F2273" t="str">
        <f>""</f>
        <v/>
      </c>
      <c r="H2273" t="str">
        <f t="shared" si="47"/>
        <v>TASC - FSA  FEES</v>
      </c>
    </row>
    <row r="2274" spans="5:8" x14ac:dyDescent="0.25">
      <c r="E2274" t="str">
        <f>""</f>
        <v/>
      </c>
      <c r="F2274" t="str">
        <f>""</f>
        <v/>
      </c>
      <c r="H2274" t="str">
        <f t="shared" si="47"/>
        <v>TASC - FSA  FEES</v>
      </c>
    </row>
    <row r="2275" spans="5:8" x14ac:dyDescent="0.25">
      <c r="E2275" t="str">
        <f>""</f>
        <v/>
      </c>
      <c r="F2275" t="str">
        <f>""</f>
        <v/>
      </c>
      <c r="H2275" t="str">
        <f t="shared" si="47"/>
        <v>TASC - FSA  FEES</v>
      </c>
    </row>
    <row r="2276" spans="5:8" x14ac:dyDescent="0.25">
      <c r="E2276" t="str">
        <f>""</f>
        <v/>
      </c>
      <c r="F2276" t="str">
        <f>""</f>
        <v/>
      </c>
      <c r="H2276" t="str">
        <f t="shared" si="47"/>
        <v>TASC - FSA  FEES</v>
      </c>
    </row>
    <row r="2277" spans="5:8" x14ac:dyDescent="0.25">
      <c r="E2277" t="str">
        <f>""</f>
        <v/>
      </c>
      <c r="F2277" t="str">
        <f>""</f>
        <v/>
      </c>
      <c r="H2277" t="str">
        <f t="shared" si="47"/>
        <v>TASC - FSA  FEES</v>
      </c>
    </row>
    <row r="2278" spans="5:8" x14ac:dyDescent="0.25">
      <c r="E2278" t="str">
        <f>""</f>
        <v/>
      </c>
      <c r="F2278" t="str">
        <f>""</f>
        <v/>
      </c>
      <c r="H2278" t="str">
        <f t="shared" si="47"/>
        <v>TASC - FSA  FEES</v>
      </c>
    </row>
    <row r="2279" spans="5:8" x14ac:dyDescent="0.25">
      <c r="E2279" t="str">
        <f>""</f>
        <v/>
      </c>
      <c r="F2279" t="str">
        <f>""</f>
        <v/>
      </c>
      <c r="H2279" t="str">
        <f t="shared" si="47"/>
        <v>TASC - FSA  FEES</v>
      </c>
    </row>
    <row r="2280" spans="5:8" x14ac:dyDescent="0.25">
      <c r="E2280" t="str">
        <f>""</f>
        <v/>
      </c>
      <c r="F2280" t="str">
        <f>""</f>
        <v/>
      </c>
      <c r="H2280" t="str">
        <f t="shared" si="47"/>
        <v>TASC - FSA  FEES</v>
      </c>
    </row>
    <row r="2281" spans="5:8" x14ac:dyDescent="0.25">
      <c r="E2281" t="str">
        <f>""</f>
        <v/>
      </c>
      <c r="F2281" t="str">
        <f>""</f>
        <v/>
      </c>
      <c r="H2281" t="str">
        <f t="shared" si="47"/>
        <v>TASC - FSA  FEES</v>
      </c>
    </row>
    <row r="2282" spans="5:8" x14ac:dyDescent="0.25">
      <c r="E2282" t="str">
        <f>""</f>
        <v/>
      </c>
      <c r="F2282" t="str">
        <f>""</f>
        <v/>
      </c>
      <c r="H2282" t="str">
        <f t="shared" si="47"/>
        <v>TASC - FSA  FEES</v>
      </c>
    </row>
    <row r="2283" spans="5:8" x14ac:dyDescent="0.25">
      <c r="E2283" t="str">
        <f>""</f>
        <v/>
      </c>
      <c r="F2283" t="str">
        <f>""</f>
        <v/>
      </c>
      <c r="H2283" t="str">
        <f t="shared" si="47"/>
        <v>TASC - FSA  FEES</v>
      </c>
    </row>
    <row r="2284" spans="5:8" x14ac:dyDescent="0.25">
      <c r="E2284" t="str">
        <f>""</f>
        <v/>
      </c>
      <c r="F2284" t="str">
        <f>""</f>
        <v/>
      </c>
      <c r="H2284" t="str">
        <f t="shared" si="47"/>
        <v>TASC - FSA  FEES</v>
      </c>
    </row>
    <row r="2285" spans="5:8" x14ac:dyDescent="0.25">
      <c r="E2285" t="str">
        <f>""</f>
        <v/>
      </c>
      <c r="F2285" t="str">
        <f>""</f>
        <v/>
      </c>
      <c r="H2285" t="str">
        <f t="shared" si="47"/>
        <v>TASC - FSA  FEES</v>
      </c>
    </row>
    <row r="2286" spans="5:8" x14ac:dyDescent="0.25">
      <c r="E2286" t="str">
        <f>""</f>
        <v/>
      </c>
      <c r="F2286" t="str">
        <f>""</f>
        <v/>
      </c>
      <c r="H2286" t="str">
        <f t="shared" si="47"/>
        <v>TASC - FSA  FEES</v>
      </c>
    </row>
    <row r="2287" spans="5:8" x14ac:dyDescent="0.25">
      <c r="E2287" t="str">
        <f>""</f>
        <v/>
      </c>
      <c r="F2287" t="str">
        <f>""</f>
        <v/>
      </c>
      <c r="H2287" t="str">
        <f t="shared" si="47"/>
        <v>TASC - FSA  FEES</v>
      </c>
    </row>
    <row r="2288" spans="5:8" x14ac:dyDescent="0.25">
      <c r="E2288" t="str">
        <f>""</f>
        <v/>
      </c>
      <c r="F2288" t="str">
        <f>""</f>
        <v/>
      </c>
      <c r="H2288" t="str">
        <f t="shared" si="47"/>
        <v>TASC - FSA  FEES</v>
      </c>
    </row>
    <row r="2289" spans="5:8" x14ac:dyDescent="0.25">
      <c r="E2289" t="str">
        <f>""</f>
        <v/>
      </c>
      <c r="F2289" t="str">
        <f>""</f>
        <v/>
      </c>
      <c r="H2289" t="str">
        <f t="shared" si="47"/>
        <v>TASC - FSA  FEES</v>
      </c>
    </row>
    <row r="2290" spans="5:8" x14ac:dyDescent="0.25">
      <c r="E2290" t="str">
        <f>""</f>
        <v/>
      </c>
      <c r="F2290" t="str">
        <f>""</f>
        <v/>
      </c>
      <c r="H2290" t="str">
        <f t="shared" si="47"/>
        <v>TASC - FSA  FEES</v>
      </c>
    </row>
    <row r="2291" spans="5:8" x14ac:dyDescent="0.25">
      <c r="E2291" t="str">
        <f>"HRA201903067843"</f>
        <v>HRA201903067843</v>
      </c>
      <c r="F2291" t="str">
        <f>"TASC HRA"</f>
        <v>TASC HRA</v>
      </c>
      <c r="G2291" s="2">
        <v>2000</v>
      </c>
      <c r="H2291" t="str">
        <f>"TASC HRA"</f>
        <v>TASC HRA</v>
      </c>
    </row>
    <row r="2292" spans="5:8" x14ac:dyDescent="0.25">
      <c r="E2292" t="str">
        <f>""</f>
        <v/>
      </c>
      <c r="F2292" t="str">
        <f>""</f>
        <v/>
      </c>
      <c r="H2292" t="str">
        <f>"TASC HRA"</f>
        <v>TASC HRA</v>
      </c>
    </row>
    <row r="2293" spans="5:8" x14ac:dyDescent="0.25">
      <c r="E2293" t="str">
        <f>""</f>
        <v/>
      </c>
      <c r="F2293" t="str">
        <f>""</f>
        <v/>
      </c>
      <c r="H2293" t="str">
        <f>"TASC HRA"</f>
        <v>TASC HRA</v>
      </c>
    </row>
    <row r="2294" spans="5:8" x14ac:dyDescent="0.25">
      <c r="E2294" t="str">
        <f>""</f>
        <v/>
      </c>
      <c r="F2294" t="str">
        <f>""</f>
        <v/>
      </c>
      <c r="H2294" t="str">
        <f>"TASC HRA"</f>
        <v>TASC HRA</v>
      </c>
    </row>
    <row r="2295" spans="5:8" x14ac:dyDescent="0.25">
      <c r="E2295" t="str">
        <f>""</f>
        <v/>
      </c>
      <c r="F2295" t="str">
        <f>""</f>
        <v/>
      </c>
      <c r="H2295" t="str">
        <f>"TASC HRA"</f>
        <v>TASC HRA</v>
      </c>
    </row>
    <row r="2296" spans="5:8" x14ac:dyDescent="0.25">
      <c r="E2296" t="str">
        <f>"HRF201903067820"</f>
        <v>HRF201903067820</v>
      </c>
      <c r="F2296" t="str">
        <f>"TASC - HRA FEES"</f>
        <v>TASC - HRA FEES</v>
      </c>
      <c r="G2296" s="2">
        <v>28.8</v>
      </c>
      <c r="H2296" t="str">
        <f t="shared" ref="H2296:H2327" si="48">"TASC - HRA FEES"</f>
        <v>TASC - HRA FEES</v>
      </c>
    </row>
    <row r="2297" spans="5:8" x14ac:dyDescent="0.25">
      <c r="E2297" t="str">
        <f>"HRF201903067843"</f>
        <v>HRF201903067843</v>
      </c>
      <c r="F2297" t="str">
        <f>"TASC - HRA FEES"</f>
        <v>TASC - HRA FEES</v>
      </c>
      <c r="G2297" s="2">
        <v>766.8</v>
      </c>
      <c r="H2297" t="str">
        <f t="shared" si="48"/>
        <v>TASC - HRA FEES</v>
      </c>
    </row>
    <row r="2298" spans="5:8" x14ac:dyDescent="0.25">
      <c r="E2298" t="str">
        <f>""</f>
        <v/>
      </c>
      <c r="F2298" t="str">
        <f>""</f>
        <v/>
      </c>
      <c r="H2298" t="str">
        <f t="shared" si="48"/>
        <v>TASC - HRA FEES</v>
      </c>
    </row>
    <row r="2299" spans="5:8" x14ac:dyDescent="0.25">
      <c r="E2299" t="str">
        <f>""</f>
        <v/>
      </c>
      <c r="F2299" t="str">
        <f>""</f>
        <v/>
      </c>
      <c r="H2299" t="str">
        <f t="shared" si="48"/>
        <v>TASC - HRA FEES</v>
      </c>
    </row>
    <row r="2300" spans="5:8" x14ac:dyDescent="0.25">
      <c r="E2300" t="str">
        <f>""</f>
        <v/>
      </c>
      <c r="F2300" t="str">
        <f>""</f>
        <v/>
      </c>
      <c r="H2300" t="str">
        <f t="shared" si="48"/>
        <v>TASC - HRA FEES</v>
      </c>
    </row>
    <row r="2301" spans="5:8" x14ac:dyDescent="0.25">
      <c r="E2301" t="str">
        <f>""</f>
        <v/>
      </c>
      <c r="F2301" t="str">
        <f>""</f>
        <v/>
      </c>
      <c r="H2301" t="str">
        <f t="shared" si="48"/>
        <v>TASC - HRA FEES</v>
      </c>
    </row>
    <row r="2302" spans="5:8" x14ac:dyDescent="0.25">
      <c r="E2302" t="str">
        <f>""</f>
        <v/>
      </c>
      <c r="F2302" t="str">
        <f>""</f>
        <v/>
      </c>
      <c r="H2302" t="str">
        <f t="shared" si="48"/>
        <v>TASC - HRA FEES</v>
      </c>
    </row>
    <row r="2303" spans="5:8" x14ac:dyDescent="0.25">
      <c r="E2303" t="str">
        <f>""</f>
        <v/>
      </c>
      <c r="F2303" t="str">
        <f>""</f>
        <v/>
      </c>
      <c r="H2303" t="str">
        <f t="shared" si="48"/>
        <v>TASC - HRA FEES</v>
      </c>
    </row>
    <row r="2304" spans="5:8" x14ac:dyDescent="0.25">
      <c r="E2304" t="str">
        <f>""</f>
        <v/>
      </c>
      <c r="F2304" t="str">
        <f>""</f>
        <v/>
      </c>
      <c r="H2304" t="str">
        <f t="shared" si="48"/>
        <v>TASC - HRA FEES</v>
      </c>
    </row>
    <row r="2305" spans="5:8" x14ac:dyDescent="0.25">
      <c r="E2305" t="str">
        <f>""</f>
        <v/>
      </c>
      <c r="F2305" t="str">
        <f>""</f>
        <v/>
      </c>
      <c r="H2305" t="str">
        <f t="shared" si="48"/>
        <v>TASC - HRA FEES</v>
      </c>
    </row>
    <row r="2306" spans="5:8" x14ac:dyDescent="0.25">
      <c r="E2306" t="str">
        <f>""</f>
        <v/>
      </c>
      <c r="F2306" t="str">
        <f>""</f>
        <v/>
      </c>
      <c r="H2306" t="str">
        <f t="shared" si="48"/>
        <v>TASC - HRA FEES</v>
      </c>
    </row>
    <row r="2307" spans="5:8" x14ac:dyDescent="0.25">
      <c r="E2307" t="str">
        <f>""</f>
        <v/>
      </c>
      <c r="F2307" t="str">
        <f>""</f>
        <v/>
      </c>
      <c r="H2307" t="str">
        <f t="shared" si="48"/>
        <v>TASC - HRA FEES</v>
      </c>
    </row>
    <row r="2308" spans="5:8" x14ac:dyDescent="0.25">
      <c r="E2308" t="str">
        <f>""</f>
        <v/>
      </c>
      <c r="F2308" t="str">
        <f>""</f>
        <v/>
      </c>
      <c r="H2308" t="str">
        <f t="shared" si="48"/>
        <v>TASC - HRA FEES</v>
      </c>
    </row>
    <row r="2309" spans="5:8" x14ac:dyDescent="0.25">
      <c r="E2309" t="str">
        <f>""</f>
        <v/>
      </c>
      <c r="F2309" t="str">
        <f>""</f>
        <v/>
      </c>
      <c r="H2309" t="str">
        <f t="shared" si="48"/>
        <v>TASC - HRA FEES</v>
      </c>
    </row>
    <row r="2310" spans="5:8" x14ac:dyDescent="0.25">
      <c r="E2310" t="str">
        <f>""</f>
        <v/>
      </c>
      <c r="F2310" t="str">
        <f>""</f>
        <v/>
      </c>
      <c r="H2310" t="str">
        <f t="shared" si="48"/>
        <v>TASC - HRA FEES</v>
      </c>
    </row>
    <row r="2311" spans="5:8" x14ac:dyDescent="0.25">
      <c r="E2311" t="str">
        <f>""</f>
        <v/>
      </c>
      <c r="F2311" t="str">
        <f>""</f>
        <v/>
      </c>
      <c r="H2311" t="str">
        <f t="shared" si="48"/>
        <v>TASC - HRA FEES</v>
      </c>
    </row>
    <row r="2312" spans="5:8" x14ac:dyDescent="0.25">
      <c r="E2312" t="str">
        <f>""</f>
        <v/>
      </c>
      <c r="F2312" t="str">
        <f>""</f>
        <v/>
      </c>
      <c r="H2312" t="str">
        <f t="shared" si="48"/>
        <v>TASC - HRA FEES</v>
      </c>
    </row>
    <row r="2313" spans="5:8" x14ac:dyDescent="0.25">
      <c r="E2313" t="str">
        <f>""</f>
        <v/>
      </c>
      <c r="F2313" t="str">
        <f>""</f>
        <v/>
      </c>
      <c r="H2313" t="str">
        <f t="shared" si="48"/>
        <v>TASC - HRA FEES</v>
      </c>
    </row>
    <row r="2314" spans="5:8" x14ac:dyDescent="0.25">
      <c r="E2314" t="str">
        <f>""</f>
        <v/>
      </c>
      <c r="F2314" t="str">
        <f>""</f>
        <v/>
      </c>
      <c r="H2314" t="str">
        <f t="shared" si="48"/>
        <v>TASC - HRA FEES</v>
      </c>
    </row>
    <row r="2315" spans="5:8" x14ac:dyDescent="0.25">
      <c r="E2315" t="str">
        <f>""</f>
        <v/>
      </c>
      <c r="F2315" t="str">
        <f>""</f>
        <v/>
      </c>
      <c r="H2315" t="str">
        <f t="shared" si="48"/>
        <v>TASC - HRA FEES</v>
      </c>
    </row>
    <row r="2316" spans="5:8" x14ac:dyDescent="0.25">
      <c r="E2316" t="str">
        <f>""</f>
        <v/>
      </c>
      <c r="F2316" t="str">
        <f>""</f>
        <v/>
      </c>
      <c r="H2316" t="str">
        <f t="shared" si="48"/>
        <v>TASC - HRA FEES</v>
      </c>
    </row>
    <row r="2317" spans="5:8" x14ac:dyDescent="0.25">
      <c r="E2317" t="str">
        <f>""</f>
        <v/>
      </c>
      <c r="F2317" t="str">
        <f>""</f>
        <v/>
      </c>
      <c r="H2317" t="str">
        <f t="shared" si="48"/>
        <v>TASC - HRA FEES</v>
      </c>
    </row>
    <row r="2318" spans="5:8" x14ac:dyDescent="0.25">
      <c r="E2318" t="str">
        <f>""</f>
        <v/>
      </c>
      <c r="F2318" t="str">
        <f>""</f>
        <v/>
      </c>
      <c r="H2318" t="str">
        <f t="shared" si="48"/>
        <v>TASC - HRA FEES</v>
      </c>
    </row>
    <row r="2319" spans="5:8" x14ac:dyDescent="0.25">
      <c r="E2319" t="str">
        <f>""</f>
        <v/>
      </c>
      <c r="F2319" t="str">
        <f>""</f>
        <v/>
      </c>
      <c r="H2319" t="str">
        <f t="shared" si="48"/>
        <v>TASC - HRA FEES</v>
      </c>
    </row>
    <row r="2320" spans="5:8" x14ac:dyDescent="0.25">
      <c r="E2320" t="str">
        <f>""</f>
        <v/>
      </c>
      <c r="F2320" t="str">
        <f>""</f>
        <v/>
      </c>
      <c r="H2320" t="str">
        <f t="shared" si="48"/>
        <v>TASC - HRA FEES</v>
      </c>
    </row>
    <row r="2321" spans="5:8" x14ac:dyDescent="0.25">
      <c r="E2321" t="str">
        <f>""</f>
        <v/>
      </c>
      <c r="F2321" t="str">
        <f>""</f>
        <v/>
      </c>
      <c r="H2321" t="str">
        <f t="shared" si="48"/>
        <v>TASC - HRA FEES</v>
      </c>
    </row>
    <row r="2322" spans="5:8" x14ac:dyDescent="0.25">
      <c r="E2322" t="str">
        <f>""</f>
        <v/>
      </c>
      <c r="F2322" t="str">
        <f>""</f>
        <v/>
      </c>
      <c r="H2322" t="str">
        <f t="shared" si="48"/>
        <v>TASC - HRA FEES</v>
      </c>
    </row>
    <row r="2323" spans="5:8" x14ac:dyDescent="0.25">
      <c r="E2323" t="str">
        <f>""</f>
        <v/>
      </c>
      <c r="F2323" t="str">
        <f>""</f>
        <v/>
      </c>
      <c r="H2323" t="str">
        <f t="shared" si="48"/>
        <v>TASC - HRA FEES</v>
      </c>
    </row>
    <row r="2324" spans="5:8" x14ac:dyDescent="0.25">
      <c r="E2324" t="str">
        <f>""</f>
        <v/>
      </c>
      <c r="F2324" t="str">
        <f>""</f>
        <v/>
      </c>
      <c r="H2324" t="str">
        <f t="shared" si="48"/>
        <v>TASC - HRA FEES</v>
      </c>
    </row>
    <row r="2325" spans="5:8" x14ac:dyDescent="0.25">
      <c r="E2325" t="str">
        <f>""</f>
        <v/>
      </c>
      <c r="F2325" t="str">
        <f>""</f>
        <v/>
      </c>
      <c r="H2325" t="str">
        <f t="shared" si="48"/>
        <v>TASC - HRA FEES</v>
      </c>
    </row>
    <row r="2326" spans="5:8" x14ac:dyDescent="0.25">
      <c r="E2326" t="str">
        <f>""</f>
        <v/>
      </c>
      <c r="F2326" t="str">
        <f>""</f>
        <v/>
      </c>
      <c r="H2326" t="str">
        <f t="shared" si="48"/>
        <v>TASC - HRA FEES</v>
      </c>
    </row>
    <row r="2327" spans="5:8" x14ac:dyDescent="0.25">
      <c r="E2327" t="str">
        <f>""</f>
        <v/>
      </c>
      <c r="F2327" t="str">
        <f>""</f>
        <v/>
      </c>
      <c r="H2327" t="str">
        <f t="shared" si="48"/>
        <v>TASC - HRA FEES</v>
      </c>
    </row>
    <row r="2328" spans="5:8" x14ac:dyDescent="0.25">
      <c r="E2328" t="str">
        <f>""</f>
        <v/>
      </c>
      <c r="F2328" t="str">
        <f>""</f>
        <v/>
      </c>
      <c r="H2328" t="str">
        <f t="shared" ref="H2328:H2345" si="49">"TASC - HRA FEES"</f>
        <v>TASC - HRA FEES</v>
      </c>
    </row>
    <row r="2329" spans="5:8" x14ac:dyDescent="0.25">
      <c r="E2329" t="str">
        <f>""</f>
        <v/>
      </c>
      <c r="F2329" t="str">
        <f>""</f>
        <v/>
      </c>
      <c r="H2329" t="str">
        <f t="shared" si="49"/>
        <v>TASC - HRA FEES</v>
      </c>
    </row>
    <row r="2330" spans="5:8" x14ac:dyDescent="0.25">
      <c r="E2330" t="str">
        <f>""</f>
        <v/>
      </c>
      <c r="F2330" t="str">
        <f>""</f>
        <v/>
      </c>
      <c r="H2330" t="str">
        <f t="shared" si="49"/>
        <v>TASC - HRA FEES</v>
      </c>
    </row>
    <row r="2331" spans="5:8" x14ac:dyDescent="0.25">
      <c r="E2331" t="str">
        <f>""</f>
        <v/>
      </c>
      <c r="F2331" t="str">
        <f>""</f>
        <v/>
      </c>
      <c r="H2331" t="str">
        <f t="shared" si="49"/>
        <v>TASC - HRA FEES</v>
      </c>
    </row>
    <row r="2332" spans="5:8" x14ac:dyDescent="0.25">
      <c r="E2332" t="str">
        <f>""</f>
        <v/>
      </c>
      <c r="F2332" t="str">
        <f>""</f>
        <v/>
      </c>
      <c r="H2332" t="str">
        <f t="shared" si="49"/>
        <v>TASC - HRA FEES</v>
      </c>
    </row>
    <row r="2333" spans="5:8" x14ac:dyDescent="0.25">
      <c r="E2333" t="str">
        <f>""</f>
        <v/>
      </c>
      <c r="F2333" t="str">
        <f>""</f>
        <v/>
      </c>
      <c r="H2333" t="str">
        <f t="shared" si="49"/>
        <v>TASC - HRA FEES</v>
      </c>
    </row>
    <row r="2334" spans="5:8" x14ac:dyDescent="0.25">
      <c r="E2334" t="str">
        <f>""</f>
        <v/>
      </c>
      <c r="F2334" t="str">
        <f>""</f>
        <v/>
      </c>
      <c r="H2334" t="str">
        <f t="shared" si="49"/>
        <v>TASC - HRA FEES</v>
      </c>
    </row>
    <row r="2335" spans="5:8" x14ac:dyDescent="0.25">
      <c r="E2335" t="str">
        <f>""</f>
        <v/>
      </c>
      <c r="F2335" t="str">
        <f>""</f>
        <v/>
      </c>
      <c r="H2335" t="str">
        <f t="shared" si="49"/>
        <v>TASC - HRA FEES</v>
      </c>
    </row>
    <row r="2336" spans="5:8" x14ac:dyDescent="0.25">
      <c r="E2336" t="str">
        <f>""</f>
        <v/>
      </c>
      <c r="F2336" t="str">
        <f>""</f>
        <v/>
      </c>
      <c r="H2336" t="str">
        <f t="shared" si="49"/>
        <v>TASC - HRA FEES</v>
      </c>
    </row>
    <row r="2337" spans="1:8" x14ac:dyDescent="0.25">
      <c r="E2337" t="str">
        <f>""</f>
        <v/>
      </c>
      <c r="F2337" t="str">
        <f>""</f>
        <v/>
      </c>
      <c r="H2337" t="str">
        <f t="shared" si="49"/>
        <v>TASC - HRA FEES</v>
      </c>
    </row>
    <row r="2338" spans="1:8" x14ac:dyDescent="0.25">
      <c r="E2338" t="str">
        <f>""</f>
        <v/>
      </c>
      <c r="F2338" t="str">
        <f>""</f>
        <v/>
      </c>
      <c r="H2338" t="str">
        <f t="shared" si="49"/>
        <v>TASC - HRA FEES</v>
      </c>
    </row>
    <row r="2339" spans="1:8" x14ac:dyDescent="0.25">
      <c r="E2339" t="str">
        <f>""</f>
        <v/>
      </c>
      <c r="F2339" t="str">
        <f>""</f>
        <v/>
      </c>
      <c r="H2339" t="str">
        <f t="shared" si="49"/>
        <v>TASC - HRA FEES</v>
      </c>
    </row>
    <row r="2340" spans="1:8" x14ac:dyDescent="0.25">
      <c r="E2340" t="str">
        <f>""</f>
        <v/>
      </c>
      <c r="F2340" t="str">
        <f>""</f>
        <v/>
      </c>
      <c r="H2340" t="str">
        <f t="shared" si="49"/>
        <v>TASC - HRA FEES</v>
      </c>
    </row>
    <row r="2341" spans="1:8" x14ac:dyDescent="0.25">
      <c r="E2341" t="str">
        <f>""</f>
        <v/>
      </c>
      <c r="F2341" t="str">
        <f>""</f>
        <v/>
      </c>
      <c r="H2341" t="str">
        <f t="shared" si="49"/>
        <v>TASC - HRA FEES</v>
      </c>
    </row>
    <row r="2342" spans="1:8" x14ac:dyDescent="0.25">
      <c r="E2342" t="str">
        <f>""</f>
        <v/>
      </c>
      <c r="F2342" t="str">
        <f>""</f>
        <v/>
      </c>
      <c r="H2342" t="str">
        <f t="shared" si="49"/>
        <v>TASC - HRA FEES</v>
      </c>
    </row>
    <row r="2343" spans="1:8" x14ac:dyDescent="0.25">
      <c r="E2343" t="str">
        <f>""</f>
        <v/>
      </c>
      <c r="F2343" t="str">
        <f>""</f>
        <v/>
      </c>
      <c r="H2343" t="str">
        <f t="shared" si="49"/>
        <v>TASC - HRA FEES</v>
      </c>
    </row>
    <row r="2344" spans="1:8" x14ac:dyDescent="0.25">
      <c r="E2344" t="str">
        <f>""</f>
        <v/>
      </c>
      <c r="F2344" t="str">
        <f>""</f>
        <v/>
      </c>
      <c r="H2344" t="str">
        <f t="shared" si="49"/>
        <v>TASC - HRA FEES</v>
      </c>
    </row>
    <row r="2345" spans="1:8" x14ac:dyDescent="0.25">
      <c r="E2345" t="str">
        <f>""</f>
        <v/>
      </c>
      <c r="F2345" t="str">
        <f>""</f>
        <v/>
      </c>
      <c r="H2345" t="str">
        <f t="shared" si="49"/>
        <v>TASC - HRA FEES</v>
      </c>
    </row>
    <row r="2346" spans="1:8" x14ac:dyDescent="0.25">
      <c r="A2346" t="s">
        <v>479</v>
      </c>
      <c r="B2346">
        <v>91</v>
      </c>
      <c r="C2346" s="2">
        <v>8069.84</v>
      </c>
      <c r="D2346" s="1">
        <v>43546</v>
      </c>
      <c r="E2346" t="str">
        <f>"HRA201903208000"</f>
        <v>HRA201903208000</v>
      </c>
      <c r="F2346" t="str">
        <f>"TASC HRA"</f>
        <v>TASC HRA</v>
      </c>
      <c r="G2346" s="2">
        <v>-1566.68</v>
      </c>
      <c r="H2346" t="str">
        <f>"TASC HRA"</f>
        <v>TASC HRA</v>
      </c>
    </row>
    <row r="2347" spans="1:8" x14ac:dyDescent="0.25">
      <c r="E2347" t="str">
        <f>""</f>
        <v/>
      </c>
      <c r="F2347" t="str">
        <f>""</f>
        <v/>
      </c>
      <c r="H2347" t="str">
        <f>"TASC HRA"</f>
        <v>TASC HRA</v>
      </c>
    </row>
    <row r="2348" spans="1:8" x14ac:dyDescent="0.25">
      <c r="E2348" t="str">
        <f>""</f>
        <v/>
      </c>
      <c r="F2348" t="str">
        <f>""</f>
        <v/>
      </c>
      <c r="H2348" t="str">
        <f>"TASC HRA"</f>
        <v>TASC HRA</v>
      </c>
    </row>
    <row r="2349" spans="1:8" x14ac:dyDescent="0.25">
      <c r="E2349" t="str">
        <f>""</f>
        <v/>
      </c>
      <c r="F2349" t="str">
        <f>""</f>
        <v/>
      </c>
      <c r="H2349" t="str">
        <f>"TASC HRA"</f>
        <v>TASC HRA</v>
      </c>
    </row>
    <row r="2350" spans="1:8" x14ac:dyDescent="0.25">
      <c r="E2350" t="str">
        <f>""</f>
        <v/>
      </c>
      <c r="F2350" t="str">
        <f>""</f>
        <v/>
      </c>
      <c r="H2350" t="str">
        <f>"TASC HRA"</f>
        <v>TASC HRA</v>
      </c>
    </row>
    <row r="2351" spans="1:8" x14ac:dyDescent="0.25">
      <c r="E2351" t="str">
        <f>"FSA201903208000"</f>
        <v>FSA201903208000</v>
      </c>
      <c r="F2351" t="str">
        <f>"TASC FSA"</f>
        <v>TASC FSA</v>
      </c>
      <c r="G2351" s="2">
        <v>7701.5</v>
      </c>
      <c r="H2351" t="str">
        <f>"TASC FSA"</f>
        <v>TASC FSA</v>
      </c>
    </row>
    <row r="2352" spans="1:8" x14ac:dyDescent="0.25">
      <c r="E2352" t="str">
        <f>"FSA201903208001"</f>
        <v>FSA201903208001</v>
      </c>
      <c r="F2352" t="str">
        <f>"TASC FSA"</f>
        <v>TASC FSA</v>
      </c>
      <c r="G2352" s="2">
        <v>550.05999999999995</v>
      </c>
      <c r="H2352" t="str">
        <f>"TASC FSA"</f>
        <v>TASC FSA</v>
      </c>
    </row>
    <row r="2353" spans="5:8" x14ac:dyDescent="0.25">
      <c r="E2353" t="str">
        <f>"FSC201903208000"</f>
        <v>FSC201903208000</v>
      </c>
      <c r="F2353" t="str">
        <f>"TASC DEPENDENT CARE"</f>
        <v>TASC DEPENDENT CARE</v>
      </c>
      <c r="G2353" s="2">
        <v>313.95999999999998</v>
      </c>
      <c r="H2353" t="str">
        <f>"TASC DEPENDENT CARE"</f>
        <v>TASC DEPENDENT CARE</v>
      </c>
    </row>
    <row r="2354" spans="5:8" x14ac:dyDescent="0.25">
      <c r="E2354" t="str">
        <f>"FSF201903208000"</f>
        <v>FSF201903208000</v>
      </c>
      <c r="F2354" t="str">
        <f>"TASC - FSA  FEES"</f>
        <v>TASC - FSA  FEES</v>
      </c>
      <c r="G2354" s="2">
        <v>264.60000000000002</v>
      </c>
      <c r="H2354" t="str">
        <f t="shared" ref="H2354:H2391" si="50">"TASC - FSA  FEES"</f>
        <v>TASC - FSA  FEES</v>
      </c>
    </row>
    <row r="2355" spans="5:8" x14ac:dyDescent="0.25">
      <c r="E2355" t="str">
        <f>""</f>
        <v/>
      </c>
      <c r="F2355" t="str">
        <f>""</f>
        <v/>
      </c>
      <c r="H2355" t="str">
        <f t="shared" si="50"/>
        <v>TASC - FSA  FEES</v>
      </c>
    </row>
    <row r="2356" spans="5:8" x14ac:dyDescent="0.25">
      <c r="E2356" t="str">
        <f>""</f>
        <v/>
      </c>
      <c r="F2356" t="str">
        <f>""</f>
        <v/>
      </c>
      <c r="H2356" t="str">
        <f t="shared" si="50"/>
        <v>TASC - FSA  FEES</v>
      </c>
    </row>
    <row r="2357" spans="5:8" x14ac:dyDescent="0.25">
      <c r="E2357" t="str">
        <f>""</f>
        <v/>
      </c>
      <c r="F2357" t="str">
        <f>""</f>
        <v/>
      </c>
      <c r="H2357" t="str">
        <f t="shared" si="50"/>
        <v>TASC - FSA  FEES</v>
      </c>
    </row>
    <row r="2358" spans="5:8" x14ac:dyDescent="0.25">
      <c r="E2358" t="str">
        <f>""</f>
        <v/>
      </c>
      <c r="F2358" t="str">
        <f>""</f>
        <v/>
      </c>
      <c r="H2358" t="str">
        <f t="shared" si="50"/>
        <v>TASC - FSA  FEES</v>
      </c>
    </row>
    <row r="2359" spans="5:8" x14ac:dyDescent="0.25">
      <c r="E2359" t="str">
        <f>""</f>
        <v/>
      </c>
      <c r="F2359" t="str">
        <f>""</f>
        <v/>
      </c>
      <c r="H2359" t="str">
        <f t="shared" si="50"/>
        <v>TASC - FSA  FEES</v>
      </c>
    </row>
    <row r="2360" spans="5:8" x14ac:dyDescent="0.25">
      <c r="E2360" t="str">
        <f>""</f>
        <v/>
      </c>
      <c r="F2360" t="str">
        <f>""</f>
        <v/>
      </c>
      <c r="H2360" t="str">
        <f t="shared" si="50"/>
        <v>TASC - FSA  FEES</v>
      </c>
    </row>
    <row r="2361" spans="5:8" x14ac:dyDescent="0.25">
      <c r="E2361" t="str">
        <f>""</f>
        <v/>
      </c>
      <c r="F2361" t="str">
        <f>""</f>
        <v/>
      </c>
      <c r="H2361" t="str">
        <f t="shared" si="50"/>
        <v>TASC - FSA  FEES</v>
      </c>
    </row>
    <row r="2362" spans="5:8" x14ac:dyDescent="0.25">
      <c r="E2362" t="str">
        <f>""</f>
        <v/>
      </c>
      <c r="F2362" t="str">
        <f>""</f>
        <v/>
      </c>
      <c r="H2362" t="str">
        <f t="shared" si="50"/>
        <v>TASC - FSA  FEES</v>
      </c>
    </row>
    <row r="2363" spans="5:8" x14ac:dyDescent="0.25">
      <c r="E2363" t="str">
        <f>""</f>
        <v/>
      </c>
      <c r="F2363" t="str">
        <f>""</f>
        <v/>
      </c>
      <c r="H2363" t="str">
        <f t="shared" si="50"/>
        <v>TASC - FSA  FEES</v>
      </c>
    </row>
    <row r="2364" spans="5:8" x14ac:dyDescent="0.25">
      <c r="E2364" t="str">
        <f>""</f>
        <v/>
      </c>
      <c r="F2364" t="str">
        <f>""</f>
        <v/>
      </c>
      <c r="H2364" t="str">
        <f t="shared" si="50"/>
        <v>TASC - FSA  FEES</v>
      </c>
    </row>
    <row r="2365" spans="5:8" x14ac:dyDescent="0.25">
      <c r="E2365" t="str">
        <f>""</f>
        <v/>
      </c>
      <c r="F2365" t="str">
        <f>""</f>
        <v/>
      </c>
      <c r="H2365" t="str">
        <f t="shared" si="50"/>
        <v>TASC - FSA  FEES</v>
      </c>
    </row>
    <row r="2366" spans="5:8" x14ac:dyDescent="0.25">
      <c r="E2366" t="str">
        <f>""</f>
        <v/>
      </c>
      <c r="F2366" t="str">
        <f>""</f>
        <v/>
      </c>
      <c r="H2366" t="str">
        <f t="shared" si="50"/>
        <v>TASC - FSA  FEES</v>
      </c>
    </row>
    <row r="2367" spans="5:8" x14ac:dyDescent="0.25">
      <c r="E2367" t="str">
        <f>""</f>
        <v/>
      </c>
      <c r="F2367" t="str">
        <f>""</f>
        <v/>
      </c>
      <c r="H2367" t="str">
        <f t="shared" si="50"/>
        <v>TASC - FSA  FEES</v>
      </c>
    </row>
    <row r="2368" spans="5:8" x14ac:dyDescent="0.25">
      <c r="E2368" t="str">
        <f>""</f>
        <v/>
      </c>
      <c r="F2368" t="str">
        <f>""</f>
        <v/>
      </c>
      <c r="H2368" t="str">
        <f t="shared" si="50"/>
        <v>TASC - FSA  FEES</v>
      </c>
    </row>
    <row r="2369" spans="5:8" x14ac:dyDescent="0.25">
      <c r="E2369" t="str">
        <f>""</f>
        <v/>
      </c>
      <c r="F2369" t="str">
        <f>""</f>
        <v/>
      </c>
      <c r="H2369" t="str">
        <f t="shared" si="50"/>
        <v>TASC - FSA  FEES</v>
      </c>
    </row>
    <row r="2370" spans="5:8" x14ac:dyDescent="0.25">
      <c r="E2370" t="str">
        <f>""</f>
        <v/>
      </c>
      <c r="F2370" t="str">
        <f>""</f>
        <v/>
      </c>
      <c r="H2370" t="str">
        <f t="shared" si="50"/>
        <v>TASC - FSA  FEES</v>
      </c>
    </row>
    <row r="2371" spans="5:8" x14ac:dyDescent="0.25">
      <c r="E2371" t="str">
        <f>""</f>
        <v/>
      </c>
      <c r="F2371" t="str">
        <f>""</f>
        <v/>
      </c>
      <c r="H2371" t="str">
        <f t="shared" si="50"/>
        <v>TASC - FSA  FEES</v>
      </c>
    </row>
    <row r="2372" spans="5:8" x14ac:dyDescent="0.25">
      <c r="E2372" t="str">
        <f>""</f>
        <v/>
      </c>
      <c r="F2372" t="str">
        <f>""</f>
        <v/>
      </c>
      <c r="H2372" t="str">
        <f t="shared" si="50"/>
        <v>TASC - FSA  FEES</v>
      </c>
    </row>
    <row r="2373" spans="5:8" x14ac:dyDescent="0.25">
      <c r="E2373" t="str">
        <f>""</f>
        <v/>
      </c>
      <c r="F2373" t="str">
        <f>""</f>
        <v/>
      </c>
      <c r="H2373" t="str">
        <f t="shared" si="50"/>
        <v>TASC - FSA  FEES</v>
      </c>
    </row>
    <row r="2374" spans="5:8" x14ac:dyDescent="0.25">
      <c r="E2374" t="str">
        <f>""</f>
        <v/>
      </c>
      <c r="F2374" t="str">
        <f>""</f>
        <v/>
      </c>
      <c r="H2374" t="str">
        <f t="shared" si="50"/>
        <v>TASC - FSA  FEES</v>
      </c>
    </row>
    <row r="2375" spans="5:8" x14ac:dyDescent="0.25">
      <c r="E2375" t="str">
        <f>""</f>
        <v/>
      </c>
      <c r="F2375" t="str">
        <f>""</f>
        <v/>
      </c>
      <c r="H2375" t="str">
        <f t="shared" si="50"/>
        <v>TASC - FSA  FEES</v>
      </c>
    </row>
    <row r="2376" spans="5:8" x14ac:dyDescent="0.25">
      <c r="E2376" t="str">
        <f>""</f>
        <v/>
      </c>
      <c r="F2376" t="str">
        <f>""</f>
        <v/>
      </c>
      <c r="H2376" t="str">
        <f t="shared" si="50"/>
        <v>TASC - FSA  FEES</v>
      </c>
    </row>
    <row r="2377" spans="5:8" x14ac:dyDescent="0.25">
      <c r="E2377" t="str">
        <f>""</f>
        <v/>
      </c>
      <c r="F2377" t="str">
        <f>""</f>
        <v/>
      </c>
      <c r="H2377" t="str">
        <f t="shared" si="50"/>
        <v>TASC - FSA  FEES</v>
      </c>
    </row>
    <row r="2378" spans="5:8" x14ac:dyDescent="0.25">
      <c r="E2378" t="str">
        <f>""</f>
        <v/>
      </c>
      <c r="F2378" t="str">
        <f>""</f>
        <v/>
      </c>
      <c r="H2378" t="str">
        <f t="shared" si="50"/>
        <v>TASC - FSA  FEES</v>
      </c>
    </row>
    <row r="2379" spans="5:8" x14ac:dyDescent="0.25">
      <c r="E2379" t="str">
        <f>""</f>
        <v/>
      </c>
      <c r="F2379" t="str">
        <f>""</f>
        <v/>
      </c>
      <c r="H2379" t="str">
        <f t="shared" si="50"/>
        <v>TASC - FSA  FEES</v>
      </c>
    </row>
    <row r="2380" spans="5:8" x14ac:dyDescent="0.25">
      <c r="E2380" t="str">
        <f>""</f>
        <v/>
      </c>
      <c r="F2380" t="str">
        <f>""</f>
        <v/>
      </c>
      <c r="H2380" t="str">
        <f t="shared" si="50"/>
        <v>TASC - FSA  FEES</v>
      </c>
    </row>
    <row r="2381" spans="5:8" x14ac:dyDescent="0.25">
      <c r="E2381" t="str">
        <f>""</f>
        <v/>
      </c>
      <c r="F2381" t="str">
        <f>""</f>
        <v/>
      </c>
      <c r="H2381" t="str">
        <f t="shared" si="50"/>
        <v>TASC - FSA  FEES</v>
      </c>
    </row>
    <row r="2382" spans="5:8" x14ac:dyDescent="0.25">
      <c r="E2382" t="str">
        <f>""</f>
        <v/>
      </c>
      <c r="F2382" t="str">
        <f>""</f>
        <v/>
      </c>
      <c r="H2382" t="str">
        <f t="shared" si="50"/>
        <v>TASC - FSA  FEES</v>
      </c>
    </row>
    <row r="2383" spans="5:8" x14ac:dyDescent="0.25">
      <c r="E2383" t="str">
        <f>""</f>
        <v/>
      </c>
      <c r="F2383" t="str">
        <f>""</f>
        <v/>
      </c>
      <c r="H2383" t="str">
        <f t="shared" si="50"/>
        <v>TASC - FSA  FEES</v>
      </c>
    </row>
    <row r="2384" spans="5:8" x14ac:dyDescent="0.25">
      <c r="E2384" t="str">
        <f>""</f>
        <v/>
      </c>
      <c r="F2384" t="str">
        <f>""</f>
        <v/>
      </c>
      <c r="H2384" t="str">
        <f t="shared" si="50"/>
        <v>TASC - FSA  FEES</v>
      </c>
    </row>
    <row r="2385" spans="5:8" x14ac:dyDescent="0.25">
      <c r="E2385" t="str">
        <f>""</f>
        <v/>
      </c>
      <c r="F2385" t="str">
        <f>""</f>
        <v/>
      </c>
      <c r="H2385" t="str">
        <f t="shared" si="50"/>
        <v>TASC - FSA  FEES</v>
      </c>
    </row>
    <row r="2386" spans="5:8" x14ac:dyDescent="0.25">
      <c r="E2386" t="str">
        <f>""</f>
        <v/>
      </c>
      <c r="F2386" t="str">
        <f>""</f>
        <v/>
      </c>
      <c r="H2386" t="str">
        <f t="shared" si="50"/>
        <v>TASC - FSA  FEES</v>
      </c>
    </row>
    <row r="2387" spans="5:8" x14ac:dyDescent="0.25">
      <c r="E2387" t="str">
        <f>""</f>
        <v/>
      </c>
      <c r="F2387" t="str">
        <f>""</f>
        <v/>
      </c>
      <c r="H2387" t="str">
        <f t="shared" si="50"/>
        <v>TASC - FSA  FEES</v>
      </c>
    </row>
    <row r="2388" spans="5:8" x14ac:dyDescent="0.25">
      <c r="E2388" t="str">
        <f>""</f>
        <v/>
      </c>
      <c r="F2388" t="str">
        <f>""</f>
        <v/>
      </c>
      <c r="H2388" t="str">
        <f t="shared" si="50"/>
        <v>TASC - FSA  FEES</v>
      </c>
    </row>
    <row r="2389" spans="5:8" x14ac:dyDescent="0.25">
      <c r="E2389" t="str">
        <f>""</f>
        <v/>
      </c>
      <c r="F2389" t="str">
        <f>""</f>
        <v/>
      </c>
      <c r="H2389" t="str">
        <f t="shared" si="50"/>
        <v>TASC - FSA  FEES</v>
      </c>
    </row>
    <row r="2390" spans="5:8" x14ac:dyDescent="0.25">
      <c r="E2390" t="str">
        <f>""</f>
        <v/>
      </c>
      <c r="F2390" t="str">
        <f>""</f>
        <v/>
      </c>
      <c r="H2390" t="str">
        <f t="shared" si="50"/>
        <v>TASC - FSA  FEES</v>
      </c>
    </row>
    <row r="2391" spans="5:8" x14ac:dyDescent="0.25">
      <c r="E2391" t="str">
        <f>"FSF201903208001"</f>
        <v>FSF201903208001</v>
      </c>
      <c r="F2391" t="str">
        <f>"TASC - FSA  FEES"</f>
        <v>TASC - FSA  FEES</v>
      </c>
      <c r="G2391" s="2">
        <v>12.6</v>
      </c>
      <c r="H2391" t="str">
        <f t="shared" si="50"/>
        <v>TASC - FSA  FEES</v>
      </c>
    </row>
    <row r="2392" spans="5:8" x14ac:dyDescent="0.25">
      <c r="E2392" t="str">
        <f>"HRF201903208000"</f>
        <v>HRF201903208000</v>
      </c>
      <c r="F2392" t="str">
        <f>"TASC - HRA FEES"</f>
        <v>TASC - HRA FEES</v>
      </c>
      <c r="G2392" s="2">
        <v>765</v>
      </c>
      <c r="H2392" t="str">
        <f t="shared" ref="H2392:H2423" si="51">"TASC - HRA FEES"</f>
        <v>TASC - HRA FEES</v>
      </c>
    </row>
    <row r="2393" spans="5:8" x14ac:dyDescent="0.25">
      <c r="E2393" t="str">
        <f>""</f>
        <v/>
      </c>
      <c r="F2393" t="str">
        <f>""</f>
        <v/>
      </c>
      <c r="H2393" t="str">
        <f t="shared" si="51"/>
        <v>TASC - HRA FEES</v>
      </c>
    </row>
    <row r="2394" spans="5:8" x14ac:dyDescent="0.25">
      <c r="E2394" t="str">
        <f>""</f>
        <v/>
      </c>
      <c r="F2394" t="str">
        <f>""</f>
        <v/>
      </c>
      <c r="H2394" t="str">
        <f t="shared" si="51"/>
        <v>TASC - HRA FEES</v>
      </c>
    </row>
    <row r="2395" spans="5:8" x14ac:dyDescent="0.25">
      <c r="E2395" t="str">
        <f>""</f>
        <v/>
      </c>
      <c r="F2395" t="str">
        <f>""</f>
        <v/>
      </c>
      <c r="H2395" t="str">
        <f t="shared" si="51"/>
        <v>TASC - HRA FEES</v>
      </c>
    </row>
    <row r="2396" spans="5:8" x14ac:dyDescent="0.25">
      <c r="E2396" t="str">
        <f>""</f>
        <v/>
      </c>
      <c r="F2396" t="str">
        <f>""</f>
        <v/>
      </c>
      <c r="H2396" t="str">
        <f t="shared" si="51"/>
        <v>TASC - HRA FEES</v>
      </c>
    </row>
    <row r="2397" spans="5:8" x14ac:dyDescent="0.25">
      <c r="E2397" t="str">
        <f>""</f>
        <v/>
      </c>
      <c r="F2397" t="str">
        <f>""</f>
        <v/>
      </c>
      <c r="H2397" t="str">
        <f t="shared" si="51"/>
        <v>TASC - HRA FEES</v>
      </c>
    </row>
    <row r="2398" spans="5:8" x14ac:dyDescent="0.25">
      <c r="E2398" t="str">
        <f>""</f>
        <v/>
      </c>
      <c r="F2398" t="str">
        <f>""</f>
        <v/>
      </c>
      <c r="H2398" t="str">
        <f t="shared" si="51"/>
        <v>TASC - HRA FEES</v>
      </c>
    </row>
    <row r="2399" spans="5:8" x14ac:dyDescent="0.25">
      <c r="E2399" t="str">
        <f>""</f>
        <v/>
      </c>
      <c r="F2399" t="str">
        <f>""</f>
        <v/>
      </c>
      <c r="H2399" t="str">
        <f t="shared" si="51"/>
        <v>TASC - HRA FEES</v>
      </c>
    </row>
    <row r="2400" spans="5:8" x14ac:dyDescent="0.25">
      <c r="E2400" t="str">
        <f>""</f>
        <v/>
      </c>
      <c r="F2400" t="str">
        <f>""</f>
        <v/>
      </c>
      <c r="H2400" t="str">
        <f t="shared" si="51"/>
        <v>TASC - HRA FEES</v>
      </c>
    </row>
    <row r="2401" spans="5:8" x14ac:dyDescent="0.25">
      <c r="E2401" t="str">
        <f>""</f>
        <v/>
      </c>
      <c r="F2401" t="str">
        <f>""</f>
        <v/>
      </c>
      <c r="H2401" t="str">
        <f t="shared" si="51"/>
        <v>TASC - HRA FEES</v>
      </c>
    </row>
    <row r="2402" spans="5:8" x14ac:dyDescent="0.25">
      <c r="E2402" t="str">
        <f>""</f>
        <v/>
      </c>
      <c r="F2402" t="str">
        <f>""</f>
        <v/>
      </c>
      <c r="H2402" t="str">
        <f t="shared" si="51"/>
        <v>TASC - HRA FEES</v>
      </c>
    </row>
    <row r="2403" spans="5:8" x14ac:dyDescent="0.25">
      <c r="E2403" t="str">
        <f>""</f>
        <v/>
      </c>
      <c r="F2403" t="str">
        <f>""</f>
        <v/>
      </c>
      <c r="H2403" t="str">
        <f t="shared" si="51"/>
        <v>TASC - HRA FEES</v>
      </c>
    </row>
    <row r="2404" spans="5:8" x14ac:dyDescent="0.25">
      <c r="E2404" t="str">
        <f>""</f>
        <v/>
      </c>
      <c r="F2404" t="str">
        <f>""</f>
        <v/>
      </c>
      <c r="H2404" t="str">
        <f t="shared" si="51"/>
        <v>TASC - HRA FEES</v>
      </c>
    </row>
    <row r="2405" spans="5:8" x14ac:dyDescent="0.25">
      <c r="E2405" t="str">
        <f>""</f>
        <v/>
      </c>
      <c r="F2405" t="str">
        <f>""</f>
        <v/>
      </c>
      <c r="H2405" t="str">
        <f t="shared" si="51"/>
        <v>TASC - HRA FEES</v>
      </c>
    </row>
    <row r="2406" spans="5:8" x14ac:dyDescent="0.25">
      <c r="E2406" t="str">
        <f>""</f>
        <v/>
      </c>
      <c r="F2406" t="str">
        <f>""</f>
        <v/>
      </c>
      <c r="H2406" t="str">
        <f t="shared" si="51"/>
        <v>TASC - HRA FEES</v>
      </c>
    </row>
    <row r="2407" spans="5:8" x14ac:dyDescent="0.25">
      <c r="E2407" t="str">
        <f>""</f>
        <v/>
      </c>
      <c r="F2407" t="str">
        <f>""</f>
        <v/>
      </c>
      <c r="H2407" t="str">
        <f t="shared" si="51"/>
        <v>TASC - HRA FEES</v>
      </c>
    </row>
    <row r="2408" spans="5:8" x14ac:dyDescent="0.25">
      <c r="E2408" t="str">
        <f>""</f>
        <v/>
      </c>
      <c r="F2408" t="str">
        <f>""</f>
        <v/>
      </c>
      <c r="H2408" t="str">
        <f t="shared" si="51"/>
        <v>TASC - HRA FEES</v>
      </c>
    </row>
    <row r="2409" spans="5:8" x14ac:dyDescent="0.25">
      <c r="E2409" t="str">
        <f>""</f>
        <v/>
      </c>
      <c r="F2409" t="str">
        <f>""</f>
        <v/>
      </c>
      <c r="H2409" t="str">
        <f t="shared" si="51"/>
        <v>TASC - HRA FEES</v>
      </c>
    </row>
    <row r="2410" spans="5:8" x14ac:dyDescent="0.25">
      <c r="E2410" t="str">
        <f>""</f>
        <v/>
      </c>
      <c r="F2410" t="str">
        <f>""</f>
        <v/>
      </c>
      <c r="H2410" t="str">
        <f t="shared" si="51"/>
        <v>TASC - HRA FEES</v>
      </c>
    </row>
    <row r="2411" spans="5:8" x14ac:dyDescent="0.25">
      <c r="E2411" t="str">
        <f>""</f>
        <v/>
      </c>
      <c r="F2411" t="str">
        <f>""</f>
        <v/>
      </c>
      <c r="H2411" t="str">
        <f t="shared" si="51"/>
        <v>TASC - HRA FEES</v>
      </c>
    </row>
    <row r="2412" spans="5:8" x14ac:dyDescent="0.25">
      <c r="E2412" t="str">
        <f>""</f>
        <v/>
      </c>
      <c r="F2412" t="str">
        <f>""</f>
        <v/>
      </c>
      <c r="H2412" t="str">
        <f t="shared" si="51"/>
        <v>TASC - HRA FEES</v>
      </c>
    </row>
    <row r="2413" spans="5:8" x14ac:dyDescent="0.25">
      <c r="E2413" t="str">
        <f>""</f>
        <v/>
      </c>
      <c r="F2413" t="str">
        <f>""</f>
        <v/>
      </c>
      <c r="H2413" t="str">
        <f t="shared" si="51"/>
        <v>TASC - HRA FEES</v>
      </c>
    </row>
    <row r="2414" spans="5:8" x14ac:dyDescent="0.25">
      <c r="E2414" t="str">
        <f>""</f>
        <v/>
      </c>
      <c r="F2414" t="str">
        <f>""</f>
        <v/>
      </c>
      <c r="H2414" t="str">
        <f t="shared" si="51"/>
        <v>TASC - HRA FEES</v>
      </c>
    </row>
    <row r="2415" spans="5:8" x14ac:dyDescent="0.25">
      <c r="E2415" t="str">
        <f>""</f>
        <v/>
      </c>
      <c r="F2415" t="str">
        <f>""</f>
        <v/>
      </c>
      <c r="H2415" t="str">
        <f t="shared" si="51"/>
        <v>TASC - HRA FEES</v>
      </c>
    </row>
    <row r="2416" spans="5:8" x14ac:dyDescent="0.25">
      <c r="E2416" t="str">
        <f>""</f>
        <v/>
      </c>
      <c r="F2416" t="str">
        <f>""</f>
        <v/>
      </c>
      <c r="H2416" t="str">
        <f t="shared" si="51"/>
        <v>TASC - HRA FEES</v>
      </c>
    </row>
    <row r="2417" spans="5:8" x14ac:dyDescent="0.25">
      <c r="E2417" t="str">
        <f>""</f>
        <v/>
      </c>
      <c r="F2417" t="str">
        <f>""</f>
        <v/>
      </c>
      <c r="H2417" t="str">
        <f t="shared" si="51"/>
        <v>TASC - HRA FEES</v>
      </c>
    </row>
    <row r="2418" spans="5:8" x14ac:dyDescent="0.25">
      <c r="E2418" t="str">
        <f>""</f>
        <v/>
      </c>
      <c r="F2418" t="str">
        <f>""</f>
        <v/>
      </c>
      <c r="H2418" t="str">
        <f t="shared" si="51"/>
        <v>TASC - HRA FEES</v>
      </c>
    </row>
    <row r="2419" spans="5:8" x14ac:dyDescent="0.25">
      <c r="E2419" t="str">
        <f>""</f>
        <v/>
      </c>
      <c r="F2419" t="str">
        <f>""</f>
        <v/>
      </c>
      <c r="H2419" t="str">
        <f t="shared" si="51"/>
        <v>TASC - HRA FEES</v>
      </c>
    </row>
    <row r="2420" spans="5:8" x14ac:dyDescent="0.25">
      <c r="E2420" t="str">
        <f>""</f>
        <v/>
      </c>
      <c r="F2420" t="str">
        <f>""</f>
        <v/>
      </c>
      <c r="H2420" t="str">
        <f t="shared" si="51"/>
        <v>TASC - HRA FEES</v>
      </c>
    </row>
    <row r="2421" spans="5:8" x14ac:dyDescent="0.25">
      <c r="E2421" t="str">
        <f>""</f>
        <v/>
      </c>
      <c r="F2421" t="str">
        <f>""</f>
        <v/>
      </c>
      <c r="H2421" t="str">
        <f t="shared" si="51"/>
        <v>TASC - HRA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51"/>
        <v>TASC - HRA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51"/>
        <v>TASC - HRA FEES</v>
      </c>
    </row>
    <row r="2424" spans="5:8" x14ac:dyDescent="0.25">
      <c r="E2424" t="str">
        <f>""</f>
        <v/>
      </c>
      <c r="F2424" t="str">
        <f>""</f>
        <v/>
      </c>
      <c r="H2424" t="str">
        <f t="shared" ref="H2424:H2441" si="52">"TASC - HRA FEES"</f>
        <v>TASC - HRA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52"/>
        <v>TASC - HRA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52"/>
        <v>TASC - HRA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52"/>
        <v>TASC - HRA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52"/>
        <v>TASC - HRA FEES</v>
      </c>
    </row>
    <row r="2429" spans="5:8" x14ac:dyDescent="0.25">
      <c r="E2429" t="str">
        <f>""</f>
        <v/>
      </c>
      <c r="F2429" t="str">
        <f>""</f>
        <v/>
      </c>
      <c r="H2429" t="str">
        <f t="shared" si="52"/>
        <v>TASC - HRA FEES</v>
      </c>
    </row>
    <row r="2430" spans="5:8" x14ac:dyDescent="0.25">
      <c r="E2430" t="str">
        <f>""</f>
        <v/>
      </c>
      <c r="F2430" t="str">
        <f>""</f>
        <v/>
      </c>
      <c r="H2430" t="str">
        <f t="shared" si="52"/>
        <v>TASC - HRA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52"/>
        <v>TASC - HRA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52"/>
        <v>TASC - HRA FEES</v>
      </c>
    </row>
    <row r="2433" spans="1:8" x14ac:dyDescent="0.25">
      <c r="E2433" t="str">
        <f>""</f>
        <v/>
      </c>
      <c r="F2433" t="str">
        <f>""</f>
        <v/>
      </c>
      <c r="H2433" t="str">
        <f t="shared" si="52"/>
        <v>TASC - HRA FEES</v>
      </c>
    </row>
    <row r="2434" spans="1:8" x14ac:dyDescent="0.25">
      <c r="E2434" t="str">
        <f>""</f>
        <v/>
      </c>
      <c r="F2434" t="str">
        <f>""</f>
        <v/>
      </c>
      <c r="H2434" t="str">
        <f t="shared" si="52"/>
        <v>TASC - HRA FEES</v>
      </c>
    </row>
    <row r="2435" spans="1:8" x14ac:dyDescent="0.25">
      <c r="E2435" t="str">
        <f>""</f>
        <v/>
      </c>
      <c r="F2435" t="str">
        <f>""</f>
        <v/>
      </c>
      <c r="H2435" t="str">
        <f t="shared" si="52"/>
        <v>TASC - HRA FEES</v>
      </c>
    </row>
    <row r="2436" spans="1:8" x14ac:dyDescent="0.25">
      <c r="E2436" t="str">
        <f>""</f>
        <v/>
      </c>
      <c r="F2436" t="str">
        <f>""</f>
        <v/>
      </c>
      <c r="H2436" t="str">
        <f t="shared" si="52"/>
        <v>TASC - HRA FEES</v>
      </c>
    </row>
    <row r="2437" spans="1:8" x14ac:dyDescent="0.25">
      <c r="E2437" t="str">
        <f>""</f>
        <v/>
      </c>
      <c r="F2437" t="str">
        <f>""</f>
        <v/>
      </c>
      <c r="H2437" t="str">
        <f t="shared" si="52"/>
        <v>TASC - HRA FEES</v>
      </c>
    </row>
    <row r="2438" spans="1:8" x14ac:dyDescent="0.25">
      <c r="E2438" t="str">
        <f>""</f>
        <v/>
      </c>
      <c r="F2438" t="str">
        <f>""</f>
        <v/>
      </c>
      <c r="H2438" t="str">
        <f t="shared" si="52"/>
        <v>TASC - HRA FEES</v>
      </c>
    </row>
    <row r="2439" spans="1:8" x14ac:dyDescent="0.25">
      <c r="E2439" t="str">
        <f>""</f>
        <v/>
      </c>
      <c r="F2439" t="str">
        <f>""</f>
        <v/>
      </c>
      <c r="H2439" t="str">
        <f t="shared" si="52"/>
        <v>TASC - HRA FEES</v>
      </c>
    </row>
    <row r="2440" spans="1:8" x14ac:dyDescent="0.25">
      <c r="E2440" t="str">
        <f>""</f>
        <v/>
      </c>
      <c r="F2440" t="str">
        <f>""</f>
        <v/>
      </c>
      <c r="H2440" t="str">
        <f t="shared" si="52"/>
        <v>TASC - HRA FEES</v>
      </c>
    </row>
    <row r="2441" spans="1:8" x14ac:dyDescent="0.25">
      <c r="E2441" t="str">
        <f>"HRF201903208001"</f>
        <v>HRF201903208001</v>
      </c>
      <c r="F2441" t="str">
        <f>"TASC - HRA FEES"</f>
        <v>TASC - HRA FEES</v>
      </c>
      <c r="G2441" s="2">
        <v>28.8</v>
      </c>
      <c r="H2441" t="str">
        <f t="shared" si="52"/>
        <v>TASC - HRA FEES</v>
      </c>
    </row>
    <row r="2442" spans="1:8" x14ac:dyDescent="0.25">
      <c r="A2442" t="s">
        <v>480</v>
      </c>
      <c r="B2442">
        <v>83</v>
      </c>
      <c r="C2442" s="2">
        <v>4108.3900000000003</v>
      </c>
      <c r="D2442" s="1">
        <v>43532</v>
      </c>
      <c r="E2442" t="str">
        <f>"C18201903067820"</f>
        <v>C18201903067820</v>
      </c>
      <c r="F2442" t="str">
        <f>"CAUSE# 0011635329"</f>
        <v>CAUSE# 0011635329</v>
      </c>
      <c r="G2442" s="2">
        <v>603.23</v>
      </c>
      <c r="H2442" t="str">
        <f>"CAUSE# 0011635329"</f>
        <v>CAUSE# 0011635329</v>
      </c>
    </row>
    <row r="2443" spans="1:8" x14ac:dyDescent="0.25">
      <c r="E2443" t="str">
        <f>"C2 201903067820"</f>
        <v>C2 201903067820</v>
      </c>
      <c r="F2443" t="str">
        <f>"0012982132CCL7445"</f>
        <v>0012982132CCL7445</v>
      </c>
      <c r="G2443" s="2">
        <v>692.31</v>
      </c>
      <c r="H2443" t="str">
        <f>"0012982132CCL7445"</f>
        <v>0012982132CCL7445</v>
      </c>
    </row>
    <row r="2444" spans="1:8" x14ac:dyDescent="0.25">
      <c r="E2444" t="str">
        <f>"C20201903067843"</f>
        <v>C20201903067843</v>
      </c>
      <c r="F2444" t="str">
        <f>"001003981107-12252"</f>
        <v>001003981107-12252</v>
      </c>
      <c r="G2444" s="2">
        <v>115.39</v>
      </c>
      <c r="H2444" t="str">
        <f>"001003981107-12252"</f>
        <v>001003981107-12252</v>
      </c>
    </row>
    <row r="2445" spans="1:8" x14ac:dyDescent="0.25">
      <c r="E2445" t="str">
        <f>"C42201903067843"</f>
        <v>C42201903067843</v>
      </c>
      <c r="F2445" t="str">
        <f>"001236769211-14410"</f>
        <v>001236769211-14410</v>
      </c>
      <c r="G2445" s="2">
        <v>230.31</v>
      </c>
      <c r="H2445" t="str">
        <f>"001236769211-14410"</f>
        <v>001236769211-14410</v>
      </c>
    </row>
    <row r="2446" spans="1:8" x14ac:dyDescent="0.25">
      <c r="E2446" t="str">
        <f>"C46201903067843"</f>
        <v>C46201903067843</v>
      </c>
      <c r="F2446" t="str">
        <f>"CAUSE# 11-14911"</f>
        <v>CAUSE# 11-14911</v>
      </c>
      <c r="G2446" s="2">
        <v>238.62</v>
      </c>
      <c r="H2446" t="str">
        <f>"CAUSE# 11-14911"</f>
        <v>CAUSE# 11-14911</v>
      </c>
    </row>
    <row r="2447" spans="1:8" x14ac:dyDescent="0.25">
      <c r="E2447" t="str">
        <f>"C53201903067843"</f>
        <v>C53201903067843</v>
      </c>
      <c r="F2447" t="str">
        <f>"0012453366"</f>
        <v>0012453366</v>
      </c>
      <c r="G2447" s="2">
        <v>138.46</v>
      </c>
      <c r="H2447" t="str">
        <f>"0012453366"</f>
        <v>0012453366</v>
      </c>
    </row>
    <row r="2448" spans="1:8" x14ac:dyDescent="0.25">
      <c r="E2448" t="str">
        <f>"C60201903067843"</f>
        <v>C60201903067843</v>
      </c>
      <c r="F2448" t="str">
        <f>"00130730762012V300"</f>
        <v>00130730762012V300</v>
      </c>
      <c r="G2448" s="2">
        <v>399.32</v>
      </c>
      <c r="H2448" t="str">
        <f>"00130730762012V300"</f>
        <v>00130730762012V300</v>
      </c>
    </row>
    <row r="2449" spans="1:8" x14ac:dyDescent="0.25">
      <c r="E2449" t="str">
        <f>"C62201903067843"</f>
        <v>C62201903067843</v>
      </c>
      <c r="F2449" t="str">
        <f>"# 0012128865"</f>
        <v># 0012128865</v>
      </c>
      <c r="G2449" s="2">
        <v>243.23</v>
      </c>
      <c r="H2449" t="str">
        <f>"# 0012128865"</f>
        <v># 0012128865</v>
      </c>
    </row>
    <row r="2450" spans="1:8" x14ac:dyDescent="0.25">
      <c r="E2450" t="str">
        <f>"C66201903067843"</f>
        <v>C66201903067843</v>
      </c>
      <c r="F2450" t="str">
        <f>"# 0012871801"</f>
        <v># 0012871801</v>
      </c>
      <c r="G2450" s="2">
        <v>90</v>
      </c>
      <c r="H2450" t="str">
        <f>"# 0012871801"</f>
        <v># 0012871801</v>
      </c>
    </row>
    <row r="2451" spans="1:8" x14ac:dyDescent="0.25">
      <c r="E2451" t="str">
        <f>"C66201903067844"</f>
        <v>C66201903067844</v>
      </c>
      <c r="F2451" t="str">
        <f>"CAUSE#D1FM13007058"</f>
        <v>CAUSE#D1FM13007058</v>
      </c>
      <c r="G2451" s="2">
        <v>138.46</v>
      </c>
      <c r="H2451" t="str">
        <f>"CAUSE#D1FM13007058"</f>
        <v>CAUSE#D1FM13007058</v>
      </c>
    </row>
    <row r="2452" spans="1:8" x14ac:dyDescent="0.25">
      <c r="E2452" t="str">
        <f>"C69201903067843"</f>
        <v>C69201903067843</v>
      </c>
      <c r="F2452" t="str">
        <f>"0012046911423672"</f>
        <v>0012046911423672</v>
      </c>
      <c r="G2452" s="2">
        <v>187.38</v>
      </c>
      <c r="H2452" t="str">
        <f>"0012046911423672"</f>
        <v>0012046911423672</v>
      </c>
    </row>
    <row r="2453" spans="1:8" x14ac:dyDescent="0.25">
      <c r="E2453" t="str">
        <f>"C70201903067843"</f>
        <v>C70201903067843</v>
      </c>
      <c r="F2453" t="str">
        <f>"00136881334235026"</f>
        <v>00136881334235026</v>
      </c>
      <c r="G2453" s="2">
        <v>257.45999999999998</v>
      </c>
      <c r="H2453" t="str">
        <f>"00136881334235026"</f>
        <v>00136881334235026</v>
      </c>
    </row>
    <row r="2454" spans="1:8" x14ac:dyDescent="0.25">
      <c r="E2454" t="str">
        <f>"C71201903067843"</f>
        <v>C71201903067843</v>
      </c>
      <c r="F2454" t="str">
        <f>"00137390532018V215"</f>
        <v>00137390532018V215</v>
      </c>
      <c r="G2454" s="2">
        <v>276.92</v>
      </c>
      <c r="H2454" t="str">
        <f>"00137390532018V215"</f>
        <v>00137390532018V215</v>
      </c>
    </row>
    <row r="2455" spans="1:8" x14ac:dyDescent="0.25">
      <c r="E2455" t="str">
        <f>"C72201903067843"</f>
        <v>C72201903067843</v>
      </c>
      <c r="F2455" t="str">
        <f>"0012797601C20130529B"</f>
        <v>0012797601C20130529B</v>
      </c>
      <c r="G2455" s="2">
        <v>241.85</v>
      </c>
      <c r="H2455" t="str">
        <f>"0012797601C20130529B"</f>
        <v>0012797601C20130529B</v>
      </c>
    </row>
    <row r="2456" spans="1:8" x14ac:dyDescent="0.25">
      <c r="E2456" t="str">
        <f>"C75201903067843"</f>
        <v>C75201903067843</v>
      </c>
      <c r="F2456" t="str">
        <f>"0011203766D1AG060016"</f>
        <v>0011203766D1AG060016</v>
      </c>
      <c r="G2456" s="2">
        <v>6.92</v>
      </c>
      <c r="H2456" t="str">
        <f>"0011203766D1AG060016"</f>
        <v>0011203766D1AG060016</v>
      </c>
    </row>
    <row r="2457" spans="1:8" x14ac:dyDescent="0.25">
      <c r="E2457" t="str">
        <f>"C76201903067843"</f>
        <v>C76201903067843</v>
      </c>
      <c r="F2457" t="str">
        <f>"00126801111316135"</f>
        <v>00126801111316135</v>
      </c>
      <c r="G2457" s="2">
        <v>103.85</v>
      </c>
      <c r="H2457" t="str">
        <f>"00126801111316135"</f>
        <v>00126801111316135</v>
      </c>
    </row>
    <row r="2458" spans="1:8" x14ac:dyDescent="0.25">
      <c r="E2458" t="str">
        <f>"C78201903067843"</f>
        <v>C78201903067843</v>
      </c>
      <c r="F2458" t="str">
        <f>"00105115972005106221"</f>
        <v>00105115972005106221</v>
      </c>
      <c r="G2458" s="2">
        <v>144.68</v>
      </c>
      <c r="H2458" t="str">
        <f>"00105115972005106221"</f>
        <v>00105115972005106221</v>
      </c>
    </row>
    <row r="2459" spans="1:8" x14ac:dyDescent="0.25">
      <c r="A2459" t="s">
        <v>480</v>
      </c>
      <c r="B2459">
        <v>90</v>
      </c>
      <c r="C2459" s="2">
        <v>4108.3900000000003</v>
      </c>
      <c r="D2459" s="1">
        <v>43546</v>
      </c>
      <c r="E2459" t="str">
        <f>"C18201903208001"</f>
        <v>C18201903208001</v>
      </c>
      <c r="F2459" t="str">
        <f>"CAUSE# 0011635329"</f>
        <v>CAUSE# 0011635329</v>
      </c>
      <c r="G2459" s="2">
        <v>603.23</v>
      </c>
      <c r="H2459" t="str">
        <f>"CAUSE# 0011635329"</f>
        <v>CAUSE# 0011635329</v>
      </c>
    </row>
    <row r="2460" spans="1:8" x14ac:dyDescent="0.25">
      <c r="E2460" t="str">
        <f>"C2 201903208001"</f>
        <v>C2 201903208001</v>
      </c>
      <c r="F2460" t="str">
        <f>"0012982132CCL7445"</f>
        <v>0012982132CCL7445</v>
      </c>
      <c r="G2460" s="2">
        <v>692.31</v>
      </c>
      <c r="H2460" t="str">
        <f>"0012982132CCL7445"</f>
        <v>0012982132CCL7445</v>
      </c>
    </row>
    <row r="2461" spans="1:8" x14ac:dyDescent="0.25">
      <c r="E2461" t="str">
        <f>"C20201903208000"</f>
        <v>C20201903208000</v>
      </c>
      <c r="F2461" t="str">
        <f>"001003981107-12252"</f>
        <v>001003981107-12252</v>
      </c>
      <c r="G2461" s="2">
        <v>115.39</v>
      </c>
      <c r="H2461" t="str">
        <f>"001003981107-12252"</f>
        <v>001003981107-12252</v>
      </c>
    </row>
    <row r="2462" spans="1:8" x14ac:dyDescent="0.25">
      <c r="E2462" t="str">
        <f>"C42201903208000"</f>
        <v>C42201903208000</v>
      </c>
      <c r="F2462" t="str">
        <f>"001236769211-14410"</f>
        <v>001236769211-14410</v>
      </c>
      <c r="G2462" s="2">
        <v>230.31</v>
      </c>
      <c r="H2462" t="str">
        <f>"001236769211-14410"</f>
        <v>001236769211-14410</v>
      </c>
    </row>
    <row r="2463" spans="1:8" x14ac:dyDescent="0.25">
      <c r="E2463" t="str">
        <f>"C46201903208000"</f>
        <v>C46201903208000</v>
      </c>
      <c r="F2463" t="str">
        <f>"CAUSE# 11-14911"</f>
        <v>CAUSE# 11-14911</v>
      </c>
      <c r="G2463" s="2">
        <v>238.62</v>
      </c>
      <c r="H2463" t="str">
        <f>"CAUSE# 11-14911"</f>
        <v>CAUSE# 11-14911</v>
      </c>
    </row>
    <row r="2464" spans="1:8" x14ac:dyDescent="0.25">
      <c r="E2464" t="str">
        <f>"C53201903208000"</f>
        <v>C53201903208000</v>
      </c>
      <c r="F2464" t="str">
        <f>"0012453366"</f>
        <v>0012453366</v>
      </c>
      <c r="G2464" s="2">
        <v>138.46</v>
      </c>
      <c r="H2464" t="str">
        <f>"0012453366"</f>
        <v>0012453366</v>
      </c>
    </row>
    <row r="2465" spans="1:8" x14ac:dyDescent="0.25">
      <c r="E2465" t="str">
        <f>"C60201903208000"</f>
        <v>C60201903208000</v>
      </c>
      <c r="F2465" t="str">
        <f>"00130730762012V300"</f>
        <v>00130730762012V300</v>
      </c>
      <c r="G2465" s="2">
        <v>399.32</v>
      </c>
      <c r="H2465" t="str">
        <f>"00130730762012V300"</f>
        <v>00130730762012V300</v>
      </c>
    </row>
    <row r="2466" spans="1:8" x14ac:dyDescent="0.25">
      <c r="E2466" t="str">
        <f>"C62201903208000"</f>
        <v>C62201903208000</v>
      </c>
      <c r="F2466" t="str">
        <f>"# 0012128865"</f>
        <v># 0012128865</v>
      </c>
      <c r="G2466" s="2">
        <v>243.23</v>
      </c>
      <c r="H2466" t="str">
        <f>"# 0012128865"</f>
        <v># 0012128865</v>
      </c>
    </row>
    <row r="2467" spans="1:8" x14ac:dyDescent="0.25">
      <c r="E2467" t="str">
        <f>"C66201903208000"</f>
        <v>C66201903208000</v>
      </c>
      <c r="F2467" t="str">
        <f>"# 0012871801"</f>
        <v># 0012871801</v>
      </c>
      <c r="G2467" s="2">
        <v>90</v>
      </c>
      <c r="H2467" t="str">
        <f>"# 0012871801"</f>
        <v># 0012871801</v>
      </c>
    </row>
    <row r="2468" spans="1:8" x14ac:dyDescent="0.25">
      <c r="E2468" t="str">
        <f>"C66201903208002"</f>
        <v>C66201903208002</v>
      </c>
      <c r="F2468" t="str">
        <f>"CAUSE#D1FM13007058"</f>
        <v>CAUSE#D1FM13007058</v>
      </c>
      <c r="G2468" s="2">
        <v>138.46</v>
      </c>
      <c r="H2468" t="str">
        <f>"CAUSE#D1FM13007058"</f>
        <v>CAUSE#D1FM13007058</v>
      </c>
    </row>
    <row r="2469" spans="1:8" x14ac:dyDescent="0.25">
      <c r="E2469" t="str">
        <f>"C69201903208000"</f>
        <v>C69201903208000</v>
      </c>
      <c r="F2469" t="str">
        <f>"0012046911423672"</f>
        <v>0012046911423672</v>
      </c>
      <c r="G2469" s="2">
        <v>187.38</v>
      </c>
      <c r="H2469" t="str">
        <f>"0012046911423672"</f>
        <v>0012046911423672</v>
      </c>
    </row>
    <row r="2470" spans="1:8" x14ac:dyDescent="0.25">
      <c r="E2470" t="str">
        <f>"C70201903208000"</f>
        <v>C70201903208000</v>
      </c>
      <c r="F2470" t="str">
        <f>"00136881334235026"</f>
        <v>00136881334235026</v>
      </c>
      <c r="G2470" s="2">
        <v>257.45999999999998</v>
      </c>
      <c r="H2470" t="str">
        <f>"00136881334235026"</f>
        <v>00136881334235026</v>
      </c>
    </row>
    <row r="2471" spans="1:8" x14ac:dyDescent="0.25">
      <c r="E2471" t="str">
        <f>"C71201903208000"</f>
        <v>C71201903208000</v>
      </c>
      <c r="F2471" t="str">
        <f>"00137390532018V215"</f>
        <v>00137390532018V215</v>
      </c>
      <c r="G2471" s="2">
        <v>276.92</v>
      </c>
      <c r="H2471" t="str">
        <f>"00137390532018V215"</f>
        <v>00137390532018V215</v>
      </c>
    </row>
    <row r="2472" spans="1:8" x14ac:dyDescent="0.25">
      <c r="E2472" t="str">
        <f>"C72201903208000"</f>
        <v>C72201903208000</v>
      </c>
      <c r="F2472" t="str">
        <f>"0012797601C20130529B"</f>
        <v>0012797601C20130529B</v>
      </c>
      <c r="G2472" s="2">
        <v>241.85</v>
      </c>
      <c r="H2472" t="str">
        <f>"0012797601C20130529B"</f>
        <v>0012797601C20130529B</v>
      </c>
    </row>
    <row r="2473" spans="1:8" x14ac:dyDescent="0.25">
      <c r="E2473" t="str">
        <f>"C75201903208000"</f>
        <v>C75201903208000</v>
      </c>
      <c r="F2473" t="str">
        <f>"0011203766D1AG060016"</f>
        <v>0011203766D1AG060016</v>
      </c>
      <c r="G2473" s="2">
        <v>6.92</v>
      </c>
      <c r="H2473" t="str">
        <f>"0011203766D1AG060016"</f>
        <v>0011203766D1AG060016</v>
      </c>
    </row>
    <row r="2474" spans="1:8" x14ac:dyDescent="0.25">
      <c r="E2474" t="str">
        <f>"C76201903208000"</f>
        <v>C76201903208000</v>
      </c>
      <c r="F2474" t="str">
        <f>"00126801111316135"</f>
        <v>00126801111316135</v>
      </c>
      <c r="G2474" s="2">
        <v>103.85</v>
      </c>
      <c r="H2474" t="str">
        <f>"00126801111316135"</f>
        <v>00126801111316135</v>
      </c>
    </row>
    <row r="2475" spans="1:8" x14ac:dyDescent="0.25">
      <c r="E2475" t="str">
        <f>"C78201903208000"</f>
        <v>C78201903208000</v>
      </c>
      <c r="F2475" t="str">
        <f>"00105115972005106221"</f>
        <v>00105115972005106221</v>
      </c>
      <c r="G2475" s="2">
        <v>144.68</v>
      </c>
      <c r="H2475" t="str">
        <f>"00105115972005106221"</f>
        <v>00105115972005106221</v>
      </c>
    </row>
    <row r="2476" spans="1:8" x14ac:dyDescent="0.25">
      <c r="A2476" t="s">
        <v>481</v>
      </c>
      <c r="B2476">
        <v>79</v>
      </c>
      <c r="C2476" s="2">
        <v>3387.56</v>
      </c>
      <c r="D2476" s="1">
        <v>43525</v>
      </c>
      <c r="E2476" t="str">
        <f>"RET201902287562"</f>
        <v>RET201902287562</v>
      </c>
      <c r="F2476" t="str">
        <f>"TEXAS COUNTY &amp; DISTRICT RET"</f>
        <v>TEXAS COUNTY &amp; DISTRICT RET</v>
      </c>
      <c r="G2476" s="2">
        <v>3160.73</v>
      </c>
      <c r="H2476" t="str">
        <f t="shared" ref="H2476:H2486" si="53">"TEXAS COUNTY &amp; DISTRICT RET"</f>
        <v>TEXAS COUNTY &amp; DISTRICT RET</v>
      </c>
    </row>
    <row r="2477" spans="1:8" x14ac:dyDescent="0.25">
      <c r="E2477" t="str">
        <f>""</f>
        <v/>
      </c>
      <c r="F2477" t="str">
        <f>""</f>
        <v/>
      </c>
      <c r="H2477" t="str">
        <f t="shared" si="53"/>
        <v>TEXAS COUNTY &amp; DISTRICT RET</v>
      </c>
    </row>
    <row r="2478" spans="1:8" x14ac:dyDescent="0.25">
      <c r="E2478" t="str">
        <f>""</f>
        <v/>
      </c>
      <c r="F2478" t="str">
        <f>""</f>
        <v/>
      </c>
      <c r="H2478" t="str">
        <f t="shared" si="53"/>
        <v>TEXAS COUNTY &amp; DISTRICT RET</v>
      </c>
    </row>
    <row r="2479" spans="1:8" x14ac:dyDescent="0.25">
      <c r="E2479" t="str">
        <f>""</f>
        <v/>
      </c>
      <c r="F2479" t="str">
        <f>""</f>
        <v/>
      </c>
      <c r="H2479" t="str">
        <f t="shared" si="53"/>
        <v>TEXAS COUNTY &amp; DISTRICT RET</v>
      </c>
    </row>
    <row r="2480" spans="1:8" x14ac:dyDescent="0.25">
      <c r="E2480" t="str">
        <f>""</f>
        <v/>
      </c>
      <c r="F2480" t="str">
        <f>""</f>
        <v/>
      </c>
      <c r="H2480" t="str">
        <f t="shared" si="53"/>
        <v>TEXAS COUNTY &amp; DISTRICT RET</v>
      </c>
    </row>
    <row r="2481" spans="1:8" x14ac:dyDescent="0.25">
      <c r="E2481" t="str">
        <f>""</f>
        <v/>
      </c>
      <c r="F2481" t="str">
        <f>""</f>
        <v/>
      </c>
      <c r="H2481" t="str">
        <f t="shared" si="53"/>
        <v>TEXAS COUNTY &amp; DISTRICT RET</v>
      </c>
    </row>
    <row r="2482" spans="1:8" x14ac:dyDescent="0.25">
      <c r="E2482" t="str">
        <f>""</f>
        <v/>
      </c>
      <c r="F2482" t="str">
        <f>""</f>
        <v/>
      </c>
      <c r="H2482" t="str">
        <f t="shared" si="53"/>
        <v>TEXAS COUNTY &amp; DISTRICT RET</v>
      </c>
    </row>
    <row r="2483" spans="1:8" x14ac:dyDescent="0.25">
      <c r="E2483" t="str">
        <f>""</f>
        <v/>
      </c>
      <c r="F2483" t="str">
        <f>""</f>
        <v/>
      </c>
      <c r="H2483" t="str">
        <f t="shared" si="53"/>
        <v>TEXAS COUNTY &amp; DISTRICT RET</v>
      </c>
    </row>
    <row r="2484" spans="1:8" x14ac:dyDescent="0.25">
      <c r="E2484" t="str">
        <f>""</f>
        <v/>
      </c>
      <c r="F2484" t="str">
        <f>""</f>
        <v/>
      </c>
      <c r="H2484" t="str">
        <f t="shared" si="53"/>
        <v>TEXAS COUNTY &amp; DISTRICT RET</v>
      </c>
    </row>
    <row r="2485" spans="1:8" x14ac:dyDescent="0.25">
      <c r="E2485" t="str">
        <f>"RET201902287563"</f>
        <v>RET201902287563</v>
      </c>
      <c r="F2485" t="str">
        <f>"TEXAS COUNTY &amp; DISTRICT RET"</f>
        <v>TEXAS COUNTY &amp; DISTRICT RET</v>
      </c>
      <c r="G2485" s="2">
        <v>226.83</v>
      </c>
      <c r="H2485" t="str">
        <f t="shared" si="53"/>
        <v>TEXAS COUNTY &amp; DISTRICT RET</v>
      </c>
    </row>
    <row r="2486" spans="1:8" x14ac:dyDescent="0.25">
      <c r="E2486" t="str">
        <f>""</f>
        <v/>
      </c>
      <c r="F2486" t="str">
        <f>""</f>
        <v/>
      </c>
      <c r="H2486" t="str">
        <f t="shared" si="53"/>
        <v>TEXAS COUNTY &amp; DISTRICT RET</v>
      </c>
    </row>
    <row r="2487" spans="1:8" x14ac:dyDescent="0.25">
      <c r="A2487" t="s">
        <v>481</v>
      </c>
      <c r="B2487">
        <v>92</v>
      </c>
      <c r="C2487" s="2">
        <v>351702.26</v>
      </c>
      <c r="D2487" s="1">
        <v>43546</v>
      </c>
      <c r="E2487" t="str">
        <f>"RET201903067820"</f>
        <v>RET201903067820</v>
      </c>
      <c r="F2487" t="str">
        <f>"TEXAS COUNTY  DISTRICT RET"</f>
        <v>TEXAS COUNTY  DISTRICT RET</v>
      </c>
      <c r="G2487" s="2">
        <v>5874.12</v>
      </c>
      <c r="H2487" t="str">
        <f>"TEXAS COUNTY  DISTRICT RET"</f>
        <v>TEXAS COUNTY  DISTRICT RET</v>
      </c>
    </row>
    <row r="2488" spans="1:8" x14ac:dyDescent="0.25">
      <c r="E2488" t="str">
        <f>""</f>
        <v/>
      </c>
      <c r="F2488" t="str">
        <f>""</f>
        <v/>
      </c>
      <c r="H2488" t="str">
        <f>"TEXAS COUNTY  DISTRICT RET"</f>
        <v>TEXAS COUNTY  DISTRICT RET</v>
      </c>
    </row>
    <row r="2489" spans="1:8" x14ac:dyDescent="0.25">
      <c r="E2489" t="str">
        <f>"RET201903067843"</f>
        <v>RET201903067843</v>
      </c>
      <c r="F2489" t="str">
        <f>"TEXAS COUNTY &amp; DISTRICT RET"</f>
        <v>TEXAS COUNTY &amp; DISTRICT RET</v>
      </c>
      <c r="G2489" s="2">
        <v>167385.65</v>
      </c>
      <c r="H2489" t="str">
        <f t="shared" ref="H2489:H2520" si="54">"TEXAS COUNTY &amp; DISTRICT RET"</f>
        <v>TEXAS COUNTY &amp; DISTRICT RET</v>
      </c>
    </row>
    <row r="2490" spans="1:8" x14ac:dyDescent="0.25">
      <c r="E2490" t="str">
        <f>""</f>
        <v/>
      </c>
      <c r="F2490" t="str">
        <f>""</f>
        <v/>
      </c>
      <c r="H2490" t="str">
        <f t="shared" si="54"/>
        <v>TEXAS COUNTY &amp; DISTRICT RET</v>
      </c>
    </row>
    <row r="2491" spans="1:8" x14ac:dyDescent="0.25">
      <c r="E2491" t="str">
        <f>""</f>
        <v/>
      </c>
      <c r="F2491" t="str">
        <f>""</f>
        <v/>
      </c>
      <c r="H2491" t="str">
        <f t="shared" si="54"/>
        <v>TEXAS COUNTY &amp; DISTRICT RET</v>
      </c>
    </row>
    <row r="2492" spans="1:8" x14ac:dyDescent="0.25">
      <c r="E2492" t="str">
        <f>""</f>
        <v/>
      </c>
      <c r="F2492" t="str">
        <f>""</f>
        <v/>
      </c>
      <c r="H2492" t="str">
        <f t="shared" si="54"/>
        <v>TEXAS COUNTY &amp; DISTRICT RET</v>
      </c>
    </row>
    <row r="2493" spans="1:8" x14ac:dyDescent="0.25">
      <c r="E2493" t="str">
        <f>""</f>
        <v/>
      </c>
      <c r="F2493" t="str">
        <f>""</f>
        <v/>
      </c>
      <c r="H2493" t="str">
        <f t="shared" si="54"/>
        <v>TEXAS COUNTY &amp; DISTRICT RET</v>
      </c>
    </row>
    <row r="2494" spans="1:8" x14ac:dyDescent="0.25">
      <c r="E2494" t="str">
        <f>""</f>
        <v/>
      </c>
      <c r="F2494" t="str">
        <f>""</f>
        <v/>
      </c>
      <c r="H2494" t="str">
        <f t="shared" si="54"/>
        <v>TEXAS COUNTY &amp; DISTRICT RET</v>
      </c>
    </row>
    <row r="2495" spans="1:8" x14ac:dyDescent="0.25">
      <c r="E2495" t="str">
        <f>""</f>
        <v/>
      </c>
      <c r="F2495" t="str">
        <f>""</f>
        <v/>
      </c>
      <c r="H2495" t="str">
        <f t="shared" si="54"/>
        <v>TEXAS COUNTY &amp; DISTRICT RET</v>
      </c>
    </row>
    <row r="2496" spans="1:8" x14ac:dyDescent="0.25">
      <c r="E2496" t="str">
        <f>""</f>
        <v/>
      </c>
      <c r="F2496" t="str">
        <f>""</f>
        <v/>
      </c>
      <c r="H2496" t="str">
        <f t="shared" si="54"/>
        <v>TEXAS COUNTY &amp; DISTRICT RET</v>
      </c>
    </row>
    <row r="2497" spans="5:8" x14ac:dyDescent="0.25">
      <c r="E2497" t="str">
        <f>""</f>
        <v/>
      </c>
      <c r="F2497" t="str">
        <f>""</f>
        <v/>
      </c>
      <c r="H2497" t="str">
        <f t="shared" si="54"/>
        <v>TEXAS COUNTY &amp; DISTRICT RET</v>
      </c>
    </row>
    <row r="2498" spans="5:8" x14ac:dyDescent="0.25">
      <c r="E2498" t="str">
        <f>""</f>
        <v/>
      </c>
      <c r="F2498" t="str">
        <f>""</f>
        <v/>
      </c>
      <c r="H2498" t="str">
        <f t="shared" si="54"/>
        <v>TEXAS COUNTY &amp; DISTRICT RET</v>
      </c>
    </row>
    <row r="2499" spans="5:8" x14ac:dyDescent="0.25">
      <c r="E2499" t="str">
        <f>""</f>
        <v/>
      </c>
      <c r="F2499" t="str">
        <f>""</f>
        <v/>
      </c>
      <c r="H2499" t="str">
        <f t="shared" si="54"/>
        <v>TEXAS COUNTY &amp; DISTRICT RET</v>
      </c>
    </row>
    <row r="2500" spans="5:8" x14ac:dyDescent="0.25">
      <c r="E2500" t="str">
        <f>""</f>
        <v/>
      </c>
      <c r="F2500" t="str">
        <f>""</f>
        <v/>
      </c>
      <c r="H2500" t="str">
        <f t="shared" si="54"/>
        <v>TEXAS COUNTY &amp; DISTRICT RET</v>
      </c>
    </row>
    <row r="2501" spans="5:8" x14ac:dyDescent="0.25">
      <c r="E2501" t="str">
        <f>""</f>
        <v/>
      </c>
      <c r="F2501" t="str">
        <f>""</f>
        <v/>
      </c>
      <c r="H2501" t="str">
        <f t="shared" si="54"/>
        <v>TEXAS COUNTY &amp; DISTRICT RET</v>
      </c>
    </row>
    <row r="2502" spans="5:8" x14ac:dyDescent="0.25">
      <c r="E2502" t="str">
        <f>""</f>
        <v/>
      </c>
      <c r="F2502" t="str">
        <f>""</f>
        <v/>
      </c>
      <c r="H2502" t="str">
        <f t="shared" si="54"/>
        <v>TEXAS COUNTY &amp; DISTRICT RET</v>
      </c>
    </row>
    <row r="2503" spans="5:8" x14ac:dyDescent="0.25">
      <c r="E2503" t="str">
        <f>""</f>
        <v/>
      </c>
      <c r="F2503" t="str">
        <f>""</f>
        <v/>
      </c>
      <c r="H2503" t="str">
        <f t="shared" si="54"/>
        <v>TEXAS COUNTY &amp; DISTRICT RET</v>
      </c>
    </row>
    <row r="2504" spans="5:8" x14ac:dyDescent="0.25">
      <c r="E2504" t="str">
        <f>""</f>
        <v/>
      </c>
      <c r="F2504" t="str">
        <f>""</f>
        <v/>
      </c>
      <c r="H2504" t="str">
        <f t="shared" si="54"/>
        <v>TEXAS COUNTY &amp; DISTRICT RET</v>
      </c>
    </row>
    <row r="2505" spans="5:8" x14ac:dyDescent="0.25">
      <c r="E2505" t="str">
        <f>""</f>
        <v/>
      </c>
      <c r="F2505" t="str">
        <f>""</f>
        <v/>
      </c>
      <c r="H2505" t="str">
        <f t="shared" si="54"/>
        <v>TEXAS COUNTY &amp; DISTRICT RET</v>
      </c>
    </row>
    <row r="2506" spans="5:8" x14ac:dyDescent="0.25">
      <c r="E2506" t="str">
        <f>""</f>
        <v/>
      </c>
      <c r="F2506" t="str">
        <f>""</f>
        <v/>
      </c>
      <c r="H2506" t="str">
        <f t="shared" si="54"/>
        <v>TEXAS COUNTY &amp; DISTRICT RET</v>
      </c>
    </row>
    <row r="2507" spans="5:8" x14ac:dyDescent="0.25">
      <c r="E2507" t="str">
        <f>""</f>
        <v/>
      </c>
      <c r="F2507" t="str">
        <f>""</f>
        <v/>
      </c>
      <c r="H2507" t="str">
        <f t="shared" si="54"/>
        <v>TEXAS COUNTY &amp; DISTRICT RET</v>
      </c>
    </row>
    <row r="2508" spans="5:8" x14ac:dyDescent="0.25">
      <c r="E2508" t="str">
        <f>""</f>
        <v/>
      </c>
      <c r="F2508" t="str">
        <f>""</f>
        <v/>
      </c>
      <c r="H2508" t="str">
        <f t="shared" si="54"/>
        <v>TEXAS COUNTY &amp; DISTRICT RET</v>
      </c>
    </row>
    <row r="2509" spans="5:8" x14ac:dyDescent="0.25">
      <c r="E2509" t="str">
        <f>""</f>
        <v/>
      </c>
      <c r="F2509" t="str">
        <f>""</f>
        <v/>
      </c>
      <c r="H2509" t="str">
        <f t="shared" si="54"/>
        <v>TEXAS COUNTY &amp; DISTRICT RET</v>
      </c>
    </row>
    <row r="2510" spans="5:8" x14ac:dyDescent="0.25">
      <c r="E2510" t="str">
        <f>""</f>
        <v/>
      </c>
      <c r="F2510" t="str">
        <f>""</f>
        <v/>
      </c>
      <c r="H2510" t="str">
        <f t="shared" si="54"/>
        <v>TEXAS COUNTY &amp; DISTRICT RET</v>
      </c>
    </row>
    <row r="2511" spans="5:8" x14ac:dyDescent="0.25">
      <c r="E2511" t="str">
        <f>""</f>
        <v/>
      </c>
      <c r="F2511" t="str">
        <f>""</f>
        <v/>
      </c>
      <c r="H2511" t="str">
        <f t="shared" si="54"/>
        <v>TEXAS COUNTY &amp; DISTRICT RET</v>
      </c>
    </row>
    <row r="2512" spans="5:8" x14ac:dyDescent="0.25">
      <c r="E2512" t="str">
        <f>""</f>
        <v/>
      </c>
      <c r="F2512" t="str">
        <f>""</f>
        <v/>
      </c>
      <c r="H2512" t="str">
        <f t="shared" si="54"/>
        <v>TEXAS COUNTY &amp; DISTRICT RET</v>
      </c>
    </row>
    <row r="2513" spans="5:8" x14ac:dyDescent="0.25">
      <c r="E2513" t="str">
        <f>""</f>
        <v/>
      </c>
      <c r="F2513" t="str">
        <f>""</f>
        <v/>
      </c>
      <c r="H2513" t="str">
        <f t="shared" si="54"/>
        <v>TEXAS COUNTY &amp; DISTRICT RET</v>
      </c>
    </row>
    <row r="2514" spans="5:8" x14ac:dyDescent="0.25">
      <c r="E2514" t="str">
        <f>""</f>
        <v/>
      </c>
      <c r="F2514" t="str">
        <f>""</f>
        <v/>
      </c>
      <c r="H2514" t="str">
        <f t="shared" si="54"/>
        <v>TEXAS COUNTY &amp; DISTRICT RET</v>
      </c>
    </row>
    <row r="2515" spans="5:8" x14ac:dyDescent="0.25">
      <c r="E2515" t="str">
        <f>""</f>
        <v/>
      </c>
      <c r="F2515" t="str">
        <f>""</f>
        <v/>
      </c>
      <c r="H2515" t="str">
        <f t="shared" si="54"/>
        <v>TEXAS COUNTY &amp; DISTRICT RET</v>
      </c>
    </row>
    <row r="2516" spans="5:8" x14ac:dyDescent="0.25">
      <c r="E2516" t="str">
        <f>""</f>
        <v/>
      </c>
      <c r="F2516" t="str">
        <f>""</f>
        <v/>
      </c>
      <c r="H2516" t="str">
        <f t="shared" si="54"/>
        <v>TEXAS COUNTY &amp; DISTRICT RET</v>
      </c>
    </row>
    <row r="2517" spans="5:8" x14ac:dyDescent="0.25">
      <c r="E2517" t="str">
        <f>""</f>
        <v/>
      </c>
      <c r="F2517" t="str">
        <f>""</f>
        <v/>
      </c>
      <c r="H2517" t="str">
        <f t="shared" si="54"/>
        <v>TEXAS COUNTY &amp; DISTRICT RET</v>
      </c>
    </row>
    <row r="2518" spans="5:8" x14ac:dyDescent="0.25">
      <c r="E2518" t="str">
        <f>""</f>
        <v/>
      </c>
      <c r="F2518" t="str">
        <f>""</f>
        <v/>
      </c>
      <c r="H2518" t="str">
        <f t="shared" si="54"/>
        <v>TEXAS COUNTY &amp; DISTRICT RET</v>
      </c>
    </row>
    <row r="2519" spans="5:8" x14ac:dyDescent="0.25">
      <c r="E2519" t="str">
        <f>""</f>
        <v/>
      </c>
      <c r="F2519" t="str">
        <f>""</f>
        <v/>
      </c>
      <c r="H2519" t="str">
        <f t="shared" si="54"/>
        <v>TEXAS COUNTY &amp; DISTRICT RET</v>
      </c>
    </row>
    <row r="2520" spans="5:8" x14ac:dyDescent="0.25">
      <c r="E2520" t="str">
        <f>""</f>
        <v/>
      </c>
      <c r="F2520" t="str">
        <f>""</f>
        <v/>
      </c>
      <c r="H2520" t="str">
        <f t="shared" si="54"/>
        <v>TEXAS COUNTY &amp; DISTRICT RET</v>
      </c>
    </row>
    <row r="2521" spans="5:8" x14ac:dyDescent="0.25">
      <c r="E2521" t="str">
        <f>""</f>
        <v/>
      </c>
      <c r="F2521" t="str">
        <f>""</f>
        <v/>
      </c>
      <c r="H2521" t="str">
        <f t="shared" ref="H2521:H2552" si="55">"TEXAS COUNTY &amp; DISTRICT RET"</f>
        <v>TEXAS COUNTY &amp; DISTRICT RET</v>
      </c>
    </row>
    <row r="2522" spans="5:8" x14ac:dyDescent="0.25">
      <c r="E2522" t="str">
        <f>""</f>
        <v/>
      </c>
      <c r="F2522" t="str">
        <f>""</f>
        <v/>
      </c>
      <c r="H2522" t="str">
        <f t="shared" si="55"/>
        <v>TEXAS COUNTY &amp; DISTRICT RET</v>
      </c>
    </row>
    <row r="2523" spans="5:8" x14ac:dyDescent="0.25">
      <c r="E2523" t="str">
        <f>""</f>
        <v/>
      </c>
      <c r="F2523" t="str">
        <f>""</f>
        <v/>
      </c>
      <c r="H2523" t="str">
        <f t="shared" si="55"/>
        <v>TEXAS COUNTY &amp; DISTRICT RET</v>
      </c>
    </row>
    <row r="2524" spans="5:8" x14ac:dyDescent="0.25">
      <c r="E2524" t="str">
        <f>""</f>
        <v/>
      </c>
      <c r="F2524" t="str">
        <f>""</f>
        <v/>
      </c>
      <c r="H2524" t="str">
        <f t="shared" si="55"/>
        <v>TEXAS COUNTY &amp; DISTRICT RET</v>
      </c>
    </row>
    <row r="2525" spans="5:8" x14ac:dyDescent="0.25">
      <c r="E2525" t="str">
        <f>""</f>
        <v/>
      </c>
      <c r="F2525" t="str">
        <f>""</f>
        <v/>
      </c>
      <c r="H2525" t="str">
        <f t="shared" si="55"/>
        <v>TEXAS COUNTY &amp; DISTRICT RET</v>
      </c>
    </row>
    <row r="2526" spans="5:8" x14ac:dyDescent="0.25">
      <c r="E2526" t="str">
        <f>""</f>
        <v/>
      </c>
      <c r="F2526" t="str">
        <f>""</f>
        <v/>
      </c>
      <c r="H2526" t="str">
        <f t="shared" si="55"/>
        <v>TEXAS COUNTY &amp; DISTRICT RET</v>
      </c>
    </row>
    <row r="2527" spans="5:8" x14ac:dyDescent="0.25">
      <c r="E2527" t="str">
        <f>""</f>
        <v/>
      </c>
      <c r="F2527" t="str">
        <f>""</f>
        <v/>
      </c>
      <c r="H2527" t="str">
        <f t="shared" si="55"/>
        <v>TEXAS COUNTY &amp; DISTRICT RET</v>
      </c>
    </row>
    <row r="2528" spans="5:8" x14ac:dyDescent="0.25">
      <c r="E2528" t="str">
        <f>""</f>
        <v/>
      </c>
      <c r="F2528" t="str">
        <f>""</f>
        <v/>
      </c>
      <c r="H2528" t="str">
        <f t="shared" si="55"/>
        <v>TEXAS COUNTY &amp; DISTRICT RET</v>
      </c>
    </row>
    <row r="2529" spans="5:8" x14ac:dyDescent="0.25">
      <c r="E2529" t="str">
        <f>""</f>
        <v/>
      </c>
      <c r="F2529" t="str">
        <f>""</f>
        <v/>
      </c>
      <c r="H2529" t="str">
        <f t="shared" si="55"/>
        <v>TEXAS COUNTY &amp; DISTRICT RET</v>
      </c>
    </row>
    <row r="2530" spans="5:8" x14ac:dyDescent="0.25">
      <c r="E2530" t="str">
        <f>""</f>
        <v/>
      </c>
      <c r="F2530" t="str">
        <f>""</f>
        <v/>
      </c>
      <c r="H2530" t="str">
        <f t="shared" si="55"/>
        <v>TEXAS COUNTY &amp; DISTRICT RET</v>
      </c>
    </row>
    <row r="2531" spans="5:8" x14ac:dyDescent="0.25">
      <c r="E2531" t="str">
        <f>""</f>
        <v/>
      </c>
      <c r="F2531" t="str">
        <f>""</f>
        <v/>
      </c>
      <c r="H2531" t="str">
        <f t="shared" si="55"/>
        <v>TEXAS COUNTY &amp; DISTRICT RET</v>
      </c>
    </row>
    <row r="2532" spans="5:8" x14ac:dyDescent="0.25">
      <c r="E2532" t="str">
        <f>""</f>
        <v/>
      </c>
      <c r="F2532" t="str">
        <f>""</f>
        <v/>
      </c>
      <c r="H2532" t="str">
        <f t="shared" si="55"/>
        <v>TEXAS COUNTY &amp; DISTRICT RET</v>
      </c>
    </row>
    <row r="2533" spans="5:8" x14ac:dyDescent="0.25">
      <c r="E2533" t="str">
        <f>""</f>
        <v/>
      </c>
      <c r="F2533" t="str">
        <f>""</f>
        <v/>
      </c>
      <c r="H2533" t="str">
        <f t="shared" si="55"/>
        <v>TEXAS COUNTY &amp; DISTRICT RET</v>
      </c>
    </row>
    <row r="2534" spans="5:8" x14ac:dyDescent="0.25">
      <c r="E2534" t="str">
        <f>""</f>
        <v/>
      </c>
      <c r="F2534" t="str">
        <f>""</f>
        <v/>
      </c>
      <c r="H2534" t="str">
        <f t="shared" si="55"/>
        <v>TEXAS COUNTY &amp; DISTRICT RET</v>
      </c>
    </row>
    <row r="2535" spans="5:8" x14ac:dyDescent="0.25">
      <c r="E2535" t="str">
        <f>""</f>
        <v/>
      </c>
      <c r="F2535" t="str">
        <f>""</f>
        <v/>
      </c>
      <c r="H2535" t="str">
        <f t="shared" si="55"/>
        <v>TEXAS COUNTY &amp; DISTRICT RET</v>
      </c>
    </row>
    <row r="2536" spans="5:8" x14ac:dyDescent="0.25">
      <c r="E2536" t="str">
        <f>""</f>
        <v/>
      </c>
      <c r="F2536" t="str">
        <f>""</f>
        <v/>
      </c>
      <c r="H2536" t="str">
        <f t="shared" si="55"/>
        <v>TEXAS COUNTY &amp; DISTRICT RET</v>
      </c>
    </row>
    <row r="2537" spans="5:8" x14ac:dyDescent="0.25">
      <c r="E2537" t="str">
        <f>""</f>
        <v/>
      </c>
      <c r="F2537" t="str">
        <f>""</f>
        <v/>
      </c>
      <c r="H2537" t="str">
        <f t="shared" si="55"/>
        <v>TEXAS COUNTY &amp; DISTRICT RET</v>
      </c>
    </row>
    <row r="2538" spans="5:8" x14ac:dyDescent="0.25">
      <c r="E2538" t="str">
        <f>""</f>
        <v/>
      </c>
      <c r="F2538" t="str">
        <f>""</f>
        <v/>
      </c>
      <c r="H2538" t="str">
        <f t="shared" si="55"/>
        <v>TEXAS COUNTY &amp; DISTRICT RET</v>
      </c>
    </row>
    <row r="2539" spans="5:8" x14ac:dyDescent="0.25">
      <c r="E2539" t="str">
        <f>""</f>
        <v/>
      </c>
      <c r="F2539" t="str">
        <f>""</f>
        <v/>
      </c>
      <c r="H2539" t="str">
        <f t="shared" si="55"/>
        <v>TEXAS COUNTY &amp; DISTRICT RET</v>
      </c>
    </row>
    <row r="2540" spans="5:8" x14ac:dyDescent="0.25">
      <c r="E2540" t="str">
        <f>"RET201903067844"</f>
        <v>RET201903067844</v>
      </c>
      <c r="F2540" t="str">
        <f>"TEXAS COUNTY &amp; DISTRICT RET"</f>
        <v>TEXAS COUNTY &amp; DISTRICT RET</v>
      </c>
      <c r="G2540" s="2">
        <v>7086.24</v>
      </c>
      <c r="H2540" t="str">
        <f t="shared" si="55"/>
        <v>TEXAS COUNTY &amp; DISTRICT RET</v>
      </c>
    </row>
    <row r="2541" spans="5:8" x14ac:dyDescent="0.25">
      <c r="E2541" t="str">
        <f>""</f>
        <v/>
      </c>
      <c r="F2541" t="str">
        <f>""</f>
        <v/>
      </c>
      <c r="H2541" t="str">
        <f t="shared" si="55"/>
        <v>TEXAS COUNTY &amp; DISTRICT RET</v>
      </c>
    </row>
    <row r="2542" spans="5:8" x14ac:dyDescent="0.25">
      <c r="E2542" t="str">
        <f>"RET201903208000"</f>
        <v>RET201903208000</v>
      </c>
      <c r="F2542" t="str">
        <f>"TEXAS COUNTY &amp; DISTRICT RET"</f>
        <v>TEXAS COUNTY &amp; DISTRICT RET</v>
      </c>
      <c r="G2542" s="2">
        <v>158236.13</v>
      </c>
      <c r="H2542" t="str">
        <f t="shared" si="55"/>
        <v>TEXAS COUNTY &amp; DISTRICT RET</v>
      </c>
    </row>
    <row r="2543" spans="5:8" x14ac:dyDescent="0.25">
      <c r="E2543" t="str">
        <f>""</f>
        <v/>
      </c>
      <c r="F2543" t="str">
        <f>""</f>
        <v/>
      </c>
      <c r="H2543" t="str">
        <f t="shared" si="55"/>
        <v>TEXAS COUNTY &amp; DISTRICT RET</v>
      </c>
    </row>
    <row r="2544" spans="5:8" x14ac:dyDescent="0.25">
      <c r="E2544" t="str">
        <f>""</f>
        <v/>
      </c>
      <c r="F2544" t="str">
        <f>""</f>
        <v/>
      </c>
      <c r="H2544" t="str">
        <f t="shared" si="55"/>
        <v>TEXAS COUNTY &amp; DISTRICT RET</v>
      </c>
    </row>
    <row r="2545" spans="5:8" x14ac:dyDescent="0.25">
      <c r="E2545" t="str">
        <f>""</f>
        <v/>
      </c>
      <c r="F2545" t="str">
        <f>""</f>
        <v/>
      </c>
      <c r="H2545" t="str">
        <f t="shared" si="55"/>
        <v>TEXAS COUNTY &amp; DISTRICT RET</v>
      </c>
    </row>
    <row r="2546" spans="5:8" x14ac:dyDescent="0.25">
      <c r="E2546" t="str">
        <f>""</f>
        <v/>
      </c>
      <c r="F2546" t="str">
        <f>""</f>
        <v/>
      </c>
      <c r="H2546" t="str">
        <f t="shared" si="55"/>
        <v>TEXAS COUNTY &amp; DISTRICT RET</v>
      </c>
    </row>
    <row r="2547" spans="5:8" x14ac:dyDescent="0.25">
      <c r="E2547" t="str">
        <f>""</f>
        <v/>
      </c>
      <c r="F2547" t="str">
        <f>""</f>
        <v/>
      </c>
      <c r="H2547" t="str">
        <f t="shared" si="55"/>
        <v>TEXAS COUNTY &amp; DISTRICT RET</v>
      </c>
    </row>
    <row r="2548" spans="5:8" x14ac:dyDescent="0.25">
      <c r="E2548" t="str">
        <f>""</f>
        <v/>
      </c>
      <c r="F2548" t="str">
        <f>""</f>
        <v/>
      </c>
      <c r="H2548" t="str">
        <f t="shared" si="55"/>
        <v>TEXAS COUNTY &amp; DISTRICT RET</v>
      </c>
    </row>
    <row r="2549" spans="5:8" x14ac:dyDescent="0.25">
      <c r="E2549" t="str">
        <f>""</f>
        <v/>
      </c>
      <c r="F2549" t="str">
        <f>""</f>
        <v/>
      </c>
      <c r="H2549" t="str">
        <f t="shared" si="55"/>
        <v>TEXAS COUNTY &amp; DISTRICT RET</v>
      </c>
    </row>
    <row r="2550" spans="5:8" x14ac:dyDescent="0.25">
      <c r="E2550" t="str">
        <f>""</f>
        <v/>
      </c>
      <c r="F2550" t="str">
        <f>""</f>
        <v/>
      </c>
      <c r="H2550" t="str">
        <f t="shared" si="55"/>
        <v>TEXAS COUNTY &amp; DISTRICT RET</v>
      </c>
    </row>
    <row r="2551" spans="5:8" x14ac:dyDescent="0.25">
      <c r="E2551" t="str">
        <f>""</f>
        <v/>
      </c>
      <c r="F2551" t="str">
        <f>""</f>
        <v/>
      </c>
      <c r="H2551" t="str">
        <f t="shared" si="55"/>
        <v>TEXAS COUNTY &amp; DISTRICT RET</v>
      </c>
    </row>
    <row r="2552" spans="5:8" x14ac:dyDescent="0.25">
      <c r="E2552" t="str">
        <f>""</f>
        <v/>
      </c>
      <c r="F2552" t="str">
        <f>""</f>
        <v/>
      </c>
      <c r="H2552" t="str">
        <f t="shared" si="55"/>
        <v>TEXAS COUNTY &amp; DISTRICT RET</v>
      </c>
    </row>
    <row r="2553" spans="5:8" x14ac:dyDescent="0.25">
      <c r="E2553" t="str">
        <f>""</f>
        <v/>
      </c>
      <c r="F2553" t="str">
        <f>""</f>
        <v/>
      </c>
      <c r="H2553" t="str">
        <f t="shared" ref="H2553:H2584" si="56">"TEXAS COUNTY &amp; DISTRICT RET"</f>
        <v>TEXAS COUNTY &amp; DISTRICT RET</v>
      </c>
    </row>
    <row r="2554" spans="5:8" x14ac:dyDescent="0.25">
      <c r="E2554" t="str">
        <f>""</f>
        <v/>
      </c>
      <c r="F2554" t="str">
        <f>""</f>
        <v/>
      </c>
      <c r="H2554" t="str">
        <f t="shared" si="56"/>
        <v>TEXAS COUNTY &amp; DISTRICT RET</v>
      </c>
    </row>
    <row r="2555" spans="5:8" x14ac:dyDescent="0.25">
      <c r="E2555" t="str">
        <f>""</f>
        <v/>
      </c>
      <c r="F2555" t="str">
        <f>""</f>
        <v/>
      </c>
      <c r="H2555" t="str">
        <f t="shared" si="56"/>
        <v>TEXAS COUNTY &amp; DISTRICT RET</v>
      </c>
    </row>
    <row r="2556" spans="5:8" x14ac:dyDescent="0.25">
      <c r="E2556" t="str">
        <f>""</f>
        <v/>
      </c>
      <c r="F2556" t="str">
        <f>""</f>
        <v/>
      </c>
      <c r="H2556" t="str">
        <f t="shared" si="56"/>
        <v>TEXAS COUNTY &amp; DISTRICT RET</v>
      </c>
    </row>
    <row r="2557" spans="5:8" x14ac:dyDescent="0.25">
      <c r="E2557" t="str">
        <f>""</f>
        <v/>
      </c>
      <c r="F2557" t="str">
        <f>""</f>
        <v/>
      </c>
      <c r="H2557" t="str">
        <f t="shared" si="56"/>
        <v>TEXAS COUNTY &amp; DISTRICT RET</v>
      </c>
    </row>
    <row r="2558" spans="5:8" x14ac:dyDescent="0.25">
      <c r="E2558" t="str">
        <f>""</f>
        <v/>
      </c>
      <c r="F2558" t="str">
        <f>""</f>
        <v/>
      </c>
      <c r="H2558" t="str">
        <f t="shared" si="56"/>
        <v>TEXAS COUNTY &amp; DISTRICT RET</v>
      </c>
    </row>
    <row r="2559" spans="5:8" x14ac:dyDescent="0.25">
      <c r="E2559" t="str">
        <f>""</f>
        <v/>
      </c>
      <c r="F2559" t="str">
        <f>""</f>
        <v/>
      </c>
      <c r="H2559" t="str">
        <f t="shared" si="56"/>
        <v>TEXAS COUNTY &amp; DISTRICT RET</v>
      </c>
    </row>
    <row r="2560" spans="5:8" x14ac:dyDescent="0.25">
      <c r="E2560" t="str">
        <f>""</f>
        <v/>
      </c>
      <c r="F2560" t="str">
        <f>""</f>
        <v/>
      </c>
      <c r="H2560" t="str">
        <f t="shared" si="56"/>
        <v>TEXAS COUNTY &amp; DISTRICT RET</v>
      </c>
    </row>
    <row r="2561" spans="5:8" x14ac:dyDescent="0.25">
      <c r="E2561" t="str">
        <f>""</f>
        <v/>
      </c>
      <c r="F2561" t="str">
        <f>""</f>
        <v/>
      </c>
      <c r="H2561" t="str">
        <f t="shared" si="56"/>
        <v>TEXAS COUNTY &amp; DISTRICT RET</v>
      </c>
    </row>
    <row r="2562" spans="5:8" x14ac:dyDescent="0.25">
      <c r="E2562" t="str">
        <f>""</f>
        <v/>
      </c>
      <c r="F2562" t="str">
        <f>""</f>
        <v/>
      </c>
      <c r="H2562" t="str">
        <f t="shared" si="56"/>
        <v>TEXAS COUNTY &amp; DISTRICT RET</v>
      </c>
    </row>
    <row r="2563" spans="5:8" x14ac:dyDescent="0.25">
      <c r="E2563" t="str">
        <f>""</f>
        <v/>
      </c>
      <c r="F2563" t="str">
        <f>""</f>
        <v/>
      </c>
      <c r="H2563" t="str">
        <f t="shared" si="56"/>
        <v>TEXAS COUNTY &amp; DISTRICT RET</v>
      </c>
    </row>
    <row r="2564" spans="5:8" x14ac:dyDescent="0.25">
      <c r="E2564" t="str">
        <f>""</f>
        <v/>
      </c>
      <c r="F2564" t="str">
        <f>""</f>
        <v/>
      </c>
      <c r="H2564" t="str">
        <f t="shared" si="56"/>
        <v>TEXAS COUNTY &amp; DISTRICT RET</v>
      </c>
    </row>
    <row r="2565" spans="5:8" x14ac:dyDescent="0.25">
      <c r="E2565" t="str">
        <f>""</f>
        <v/>
      </c>
      <c r="F2565" t="str">
        <f>""</f>
        <v/>
      </c>
      <c r="H2565" t="str">
        <f t="shared" si="56"/>
        <v>TEXAS COUNTY &amp; DISTRICT RET</v>
      </c>
    </row>
    <row r="2566" spans="5:8" x14ac:dyDescent="0.25">
      <c r="E2566" t="str">
        <f>""</f>
        <v/>
      </c>
      <c r="F2566" t="str">
        <f>""</f>
        <v/>
      </c>
      <c r="H2566" t="str">
        <f t="shared" si="56"/>
        <v>TEXAS COUNTY &amp; DISTRICT RET</v>
      </c>
    </row>
    <row r="2567" spans="5:8" x14ac:dyDescent="0.25">
      <c r="E2567" t="str">
        <f>""</f>
        <v/>
      </c>
      <c r="F2567" t="str">
        <f>""</f>
        <v/>
      </c>
      <c r="H2567" t="str">
        <f t="shared" si="56"/>
        <v>TEXAS COUNTY &amp; DISTRICT RET</v>
      </c>
    </row>
    <row r="2568" spans="5:8" x14ac:dyDescent="0.25">
      <c r="E2568" t="str">
        <f>""</f>
        <v/>
      </c>
      <c r="F2568" t="str">
        <f>""</f>
        <v/>
      </c>
      <c r="H2568" t="str">
        <f t="shared" si="56"/>
        <v>TEXAS COUNTY &amp; DISTRICT RET</v>
      </c>
    </row>
    <row r="2569" spans="5:8" x14ac:dyDescent="0.25">
      <c r="E2569" t="str">
        <f>""</f>
        <v/>
      </c>
      <c r="F2569" t="str">
        <f>""</f>
        <v/>
      </c>
      <c r="H2569" t="str">
        <f t="shared" si="56"/>
        <v>TEXAS COUNTY &amp; DISTRICT RET</v>
      </c>
    </row>
    <row r="2570" spans="5:8" x14ac:dyDescent="0.25">
      <c r="E2570" t="str">
        <f>""</f>
        <v/>
      </c>
      <c r="F2570" t="str">
        <f>""</f>
        <v/>
      </c>
      <c r="H2570" t="str">
        <f t="shared" si="56"/>
        <v>TEXAS COUNTY &amp; DISTRICT RET</v>
      </c>
    </row>
    <row r="2571" spans="5:8" x14ac:dyDescent="0.25">
      <c r="E2571" t="str">
        <f>""</f>
        <v/>
      </c>
      <c r="F2571" t="str">
        <f>""</f>
        <v/>
      </c>
      <c r="H2571" t="str">
        <f t="shared" si="56"/>
        <v>TEXAS COUNTY &amp; DISTRICT RET</v>
      </c>
    </row>
    <row r="2572" spans="5:8" x14ac:dyDescent="0.25">
      <c r="E2572" t="str">
        <f>""</f>
        <v/>
      </c>
      <c r="F2572" t="str">
        <f>""</f>
        <v/>
      </c>
      <c r="H2572" t="str">
        <f t="shared" si="56"/>
        <v>TEXAS COUNTY &amp; DISTRICT RET</v>
      </c>
    </row>
    <row r="2573" spans="5:8" x14ac:dyDescent="0.25">
      <c r="E2573" t="str">
        <f>""</f>
        <v/>
      </c>
      <c r="F2573" t="str">
        <f>""</f>
        <v/>
      </c>
      <c r="H2573" t="str">
        <f t="shared" si="56"/>
        <v>TEXAS COUNTY &amp; DISTRICT RET</v>
      </c>
    </row>
    <row r="2574" spans="5:8" x14ac:dyDescent="0.25">
      <c r="E2574" t="str">
        <f>""</f>
        <v/>
      </c>
      <c r="F2574" t="str">
        <f>""</f>
        <v/>
      </c>
      <c r="H2574" t="str">
        <f t="shared" si="56"/>
        <v>TEXAS COUNTY &amp; DISTRICT RET</v>
      </c>
    </row>
    <row r="2575" spans="5:8" x14ac:dyDescent="0.25">
      <c r="E2575" t="str">
        <f>""</f>
        <v/>
      </c>
      <c r="F2575" t="str">
        <f>""</f>
        <v/>
      </c>
      <c r="H2575" t="str">
        <f t="shared" si="56"/>
        <v>TEXAS COUNTY &amp; DISTRICT RET</v>
      </c>
    </row>
    <row r="2576" spans="5:8" x14ac:dyDescent="0.25">
      <c r="E2576" t="str">
        <f>""</f>
        <v/>
      </c>
      <c r="F2576" t="str">
        <f>""</f>
        <v/>
      </c>
      <c r="H2576" t="str">
        <f t="shared" si="56"/>
        <v>TEXAS COUNTY &amp; DISTRICT RET</v>
      </c>
    </row>
    <row r="2577" spans="5:8" x14ac:dyDescent="0.25">
      <c r="E2577" t="str">
        <f>""</f>
        <v/>
      </c>
      <c r="F2577" t="str">
        <f>""</f>
        <v/>
      </c>
      <c r="H2577" t="str">
        <f t="shared" si="56"/>
        <v>TEXAS COUNTY &amp; DISTRICT RET</v>
      </c>
    </row>
    <row r="2578" spans="5:8" x14ac:dyDescent="0.25">
      <c r="E2578" t="str">
        <f>""</f>
        <v/>
      </c>
      <c r="F2578" t="str">
        <f>""</f>
        <v/>
      </c>
      <c r="H2578" t="str">
        <f t="shared" si="56"/>
        <v>TEXAS COUNTY &amp; DISTRICT RET</v>
      </c>
    </row>
    <row r="2579" spans="5:8" x14ac:dyDescent="0.25">
      <c r="E2579" t="str">
        <f>""</f>
        <v/>
      </c>
      <c r="F2579" t="str">
        <f>""</f>
        <v/>
      </c>
      <c r="H2579" t="str">
        <f t="shared" si="56"/>
        <v>TEXAS COUNTY &amp; DISTRICT RET</v>
      </c>
    </row>
    <row r="2580" spans="5:8" x14ac:dyDescent="0.25">
      <c r="E2580" t="str">
        <f>""</f>
        <v/>
      </c>
      <c r="F2580" t="str">
        <f>""</f>
        <v/>
      </c>
      <c r="H2580" t="str">
        <f t="shared" si="56"/>
        <v>TEXAS COUNTY &amp; DISTRICT RET</v>
      </c>
    </row>
    <row r="2581" spans="5:8" x14ac:dyDescent="0.25">
      <c r="E2581" t="str">
        <f>""</f>
        <v/>
      </c>
      <c r="F2581" t="str">
        <f>""</f>
        <v/>
      </c>
      <c r="H2581" t="str">
        <f t="shared" si="56"/>
        <v>TEXAS COUNTY &amp; DISTRICT RET</v>
      </c>
    </row>
    <row r="2582" spans="5:8" x14ac:dyDescent="0.25">
      <c r="E2582" t="str">
        <f>""</f>
        <v/>
      </c>
      <c r="F2582" t="str">
        <f>""</f>
        <v/>
      </c>
      <c r="H2582" t="str">
        <f t="shared" si="56"/>
        <v>TEXAS COUNTY &amp; DISTRICT RET</v>
      </c>
    </row>
    <row r="2583" spans="5:8" x14ac:dyDescent="0.25">
      <c r="E2583" t="str">
        <f>""</f>
        <v/>
      </c>
      <c r="F2583" t="str">
        <f>""</f>
        <v/>
      </c>
      <c r="H2583" t="str">
        <f t="shared" si="56"/>
        <v>TEXAS COUNTY &amp; DISTRICT RET</v>
      </c>
    </row>
    <row r="2584" spans="5:8" x14ac:dyDescent="0.25">
      <c r="E2584" t="str">
        <f>""</f>
        <v/>
      </c>
      <c r="F2584" t="str">
        <f>""</f>
        <v/>
      </c>
      <c r="H2584" t="str">
        <f t="shared" si="56"/>
        <v>TEXAS COUNTY &amp; DISTRICT RET</v>
      </c>
    </row>
    <row r="2585" spans="5:8" x14ac:dyDescent="0.25">
      <c r="E2585" t="str">
        <f>""</f>
        <v/>
      </c>
      <c r="F2585" t="str">
        <f>""</f>
        <v/>
      </c>
      <c r="H2585" t="str">
        <f t="shared" ref="H2585:H2592" si="57">"TEXAS COUNTY &amp; DISTRICT RET"</f>
        <v>TEXAS COUNTY &amp; DISTRICT RET</v>
      </c>
    </row>
    <row r="2586" spans="5:8" x14ac:dyDescent="0.25">
      <c r="E2586" t="str">
        <f>""</f>
        <v/>
      </c>
      <c r="F2586" t="str">
        <f>""</f>
        <v/>
      </c>
      <c r="H2586" t="str">
        <f t="shared" si="57"/>
        <v>TEXAS COUNTY &amp; DISTRICT RET</v>
      </c>
    </row>
    <row r="2587" spans="5:8" x14ac:dyDescent="0.25">
      <c r="E2587" t="str">
        <f>""</f>
        <v/>
      </c>
      <c r="F2587" t="str">
        <f>""</f>
        <v/>
      </c>
      <c r="H2587" t="str">
        <f t="shared" si="57"/>
        <v>TEXAS COUNTY &amp; DISTRICT RET</v>
      </c>
    </row>
    <row r="2588" spans="5:8" x14ac:dyDescent="0.25">
      <c r="E2588" t="str">
        <f>""</f>
        <v/>
      </c>
      <c r="F2588" t="str">
        <f>""</f>
        <v/>
      </c>
      <c r="H2588" t="str">
        <f t="shared" si="57"/>
        <v>TEXAS COUNTY &amp; DISTRICT RET</v>
      </c>
    </row>
    <row r="2589" spans="5:8" x14ac:dyDescent="0.25">
      <c r="E2589" t="str">
        <f>""</f>
        <v/>
      </c>
      <c r="F2589" t="str">
        <f>""</f>
        <v/>
      </c>
      <c r="H2589" t="str">
        <f t="shared" si="57"/>
        <v>TEXAS COUNTY &amp; DISTRICT RET</v>
      </c>
    </row>
    <row r="2590" spans="5:8" x14ac:dyDescent="0.25">
      <c r="E2590" t="str">
        <f>""</f>
        <v/>
      </c>
      <c r="F2590" t="str">
        <f>""</f>
        <v/>
      </c>
      <c r="H2590" t="str">
        <f t="shared" si="57"/>
        <v>TEXAS COUNTY &amp; DISTRICT RET</v>
      </c>
    </row>
    <row r="2591" spans="5:8" x14ac:dyDescent="0.25">
      <c r="E2591" t="str">
        <f>""</f>
        <v/>
      </c>
      <c r="F2591" t="str">
        <f>""</f>
        <v/>
      </c>
      <c r="H2591" t="str">
        <f t="shared" si="57"/>
        <v>TEXAS COUNTY &amp; DISTRICT RET</v>
      </c>
    </row>
    <row r="2592" spans="5:8" x14ac:dyDescent="0.25">
      <c r="E2592" t="str">
        <f>""</f>
        <v/>
      </c>
      <c r="F2592" t="str">
        <f>""</f>
        <v/>
      </c>
      <c r="H2592" t="str">
        <f t="shared" si="57"/>
        <v>TEXAS COUNTY &amp; DISTRICT RET</v>
      </c>
    </row>
    <row r="2593" spans="1:8" x14ac:dyDescent="0.25">
      <c r="E2593" t="str">
        <f>"RET201903208001"</f>
        <v>RET201903208001</v>
      </c>
      <c r="F2593" t="str">
        <f>"TEXAS COUNTY  DISTRICT RET"</f>
        <v>TEXAS COUNTY  DISTRICT RET</v>
      </c>
      <c r="G2593" s="2">
        <v>5825.13</v>
      </c>
      <c r="H2593" t="str">
        <f>"TEXAS COUNTY  DISTRICT RET"</f>
        <v>TEXAS COUNTY  DISTRICT RET</v>
      </c>
    </row>
    <row r="2594" spans="1:8" x14ac:dyDescent="0.25">
      <c r="E2594" t="str">
        <f>""</f>
        <v/>
      </c>
      <c r="F2594" t="str">
        <f>""</f>
        <v/>
      </c>
      <c r="H2594" t="str">
        <f>"TEXAS COUNTY  DISTRICT RET"</f>
        <v>TEXAS COUNTY  DISTRICT RET</v>
      </c>
    </row>
    <row r="2595" spans="1:8" x14ac:dyDescent="0.25">
      <c r="E2595" t="str">
        <f>"RET201903208002"</f>
        <v>RET201903208002</v>
      </c>
      <c r="F2595" t="str">
        <f>"TEXAS COUNTY &amp; DISTRICT RET"</f>
        <v>TEXAS COUNTY &amp; DISTRICT RET</v>
      </c>
      <c r="G2595" s="2">
        <v>7294.99</v>
      </c>
      <c r="H2595" t="str">
        <f>"TEXAS COUNTY &amp; DISTRICT RET"</f>
        <v>TEXAS COUNTY &amp; DISTRICT RET</v>
      </c>
    </row>
    <row r="2596" spans="1:8" x14ac:dyDescent="0.25">
      <c r="E2596" t="str">
        <f>""</f>
        <v/>
      </c>
      <c r="F2596" t="str">
        <f>""</f>
        <v/>
      </c>
      <c r="H2596" t="str">
        <f>"TEXAS COUNTY &amp; DISTRICT RET"</f>
        <v>TEXAS COUNTY &amp; DISTRICT RET</v>
      </c>
    </row>
    <row r="2597" spans="1:8" x14ac:dyDescent="0.25">
      <c r="A2597" t="s">
        <v>482</v>
      </c>
      <c r="B2597">
        <v>47364</v>
      </c>
      <c r="C2597" s="2">
        <v>1205</v>
      </c>
      <c r="D2597" s="1">
        <v>43552</v>
      </c>
      <c r="E2597" t="str">
        <f>"LEG201903067843"</f>
        <v>LEG201903067843</v>
      </c>
      <c r="F2597" t="str">
        <f>"TEXAS LEGAL PROTECTION PLAN"</f>
        <v>TEXAS LEGAL PROTECTION PLAN</v>
      </c>
      <c r="G2597" s="2">
        <v>602.5</v>
      </c>
      <c r="H2597" t="str">
        <f>"TEXAS LEGAL PROTECTION PLAN"</f>
        <v>TEXAS LEGAL PROTECTION PLAN</v>
      </c>
    </row>
    <row r="2598" spans="1:8" x14ac:dyDescent="0.25">
      <c r="E2598" t="str">
        <f>"LEG201903208000"</f>
        <v>LEG201903208000</v>
      </c>
      <c r="F2598" t="str">
        <f>"TEXAS LEGAL PROTECTION PLAN"</f>
        <v>TEXAS LEGAL PROTECTION PLAN</v>
      </c>
      <c r="G2598" s="2">
        <v>602.5</v>
      </c>
      <c r="H2598" t="str">
        <f>"TEXAS LEGAL PROTECTION PLAN"</f>
        <v>TEXAS LEGAL PROTECTION PLAN</v>
      </c>
    </row>
    <row r="2599" spans="1:8" x14ac:dyDescent="0.25">
      <c r="A2599" t="s">
        <v>483</v>
      </c>
      <c r="B2599">
        <v>47339</v>
      </c>
      <c r="C2599" s="2">
        <v>218.61</v>
      </c>
      <c r="D2599" s="1">
        <v>43532</v>
      </c>
      <c r="E2599" t="str">
        <f>"SL6201903067843"</f>
        <v>SL6201903067843</v>
      </c>
      <c r="F2599" t="str">
        <f>"TG STUDENT LOAN - P CROUCH"</f>
        <v>TG STUDENT LOAN - P CROUCH</v>
      </c>
      <c r="G2599" s="2">
        <v>218.61</v>
      </c>
      <c r="H2599" t="str">
        <f>"TG STUDENT LOAN - P CROUCH"</f>
        <v>TG STUDENT LOAN - P CROUCH</v>
      </c>
    </row>
    <row r="2600" spans="1:8" x14ac:dyDescent="0.25">
      <c r="A2600" t="s">
        <v>484</v>
      </c>
      <c r="B2600">
        <v>47338</v>
      </c>
      <c r="C2600" s="2">
        <v>212.65</v>
      </c>
      <c r="D2600" s="1">
        <v>43532</v>
      </c>
      <c r="E2600" t="str">
        <f>"SL9201903067843"</f>
        <v>SL9201903067843</v>
      </c>
      <c r="F2600" t="str">
        <f>"STUDENT LOAN"</f>
        <v>STUDENT LOAN</v>
      </c>
      <c r="G2600" s="2">
        <v>212.65</v>
      </c>
      <c r="H2600" t="str">
        <f>"STUDENT LOAN"</f>
        <v>STUDENT LOAN</v>
      </c>
    </row>
    <row r="2601" spans="1:8" x14ac:dyDescent="0.25">
      <c r="A2601" t="s">
        <v>485</v>
      </c>
      <c r="B2601">
        <v>47361</v>
      </c>
      <c r="C2601" s="2">
        <v>227.43</v>
      </c>
      <c r="D2601" s="1">
        <v>43546</v>
      </c>
      <c r="E2601" t="str">
        <f>"SL 201903208000"</f>
        <v>SL 201903208000</v>
      </c>
      <c r="F2601" t="str">
        <f>"STUDENT LOAN"</f>
        <v>STUDENT LOAN</v>
      </c>
      <c r="G2601" s="2">
        <v>227.43</v>
      </c>
      <c r="H2601" t="str">
        <f>"STUDENT LOAN"</f>
        <v>STUDENT LOAN</v>
      </c>
    </row>
    <row r="2602" spans="1:8" x14ac:dyDescent="0.25">
      <c r="A2602" t="s">
        <v>484</v>
      </c>
      <c r="B2602">
        <v>47363</v>
      </c>
      <c r="C2602" s="2">
        <v>212.65</v>
      </c>
      <c r="D2602" s="1">
        <v>43546</v>
      </c>
      <c r="E2602" t="str">
        <f>"SL9201903208000"</f>
        <v>SL9201903208000</v>
      </c>
      <c r="F2602" t="str">
        <f>"STUDENT LOAN"</f>
        <v>STUDENT LOAN</v>
      </c>
      <c r="G2602" s="2">
        <v>212.65</v>
      </c>
      <c r="H2602" t="str">
        <f>"STUDENT LOAN"</f>
        <v>STUDENT LOAN</v>
      </c>
    </row>
    <row r="2603" spans="1:8" x14ac:dyDescent="0.25">
      <c r="B2603" s="3" t="s">
        <v>486</v>
      </c>
      <c r="C2603" s="2">
        <f>SUM(C2:C2602)</f>
        <v>3470703.129999999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AP-CHK-RPT-20190805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2019-08-05T16:20:47Z</dcterms:created>
  <dcterms:modified xsi:type="dcterms:W3CDTF">2019-08-05T16:20:47Z</dcterms:modified>
</cp:coreProperties>
</file>