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0805" sheetId="1" r:id="rId1"/>
  </sheets>
  <calcPr calcId="0"/>
</workbook>
</file>

<file path=xl/calcChain.xml><?xml version="1.0" encoding="utf-8"?>
<calcChain xmlns="http://schemas.openxmlformats.org/spreadsheetml/2006/main">
  <c r="C2966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G180" i="1"/>
  <c r="H180" i="1"/>
  <c r="I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G239" i="1"/>
  <c r="H239" i="1"/>
  <c r="I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G263" i="1"/>
  <c r="H263" i="1"/>
  <c r="I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G403" i="1"/>
  <c r="H403" i="1"/>
  <c r="I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G522" i="1"/>
  <c r="H522" i="1"/>
  <c r="I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G619" i="1"/>
  <c r="H619" i="1"/>
  <c r="I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G687" i="1"/>
  <c r="H687" i="1"/>
  <c r="I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G711" i="1"/>
  <c r="H711" i="1"/>
  <c r="I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G1242" i="1"/>
  <c r="H1242" i="1"/>
  <c r="I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G1439" i="1"/>
  <c r="H1439" i="1"/>
  <c r="I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E1598" i="1"/>
  <c r="F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E2419" i="1"/>
  <c r="F2419" i="1"/>
  <c r="E2420" i="1"/>
  <c r="F2420" i="1"/>
  <c r="E2421" i="1"/>
  <c r="F2421" i="1"/>
  <c r="E2422" i="1"/>
  <c r="F2422" i="1"/>
  <c r="E2423" i="1"/>
  <c r="F2423" i="1"/>
  <c r="E2424" i="1"/>
  <c r="F2424" i="1"/>
  <c r="E2425" i="1"/>
  <c r="F2425" i="1"/>
  <c r="E2426" i="1"/>
  <c r="F2426" i="1"/>
  <c r="E2427" i="1"/>
  <c r="F2427" i="1"/>
  <c r="E2428" i="1"/>
  <c r="F2428" i="1"/>
  <c r="E2429" i="1"/>
  <c r="F2429" i="1"/>
  <c r="E2430" i="1"/>
  <c r="F2430" i="1"/>
  <c r="E2431" i="1"/>
  <c r="F2431" i="1"/>
  <c r="E2432" i="1"/>
  <c r="F2432" i="1"/>
  <c r="E2433" i="1"/>
  <c r="F2433" i="1"/>
  <c r="E2434" i="1"/>
  <c r="F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</calcChain>
</file>

<file path=xl/sharedStrings.xml><?xml version="1.0" encoding="utf-8"?>
<sst xmlns="http://schemas.openxmlformats.org/spreadsheetml/2006/main" count="696" uniqueCount="553">
  <si>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</si>
  <si>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</si>
  <si>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</si>
  <si>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</si>
  <si>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</si>
  <si>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</si>
  <si>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</si>
  <si>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</si>
  <si>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4IMPRINT  INC</t>
  </si>
  <si>
    <t>973 MATERIALS  LLC</t>
  </si>
  <si>
    <t>A PLUS BAIL BONDS</t>
  </si>
  <si>
    <t>ARNOLD OIL COMPANY OF AUSTIN LP</t>
  </si>
  <si>
    <t>TIMOTHY HALL</t>
  </si>
  <si>
    <t>ADAM DAKOTA ROWINS</t>
  </si>
  <si>
    <t>ADAM MUERY</t>
  </si>
  <si>
    <t>ADENA LEWIS</t>
  </si>
  <si>
    <t>ALAMO  GROUP (TX)  INC</t>
  </si>
  <si>
    <t>ALBERT LUNA</t>
  </si>
  <si>
    <t>ALBERT NEAL PFEIFFER</t>
  </si>
  <si>
    <t>ALEJANDRO RODRIGUEZ</t>
  </si>
  <si>
    <t>TEXAS ENTERPRISES INC.</t>
  </si>
  <si>
    <t>AMANDA BRUCE</t>
  </si>
  <si>
    <t>S &amp; D PLUMBING-GIDDINGS LLC</t>
  </si>
  <si>
    <t>AMAZON CAPITAL SERVICES INC</t>
  </si>
  <si>
    <t>AMERICAN ASSN OF NOTARIES</t>
  </si>
  <si>
    <t>AMERISOURCEBERGEN</t>
  </si>
  <si>
    <t>ANDERSON &amp; ANDERSON LAW FIRM PC</t>
  </si>
  <si>
    <t>JOSE A GARZA</t>
  </si>
  <si>
    <t>C APPLEMAN ENT INC</t>
  </si>
  <si>
    <t>AQUA BEVERAGE COMPANY/OZARKA</t>
  </si>
  <si>
    <t>AQUA WATER SUPPLY CORPORATION</t>
  </si>
  <si>
    <t>ARA / ST.DAVID'S IMAGING  LP</t>
  </si>
  <si>
    <t>ARSENAL ADVERTISING LLC</t>
  </si>
  <si>
    <t>AT &amp; T</t>
  </si>
  <si>
    <t>AT&amp;T</t>
  </si>
  <si>
    <t>AT&amp;T MOBILITY</t>
  </si>
  <si>
    <t>AT&amp;T MOBILITY-W&amp;M</t>
  </si>
  <si>
    <t>GATEHOUSE MEDIA TEXAS HOLDINGS II  INC.</t>
  </si>
  <si>
    <t>RALPH E BONNELL CIH</t>
  </si>
  <si>
    <t>AUSTIN FUEL INJECTION &amp; PERFORMANCE CENTER</t>
  </si>
  <si>
    <t>AUSTIN GASTROENTERLOGY</t>
  </si>
  <si>
    <t>PTL LAWN &amp; CLEANING SERVICE  INC</t>
  </si>
  <si>
    <t>AUSTIN RADIOLOGICAL ASSOC</t>
  </si>
  <si>
    <t>AUSTIN RETINA ASSSOCIATES</t>
  </si>
  <si>
    <t>AUTUMN J SMITH</t>
  </si>
  <si>
    <t>JIM ATTRA INC</t>
  </si>
  <si>
    <t>BANKNOTE CORPORATION OF AMERICA INC</t>
  </si>
  <si>
    <t>MICHAEL OLDHAM TIRE INC</t>
  </si>
  <si>
    <t>GRAND JUNCTION NEWSPAPERS  INC.</t>
  </si>
  <si>
    <t>BASTROP COUNTY SHERIFF'S DEPT</t>
  </si>
  <si>
    <t>="12</t>
  </si>
  <si>
    <t>010"</t>
  </si>
  <si>
    <t>DANIEL L HEPKER</t>
  </si>
  <si>
    <t>BASTROP COUNTY CARES</t>
  </si>
  <si>
    <t>BASTROP COUNTY MEDICAL ASSOC PA</t>
  </si>
  <si>
    <t>BASTROP COUNTY FIRST RESPONDERS  INC.</t>
  </si>
  <si>
    <t>BASTROP COUNTY EMERGENCY FOOD PANTRY</t>
  </si>
  <si>
    <t>BASTROP COUNTY PROBATION DEPT</t>
  </si>
  <si>
    <t>BASTROP MEDICAL CLINIC</t>
  </si>
  <si>
    <t>BASTROP OUTDOOR</t>
  </si>
  <si>
    <t>BASTROP PROVIDENCE  LLC</t>
  </si>
  <si>
    <t>BASTROP SIGNS &amp; BANNERS</t>
  </si>
  <si>
    <t>BASTROP STONE &amp; MATERIAL SUPPLY</t>
  </si>
  <si>
    <t>BASTROP TREE SERVICE  INC</t>
  </si>
  <si>
    <t>BCEP PA</t>
  </si>
  <si>
    <t>DAVID H OUTON</t>
  </si>
  <si>
    <t>BEN E KEITH CO.</t>
  </si>
  <si>
    <t>BEST BUY STORES  LP</t>
  </si>
  <si>
    <t>B C FOOD GROUP  LLC</t>
  </si>
  <si>
    <t>BETTY YOAST</t>
  </si>
  <si>
    <t>="11</t>
  </si>
  <si>
    <t>322  12/27/18"</t>
  </si>
  <si>
    <t>BICKERSTAFF HEATH DELGADO ACOSTA LLP</t>
  </si>
  <si>
    <t>MAURINE MC LEAN</t>
  </si>
  <si>
    <t>BIMBO FOODS INC</t>
  </si>
  <si>
    <t>BLAKE BROSH</t>
  </si>
  <si>
    <t>BLAS J. COY  JR.</t>
  </si>
  <si>
    <t>BLUEBONNET AREA CRIME STOPPERS PROGRAM</t>
  </si>
  <si>
    <t>BLUEBONNET ELECTRIC</t>
  </si>
  <si>
    <t>="15</t>
  </si>
  <si>
    <t>915  12/7/18"</t>
  </si>
  <si>
    <t>BLUEBONNET ELECTRIC COOPERATIVE  INC.</t>
  </si>
  <si>
    <t>BLUEBONNET TRAILS MHMR</t>
  </si>
  <si>
    <t>BOBBY BROWN</t>
  </si>
  <si>
    <t>BOEHM TRACTOR SALES INC</t>
  </si>
  <si>
    <t>BRAMS &amp; ASSOCIATES  INC.</t>
  </si>
  <si>
    <t>BRAUNTEX MATERIALS INC</t>
  </si>
  <si>
    <t>BRIAN NEIE</t>
  </si>
  <si>
    <t>LAW OFFICE OF BRYAN W. MCDANIEL  P.C.</t>
  </si>
  <si>
    <t>BUREAU OF VITAL STATISTICS</t>
  </si>
  <si>
    <t>CALDWELL AUTOMOTIVE PARTNERS LTD</t>
  </si>
  <si>
    <t>CAPITOL BEARING SERVICE OF AUSTIN  INC.</t>
  </si>
  <si>
    <t>TIB-THE INDEPENDENT BANKERS BANK</t>
  </si>
  <si>
    <t>CARROLL H RABEL</t>
  </si>
  <si>
    <t>CEN-TEX MARINE FABRICATORS INC</t>
  </si>
  <si>
    <t>CENTERPOINT ENERGY</t>
  </si>
  <si>
    <t>LARRY D. LYNN</t>
  </si>
  <si>
    <t>CENTRAL TEXAS BARRICADES INC</t>
  </si>
  <si>
    <t>CENTRAL TEXAS AUTOPSY</t>
  </si>
  <si>
    <t>CHARLES NIESEN</t>
  </si>
  <si>
    <t>CHARLES W CARVER</t>
  </si>
  <si>
    <t>CHECK PLUS STORAGE  LLC</t>
  </si>
  <si>
    <t>CHRIS BLASCHKE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</si>
  <si>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</si>
  <si>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</si>
  <si>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</si>
  <si>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</si>
  <si>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</si>
  <si>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</si>
  <si>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CLAY WANECK</t>
  </si>
  <si>
    <t>CLIFFORD POWER SYSTEMS INC</t>
  </si>
  <si>
    <t>CLINICAL PATHOLOGY LABORATORIES INC</t>
  </si>
  <si>
    <t>CLINICAL PATHOLOGY ASSOC. OF AUSTIN</t>
  </si>
  <si>
    <t>CNA SURETY</t>
  </si>
  <si>
    <t>COLE WILLIAMS</t>
  </si>
  <si>
    <t>COLLIN COOPER</t>
  </si>
  <si>
    <t>COLTON VASUT</t>
  </si>
  <si>
    <t>COLUMBUS EYE ASSOCIATES</t>
  </si>
  <si>
    <t>COMBINED COMMUNITY ACTION INC</t>
  </si>
  <si>
    <t>COMMUNITY COFFEE COMPANY LLC</t>
  </si>
  <si>
    <t>COMMUNITY HEALTH CENTERS</t>
  </si>
  <si>
    <t>CONNIE CAMERON RABEL</t>
  </si>
  <si>
    <t>CONNIE SCHROEDER</t>
  </si>
  <si>
    <t>="13</t>
  </si>
  <si>
    <t>651  12/27/18"</t>
  </si>
  <si>
    <t>CONTECH ENGINEERED SOLUTIONS INC</t>
  </si>
  <si>
    <t>CONVERGENCE CABLING  INC.</t>
  </si>
  <si>
    <t>COOK'S CORRECTIONAL</t>
  </si>
  <si>
    <t>COUNTY OF BEXAR - SHERIFF</t>
  </si>
  <si>
    <t>BENNY R COX</t>
  </si>
  <si>
    <t>CUSTOM PRODUCTS CORPORATION</t>
  </si>
  <si>
    <t>CYDNEY CRIDER</t>
  </si>
  <si>
    <t>D &amp; A WIRE ROPE  INC</t>
  </si>
  <si>
    <t>DALLAS COUNTY CONSTABLE PCT 1</t>
  </si>
  <si>
    <t>DAN HAYES</t>
  </si>
  <si>
    <t>DANA SAFETY SUPPLY  INC.</t>
  </si>
  <si>
    <t>DANIEL ACKER</t>
  </si>
  <si>
    <t>DAVE ERNST MUNDINE</t>
  </si>
  <si>
    <t>DAVID B BROOKS</t>
  </si>
  <si>
    <t>DAVID GONZALEZ</t>
  </si>
  <si>
    <t>JOHN DAVID LEWIS</t>
  </si>
  <si>
    <t>DELL</t>
  </si>
  <si>
    <t>DENTRUST DENTAL TX PC</t>
  </si>
  <si>
    <t>DICKENS LOCKSMITH INC</t>
  </si>
  <si>
    <t>DEPARTMENT OF INFORMATION RESOURCES</t>
  </si>
  <si>
    <t>DISCOUNT DOOR &amp; METAL  LLC</t>
  </si>
  <si>
    <t>DISCOUNT FEEDS &amp; SUPPLIES</t>
  </si>
  <si>
    <t>DOBIE SUPPLY LLC</t>
  </si>
  <si>
    <t>DONNIE STARK</t>
  </si>
  <si>
    <t>DOUBLE D INTERNATIONAL FOOD CO.  INC.</t>
  </si>
  <si>
    <t>DOUBLE TUFF TRUCK TARPS INC</t>
  </si>
  <si>
    <t>DUNNE &amp; JUAREZ L.L.C.</t>
  </si>
  <si>
    <t>DURAN GRAVEL CO. INC</t>
  </si>
  <si>
    <t>EARL J GREMILLION</t>
  </si>
  <si>
    <t>ECOLAB INC</t>
  </si>
  <si>
    <t>BLACKLANDS PUBLICATIONS INC</t>
  </si>
  <si>
    <t>ELGIN'S CLASSIC  HOME  INC</t>
  </si>
  <si>
    <t>CITY OF ELGIN UTILITIES</t>
  </si>
  <si>
    <t>ELLIOTT ELECTRIC SUPPLY INC</t>
  </si>
  <si>
    <t>ELSA NEREYDA OVIEDO FLORES</t>
  </si>
  <si>
    <t>ENVIRONMENTAL SYSTEMS RESEARCH INSTITUTE  INC</t>
  </si>
  <si>
    <t>ERIN NICKEL</t>
  </si>
  <si>
    <t>EUGENE C BLOMSTROM</t>
  </si>
  <si>
    <t>NB 35 HOTEL  LP</t>
  </si>
  <si>
    <t>BASTROP COUNTY WOMEN'S SHELTER</t>
  </si>
  <si>
    <t>FAMILY HEALTH CENTER OF BASTROP PLLC</t>
  </si>
  <si>
    <t>FAYETTE MEDICAL SUPPLY</t>
  </si>
  <si>
    <t>FIRST NATIONAL BANK BASTROP</t>
  </si>
  <si>
    <t>="14</t>
  </si>
  <si>
    <t>861  12/27/18"</t>
  </si>
  <si>
    <t>FLASHBACK DATA  LLC</t>
  </si>
  <si>
    <t>FLEETPRIDE</t>
  </si>
  <si>
    <t>FLORENCE BEHAVIN</t>
  </si>
  <si>
    <t>FORENSIC ANALYTICAL SCIENCES INC.</t>
  </si>
  <si>
    <t>FORREST L. SANDERSON</t>
  </si>
  <si>
    <t>FRANCES HUNTER</t>
  </si>
  <si>
    <t>FRANK SCHINDLER</t>
  </si>
  <si>
    <t>AUSTIN TRUCK AND EQUIPMENT  LTD</t>
  </si>
  <si>
    <t>EUGENE W BRIGGS JR</t>
  </si>
  <si>
    <t>GARLAND T MURLEY</t>
  </si>
  <si>
    <t>GARMENTS TO GO  INC</t>
  </si>
  <si>
    <t>GERALD L. BYINGTON</t>
  </si>
  <si>
    <t>GRAINGER INC</t>
  </si>
  <si>
    <t>GRAPEVINE DODGE CHRYSLER JEEP  LLC</t>
  </si>
  <si>
    <t>GREATER ELGIN CHAMBER OF COMMERCE</t>
  </si>
  <si>
    <t>GRETCHEN SIMS SWEEN</t>
  </si>
  <si>
    <t>GT DISTRIBUTORS  INC.</t>
  </si>
  <si>
    <t>GULF COAST PAPER CO. INC.</t>
  </si>
  <si>
    <t>VERTEX ENERGY  INC.</t>
  </si>
  <si>
    <t>HALFF ASSOCIATES</t>
  </si>
  <si>
    <t>HEALTHSOUTH SURGICAL HOSPITAL</t>
  </si>
  <si>
    <t>HEARTLAND QUARRIES  LLC</t>
  </si>
  <si>
    <t>HENGST PRINTING &amp; SUPPLIES</t>
  </si>
  <si>
    <t>BUTLER ANIMAL HEALTH</t>
  </si>
  <si>
    <t>HERSHCAP BACKHOE &amp; DITCHING  INC.</t>
  </si>
  <si>
    <t>="10</t>
  </si>
  <si>
    <t>658  12/13/18"</t>
  </si>
  <si>
    <t>BASCOM L HODGES JR</t>
  </si>
  <si>
    <t>HODGSON G ECKEL</t>
  </si>
  <si>
    <t>HOGAN HENDERSON</t>
  </si>
  <si>
    <t>BD HOLT CO</t>
  </si>
  <si>
    <t>CITIBANK (SOUTH DAKOTA)N.A./THE HOME DEPOT</t>
  </si>
  <si>
    <t>HUDSON ENERGY CORP</t>
  </si>
  <si>
    <t>HUNTER TEDFORD</t>
  </si>
  <si>
    <t>HYDRAULIC HOUSE INC</t>
  </si>
  <si>
    <t>IDW LLC</t>
  </si>
  <si>
    <t>INDIGENT HEALTHCARE SOLUTIONS</t>
  </si>
  <si>
    <t>IPC HEALTHCARE SERVICES OF TEXAS</t>
  </si>
  <si>
    <t>IRON MOUNTAIN RECORDS MGMT INC</t>
  </si>
  <si>
    <t>J D LANGLEY</t>
  </si>
  <si>
    <t>JAMES O. BURKE</t>
  </si>
  <si>
    <t>JENKINS &amp; JENKINS LLP</t>
  </si>
  <si>
    <t>862"</t>
  </si>
  <si>
    <t>JAMES MORGAN</t>
  </si>
  <si>
    <t>JOE KING</t>
  </si>
  <si>
    <t>JOHN DEERE FINANCIAL f.s.b.</t>
  </si>
  <si>
    <t>JOHN MICKELSON</t>
  </si>
  <si>
    <t>JOHNNIE REESE</t>
  </si>
  <si>
    <t>JOHNNIE SCHROEDER JR</t>
  </si>
  <si>
    <t>JORDAN KALBAS</t>
  </si>
  <si>
    <t>JBI  LTD</t>
  </si>
  <si>
    <t>JUSTIN MATTHEW FOHN</t>
  </si>
  <si>
    <t>KAREN STARKS</t>
  </si>
  <si>
    <t>="8</t>
  </si>
  <si>
    <t>898  12/14/18"</t>
  </si>
  <si>
    <t>KELLIE BAILEY</t>
  </si>
  <si>
    <t>KENT BROUSSARD TOWER RENTAL INC</t>
  </si>
  <si>
    <t>KING'S PORTABLE THRONES</t>
  </si>
  <si>
    <t>KNIGHT SECURITY SYSTEMS LLC</t>
  </si>
  <si>
    <t>KOETTER FIRE PROTECTION OF AUSTIN  LLC</t>
  </si>
  <si>
    <t>KOLTON CATCHINGS</t>
  </si>
  <si>
    <t>LONGHORN INTERNATIONAL TRUCKS LTD</t>
  </si>
  <si>
    <t>THE LA GRANGE PARTS HOUSE INC</t>
  </si>
  <si>
    <t>LABATT INSTITUTIONAL SUPPLY CO</t>
  </si>
  <si>
    <t>LAKE COUNTRY CHEVROLET  INC.</t>
  </si>
  <si>
    <t>LAURA ROBERTSON</t>
  </si>
  <si>
    <t>LAURENCE DUNNE  II</t>
  </si>
  <si>
    <t>LUCIO LEAL</t>
  </si>
  <si>
    <t>AUSTIN LT  INC.</t>
  </si>
  <si>
    <t>LEXISNEXIS RISK DATA MGMT INC</t>
  </si>
  <si>
    <t>LINDA HARMON-TAX ASSESSOR</t>
  </si>
  <si>
    <t>LLOYD GOSSELINK ROCHELLE &amp; TOWNSEND. PC</t>
  </si>
  <si>
    <t>LOGAN DODD</t>
  </si>
  <si>
    <t>LONE STAR CIRCLE OF CARE</t>
  </si>
  <si>
    <t>UNITED KWB COLLABORATIONS LLC</t>
  </si>
  <si>
    <t>LONGHORN EMERGENCY MEDICAL ASSOC PA</t>
  </si>
  <si>
    <t>LONNIE LAWRENCE DAVIS JR</t>
  </si>
  <si>
    <t>LORI STIFFLEMIRE</t>
  </si>
  <si>
    <t>LOWE'S</t>
  </si>
  <si>
    <t>LYN TURNER</t>
  </si>
  <si>
    <t>GABRIEL CARRASCO</t>
  </si>
  <si>
    <t>MAGIC TOUCH CLEANING SYSTEMS LLC</t>
  </si>
  <si>
    <t>MARIA MARTINEZ - LENNAR HOMES LTD</t>
  </si>
  <si>
    <t>MARILYN MORRIS</t>
  </si>
  <si>
    <t>MARISCO'S LA COSTA</t>
  </si>
  <si>
    <t>MARK DOUGLAS CUNNINGHAM</t>
  </si>
  <si>
    <t>MARK T. MALONE  M.D. P.A</t>
  </si>
  <si>
    <t>JOHN W GASPARINI INC</t>
  </si>
  <si>
    <t>MARY BETH SCOTT</t>
  </si>
  <si>
    <t>MATHESON TRI-GAS INC</t>
  </si>
  <si>
    <t>MATTHEW J. MENDEL  PhD  PC</t>
  </si>
  <si>
    <t>McCOY'S BUILDING SUPPLY CENTER</t>
  </si>
  <si>
    <t>McCREARY  VESELKA  BRAGG &amp; ALLEN P</t>
  </si>
  <si>
    <t>MEDIMPACT HEALTHCARE SYSTEMS INC</t>
  </si>
  <si>
    <t>MEGAN FAITH ANDERSON</t>
  </si>
  <si>
    <t>MIDTEX MATERIALS</t>
  </si>
  <si>
    <t>GALLS  LLC</t>
  </si>
  <si>
    <t>Family Crisis Center</t>
  </si>
  <si>
    <t>Children's Advocacy Center</t>
  </si>
  <si>
    <t>Child Protective Services</t>
  </si>
  <si>
    <t>RICKY PECK ADAMS</t>
  </si>
  <si>
    <t>ROBIN JOHNSON LUCK</t>
  </si>
  <si>
    <t>MARTHA JAN LUTON</t>
  </si>
  <si>
    <t>CARL LEE MEEKS</t>
  </si>
  <si>
    <t>ZACHARY JOSHUA MERINO</t>
  </si>
  <si>
    <t>REX ALLEN MYERS</t>
  </si>
  <si>
    <t>CHRISTOPHER DONOVAN NEU</t>
  </si>
  <si>
    <t>DALLAS WAYNE NEWLIN</t>
  </si>
  <si>
    <t>ESMERALDA RAMOS</t>
  </si>
  <si>
    <t>CHELSEA MARIE RAWLINGS</t>
  </si>
  <si>
    <t>DEWAYNE EARL RICHARDSON</t>
  </si>
  <si>
    <t>MARK NEWTON SMITH</t>
  </si>
  <si>
    <t>DAVID ROLLAND SAGER</t>
  </si>
  <si>
    <t>GRAYSON DEWITT LEE</t>
  </si>
  <si>
    <t>SHAUN PATRICK SWEATMAN</t>
  </si>
  <si>
    <t>REBECCA LYNN TAYLOR</t>
  </si>
  <si>
    <t>PAMELA SAMANTHA TELLO</t>
  </si>
  <si>
    <t>BRYCE JAMES USHER</t>
  </si>
  <si>
    <t>RUSSELL WAYNE VAN CLEEF</t>
  </si>
  <si>
    <t>TIMOTHY JOHN VAN-ALLEN</t>
  </si>
  <si>
    <t>JUAN GUTIERREZ VINTON</t>
  </si>
  <si>
    <t>MICHELLE RENEE WENZEL</t>
  </si>
  <si>
    <t>SANDRA SCIPLES RICKS</t>
  </si>
  <si>
    <t>RAYMOND LEAL</t>
  </si>
  <si>
    <t>MOLLY KRISTIAN HENSON</t>
  </si>
  <si>
    <t>DANIEL RAY HICKS</t>
  </si>
  <si>
    <t>PATRICIA MEEKE BASS</t>
  </si>
  <si>
    <t>LARONNA KAYE BRADFORD</t>
  </si>
  <si>
    <t>JERAMY JOSEPH BRECKLES</t>
  </si>
  <si>
    <t>DONALD SCOTT BROWN II</t>
  </si>
  <si>
    <t>DEAN HARRISON BROWN</t>
  </si>
  <si>
    <t>KIMBERLY SUZANNE BUSH</t>
  </si>
  <si>
    <t>CHARLES KELLY CAMPBELL</t>
  </si>
  <si>
    <t>CESAR JAVIER CANO</t>
  </si>
  <si>
    <t>LATANZA MICHELLE CLARK</t>
  </si>
  <si>
    <t>LESLIE LEON CURRY</t>
  </si>
  <si>
    <t>TERESA DARLENE KADERKA</t>
  </si>
  <si>
    <t>ANNE BACON DAYLONG</t>
  </si>
  <si>
    <t>JASON MICHAEL FARRIS</t>
  </si>
  <si>
    <t>AMANDA F FRICKE</t>
  </si>
  <si>
    <t>AUGUST ALEX FUCHS</t>
  </si>
  <si>
    <t>JAMES EVERETT GARON</t>
  </si>
  <si>
    <t>CALVIN RAY GILMORE</t>
  </si>
  <si>
    <t>ROSEMARY Y GONZALES</t>
  </si>
  <si>
    <t>CARMEN GONZALEZ</t>
  </si>
  <si>
    <t>LEON CALVIN HALL</t>
  </si>
  <si>
    <t>BRYCE ALLEN HANNA</t>
  </si>
  <si>
    <t>RONALD JAY WESSON</t>
  </si>
  <si>
    <t>YVETTE MARIE EMMRICH</t>
  </si>
  <si>
    <t>RICKY LEE WILSON</t>
  </si>
  <si>
    <t>ADREA LETRICE BRIDGEMAN</t>
  </si>
  <si>
    <t>WILLIAM BERNARD BARNES JR</t>
  </si>
  <si>
    <t>JERRIMY DANNIEL PEREZ</t>
  </si>
  <si>
    <t>ROSA ISABEL BAZAN</t>
  </si>
  <si>
    <t>RONALD DEAN REYNOLDS</t>
  </si>
  <si>
    <t>CHRISTINE DEE CHRISPEN</t>
  </si>
  <si>
    <t>KENNETH ALFONS KASPAR</t>
  </si>
  <si>
    <t>DEANNA MARIE BODINE</t>
  </si>
  <si>
    <t>MADELAINE MORTON SEAY</t>
  </si>
  <si>
    <t>STERLIN GEORG DENAE RIVERS</t>
  </si>
  <si>
    <t>CARLOS MIGUEL LOPEZ</t>
  </si>
  <si>
    <t>GRANT CURTIS HENNIG</t>
  </si>
  <si>
    <t>JUAN RODRIGUEZ MIRELES</t>
  </si>
  <si>
    <t>MATTHEW ALLEN WOERNDELL</t>
  </si>
  <si>
    <t>ENES BALANDRAN JR</t>
  </si>
  <si>
    <t>THOMAS JAMES STANISLAV</t>
  </si>
  <si>
    <t>DARRELL LEE BELLINGHAUSEN</t>
  </si>
  <si>
    <t>SERGE ALISON PONTEJOS</t>
  </si>
  <si>
    <t>LUIS ALFREDO GUEVARA</t>
  </si>
  <si>
    <t>MARKEISHA RUTH WHITE</t>
  </si>
  <si>
    <t>MARY HERNANDEZ RUBALCABA</t>
  </si>
  <si>
    <t>JOAN MARIE SWANSON</t>
  </si>
  <si>
    <t>MARIANNE ELIZABETH ALVES</t>
  </si>
  <si>
    <t>ADRIAN ALEJANDRO VARGAS MOSELE</t>
  </si>
  <si>
    <t>BARRY PEREZ</t>
  </si>
  <si>
    <t>SCOTT JULIAN LIRIANO</t>
  </si>
  <si>
    <t>JASON MATTHEW FARLEY</t>
  </si>
  <si>
    <t>RICKY NOELL</t>
  </si>
  <si>
    <t>MARTIN DAVID GIBSON</t>
  </si>
  <si>
    <t>ASA FROST POTTER</t>
  </si>
  <si>
    <t>JOSEPH EDWARD GRUNINGER</t>
  </si>
  <si>
    <t>JEFFREY RUSSELL KRITZ</t>
  </si>
  <si>
    <t>MICHELLE LYNN HARRIS</t>
  </si>
  <si>
    <t>MELANIE MARLENE EASLEY</t>
  </si>
  <si>
    <t>JOHN MICHAEL COON</t>
  </si>
  <si>
    <t>ELIZABETH RICHVOLDSEN</t>
  </si>
  <si>
    <t>DAVID EARL MCMULLEN</t>
  </si>
  <si>
    <t>BRUCE WAYNE CALVERY</t>
  </si>
  <si>
    <t>CHARL ANN MICK</t>
  </si>
  <si>
    <t>ARRION SAVINO ESPINOZA</t>
  </si>
  <si>
    <t>DIXIE ANN KING</t>
  </si>
  <si>
    <t>ROBYNE M TAYLOR</t>
  </si>
  <si>
    <t>LENNART DAVID ADAMS</t>
  </si>
  <si>
    <t>MAIRA LORENA GORMAN</t>
  </si>
  <si>
    <t>VALERIE CHRISTINA MILLER</t>
  </si>
  <si>
    <t>DESTINY KEANDRIA CHEREE HIGGIN</t>
  </si>
  <si>
    <t>KENNETH KARL KNEBEL</t>
  </si>
  <si>
    <t>COOPER REED CARTER</t>
  </si>
  <si>
    <t>GEORGE WILFORD UPTAIN JR</t>
  </si>
  <si>
    <t>ALLISON JUNE STRESING</t>
  </si>
  <si>
    <t>LORI DAWN HAMILTON</t>
  </si>
  <si>
    <t>GREGORY BRUCE CLOER</t>
  </si>
  <si>
    <t>ROEL FLORES</t>
  </si>
  <si>
    <t>KATHRYN KAY WELCH</t>
  </si>
  <si>
    <t>CLAYTON L LAMBERTY</t>
  </si>
  <si>
    <t>KENNETH RAY WINES</t>
  </si>
  <si>
    <t>MOORE MEDICAL LLC</t>
  </si>
  <si>
    <t>MORRIS &amp; MCCLIMON ATTORNEYS AT LAW  PLLC</t>
  </si>
  <si>
    <t>MOTOROLA INC</t>
  </si>
  <si>
    <t>NALCO COMPANY LLC</t>
  </si>
  <si>
    <t>NALLEY HVAC MECHANICAL LLC</t>
  </si>
  <si>
    <t>CHARLES NATHAN BASTIAN</t>
  </si>
  <si>
    <t>NATIONAL FOOD GROUP INC</t>
  </si>
  <si>
    <t>NEMO-Q INC</t>
  </si>
  <si>
    <t>JOHN NIXON</t>
  </si>
  <si>
    <t>NORMAN SHARP</t>
  </si>
  <si>
    <t>O'REILLY AUTOMOTIVE  INC.</t>
  </si>
  <si>
    <t>SOUTHERN FOODS GROUP LP</t>
  </si>
  <si>
    <t>OFFICE DEPOT</t>
  </si>
  <si>
    <t>OMNIBASE SERVICES OF TEXAS LP</t>
  </si>
  <si>
    <t>ROGER C. OSBORN</t>
  </si>
  <si>
    <t>TAYMARK</t>
  </si>
  <si>
    <t>SL PARKER PARTNERSHIP LLC</t>
  </si>
  <si>
    <t>PATTERSON  VETERINARY SUPPLY INC</t>
  </si>
  <si>
    <t>PERDUE  BRANDON  FIELDER  COLLINS &amp; MOTT LLP</t>
  </si>
  <si>
    <t>PHILIP R DUCLOUX</t>
  </si>
  <si>
    <t>CLYDE HAYWOOD SR</t>
  </si>
  <si>
    <t>PB PROFESSIONAL SERVICES INC</t>
  </si>
  <si>
    <t>PITNEY BOWES GLOBAL FINANCIAL SERVICES</t>
  </si>
  <si>
    <t>AMERICAN PIZZA PARTNERS LP</t>
  </si>
  <si>
    <t>PM WILSON &amp; ASSOCIATES PLLC</t>
  </si>
  <si>
    <t>POST OAK HARDWARE  INC.</t>
  </si>
  <si>
    <t>PUBLIC AGENCY TRAINING COUNCIL</t>
  </si>
  <si>
    <t>R.R. BRINK LOCKING SYSTEMS INC</t>
  </si>
  <si>
    <t>NESTLE WATERS N AMERICA INC</t>
  </si>
  <si>
    <t>RED WING BUSINESS ADVANTAGE ACCOUNT</t>
  </si>
  <si>
    <t>RICOH USA INC</t>
  </si>
  <si>
    <t>CIT TECHNOLOGY FINANCE</t>
  </si>
  <si>
    <t>MIKE DAVIS</t>
  </si>
  <si>
    <t>ROADRUNNER RADIOLOGY EQUIP LLC</t>
  </si>
  <si>
    <t>ROBERT BENNETT</t>
  </si>
  <si>
    <t>ROBERT MADDEN INDUSTRIES LTD</t>
  </si>
  <si>
    <t>ROSE PIETSCH</t>
  </si>
  <si>
    <t>ROSE PIETSCH COUNTY CLERK</t>
  </si>
  <si>
    <t>RUBEN JUAREZ</t>
  </si>
  <si>
    <t>RUSH CHEVROLET LLC</t>
  </si>
  <si>
    <t>TRAVIS CNTY DOMESTIC VIOLENCE &amp; SEXUAL ASSAULT</t>
  </si>
  <si>
    <t>SAM'S RADIATOR  INC</t>
  </si>
  <si>
    <t>SAMELLA WILLIAMS</t>
  </si>
  <si>
    <t>SAMMY LERMA III MD</t>
  </si>
  <si>
    <t>SANDRA MARTIN</t>
  </si>
  <si>
    <t>SECURETECH SYSTEMS  INC.</t>
  </si>
  <si>
    <t>SETON HEALTHCARE SPONSORED PROJECTS</t>
  </si>
  <si>
    <t>SHARON HANCOCK</t>
  </si>
  <si>
    <t>962  12/13/18"</t>
  </si>
  <si>
    <t>FERRELLGAS  LP</t>
  </si>
  <si>
    <t>SHI GOVERNMENT SOLUTIONS INC.</t>
  </si>
  <si>
    <t>SHOPPA'S FARM SUPPLY</t>
  </si>
  <si>
    <t>SHRED-IT US HOLDCO  INC</t>
  </si>
  <si>
    <t>SIGNATURE SMILES</t>
  </si>
  <si>
    <t>SIMPSON SEPTIC INCORPORATED</t>
  </si>
  <si>
    <t>SMITH STORES  INC.</t>
  </si>
  <si>
    <t>SMITHVILLE AUTO PARTS  INC</t>
  </si>
  <si>
    <t>SOLARWINDS</t>
  </si>
  <si>
    <t>LAVACA COUNTY OFFICE SUPPLY  INC</t>
  </si>
  <si>
    <t>SOUTHERN TIRE MART LLC</t>
  </si>
  <si>
    <t>DS WATERS OF AMERICA INC</t>
  </si>
  <si>
    <t>SPARKLETTS &amp; SIERRA SPRINGS</t>
  </si>
  <si>
    <t>SPECIALTY VETERINARY PHARMACY INC</t>
  </si>
  <si>
    <t>SPILLAR CUSTOM HITCHES INC</t>
  </si>
  <si>
    <t>SRIDHAR P REDDY MD PA</t>
  </si>
  <si>
    <t>ST. DAVIDS HEART &amp; VASCULAR  PLLC</t>
  </si>
  <si>
    <t>ST.DAVID'S HEALTHCARE PARTNERSHIP</t>
  </si>
  <si>
    <t>STAPLES ADVANTAGE</t>
  </si>
  <si>
    <t>STATE OF TEXAS</t>
  </si>
  <si>
    <t>STEPHEN A. THORNE  PHD  PLLC</t>
  </si>
  <si>
    <t>STEPHEN R BECK</t>
  </si>
  <si>
    <t>STERICYCLE  INC.</t>
  </si>
  <si>
    <t>STEVE GRANADO</t>
  </si>
  <si>
    <t>STEVEN A LOGSDON</t>
  </si>
  <si>
    <t>SUE GURKA</t>
  </si>
  <si>
    <t>MATTHEW LEE SULLINS</t>
  </si>
  <si>
    <t>SUN COAST RESOURCES</t>
  </si>
  <si>
    <t>SUPERCIRCUITS INC.</t>
  </si>
  <si>
    <t>T-MOBILE USA</t>
  </si>
  <si>
    <t>TAMMI JUNE HOLLAND</t>
  </si>
  <si>
    <t>TARRANT COUNTY CONSTABLE PCT 6</t>
  </si>
  <si>
    <t>TOTAL ADMINISTRATIVE SERVICES CORPORATION</t>
  </si>
  <si>
    <t>TAVCO SERVICES INC</t>
  </si>
  <si>
    <t>TAYLOR AUTO ELECTRIC INC.</t>
  </si>
  <si>
    <t>TEXAS DISTRICT &amp; COUNTY ATTORNEYS ASSOCIATION</t>
  </si>
  <si>
    <t>TEJAS ELEVATOR COMPANY</t>
  </si>
  <si>
    <t>TERRILL L FLENNIKEN</t>
  </si>
  <si>
    <t>TEX-CON OIL CO</t>
  </si>
  <si>
    <t>TEXAS AGGREGATES  LLC</t>
  </si>
  <si>
    <t>TEXAS ASSOCIATES INSURORS AGENCY</t>
  </si>
  <si>
    <t>TEXAS ASSOCIATION OF COUNTIES</t>
  </si>
  <si>
    <t>TEXAS CRUSHED STONE CO.</t>
  </si>
  <si>
    <t>TEXAS DEPT OF MOTOR VEHICLES</t>
  </si>
  <si>
    <t>TEXAS DEPT OF PUBLIC SAFETY</t>
  </si>
  <si>
    <t>="16</t>
  </si>
  <si>
    <t>235  12/13/18"</t>
  </si>
  <si>
    <t>STACEY DEVILLE</t>
  </si>
  <si>
    <t>TEXAS JUSTICE COURT TRAINING CENTER</t>
  </si>
  <si>
    <t>TEXAS ONCOLOGY</t>
  </si>
  <si>
    <t>TEXAS PARKS &amp; WILDLIFE DEPARTMENT</t>
  </si>
  <si>
    <t>TEXAS VISION CLINIC  PLLC</t>
  </si>
  <si>
    <t>BUG MASTER EXTERMINATING SERVICES  LTD</t>
  </si>
  <si>
    <t>RICHARD NELSON MOORE</t>
  </si>
  <si>
    <t>THE NITSCHE GROUP</t>
  </si>
  <si>
    <t>THE TRAVELERS INDEMNITY COMPANY</t>
  </si>
  <si>
    <t>WEST PUBLISHING CORPORATION</t>
  </si>
  <si>
    <t>TIM MAHONEY  ATTORNEY AT LAW  PC</t>
  </si>
  <si>
    <t>TWE-ADVANCE/NEWHOUSE PARTNERSHIP</t>
  </si>
  <si>
    <t>TRACTOR SUPPLY CREDIT PLAN</t>
  </si>
  <si>
    <t>TRAVIS COUNTY CONSTABLE PCT 5</t>
  </si>
  <si>
    <t>TRAVIS COUNTY EMERGENCY PHYSICIANS PA</t>
  </si>
  <si>
    <t>TRAVIS COUNTY MEDICAL EXAMINER</t>
  </si>
  <si>
    <t>KAUFFMAN TIRE</t>
  </si>
  <si>
    <t>TREY MOORE</t>
  </si>
  <si>
    <t>SETON FAMILY OF DOCTORS</t>
  </si>
  <si>
    <t>TROY WALTERS</t>
  </si>
  <si>
    <t>THE SITHE GROUP  LLC</t>
  </si>
  <si>
    <t>TULL FARLEY</t>
  </si>
  <si>
    <t>LINDA WALKER</t>
  </si>
  <si>
    <t>TX COMMISSION ON ENVIRONMENTAL QUALITY</t>
  </si>
  <si>
    <t>TX DEPT OF MOTOR VEHICLES</t>
  </si>
  <si>
    <t>COUFAL-PRATER EQUIPMENT  LLC</t>
  </si>
  <si>
    <t>SETON FAMILY OF HOSPITALS</t>
  </si>
  <si>
    <t>UNIVERSITY OF TEXAS</t>
  </si>
  <si>
    <t>UNITED PARCEL SERVICE</t>
  </si>
  <si>
    <t>VINCENT J. UHDE</t>
  </si>
  <si>
    <t>TEXAS DEPARTMENT OF STATE HEALTH SERVICES</t>
  </si>
  <si>
    <t>US BANK NA</t>
  </si>
  <si>
    <t>WALLER COUNTY ASPHALT INC</t>
  </si>
  <si>
    <t>WALMART COMMUNITY BRC</t>
  </si>
  <si>
    <t>WASTE CONNECTIONS LONE STAR. INC.</t>
  </si>
  <si>
    <t>WASTE MANAGEMENT OF TEXAS INC</t>
  </si>
  <si>
    <t>WIND KNOT INCORPORATED</t>
  </si>
  <si>
    <t>COBRA EQUIPMENT RENTALS</t>
  </si>
  <si>
    <t>WEBB SUPPLY COMPANY  INC.</t>
  </si>
  <si>
    <t>MAO PHARMACY INC</t>
  </si>
  <si>
    <t>WILLIAM WAGNER</t>
  </si>
  <si>
    <t>WILLIAMSON COUNTY CONSTABLE PCT 4</t>
  </si>
  <si>
    <t>WILLIAMSON COUNTY CONSTABLE PCT 1</t>
  </si>
  <si>
    <t>XEROX CORPORATION</t>
  </si>
  <si>
    <t>YOLANDA WHEATON</t>
  </si>
  <si>
    <t>YOUNGS PROFESSIONAL SERVICES  LLC</t>
  </si>
  <si>
    <t>ZOETIS US LLC</t>
  </si>
  <si>
    <t>ZORO TOOLS INC</t>
  </si>
  <si>
    <t>BEFCO ENGINEERING INC</t>
  </si>
  <si>
    <t>COMMUNITY TRUCKING</t>
  </si>
  <si>
    <t>FIRST NATIONAL BANK</t>
  </si>
  <si>
    <t>I PLOW.COM LLC</t>
  </si>
  <si>
    <t>KIRKSEY ARCHITECTS  INC.</t>
  </si>
  <si>
    <t>LANGFORD COMMUNITY MGMT INC</t>
  </si>
  <si>
    <t>MARK WHITE</t>
  </si>
  <si>
    <t>MUSTANG MACHINERY COMPANY LTD</t>
  </si>
  <si>
    <t>PARK CONTRACTORS  INC</t>
  </si>
  <si>
    <t>SPEED FAB-CRETE CORPORATION</t>
  </si>
  <si>
    <t>TRAILBOSS TRAILERS INC</t>
  </si>
  <si>
    <t>TRAVIS MATERIALS GROUP LTD</t>
  </si>
  <si>
    <t>TREEFOLKS INC</t>
  </si>
  <si>
    <t>WINCHESTER VFD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</si>
  <si>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</si>
  <si>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</si>
  <si>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</si>
  <si>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</si>
  <si>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</si>
  <si>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</si>
  <si>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</si>
  <si>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</si>
  <si>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MARY CASEY</t>
  </si>
  <si>
    <t>MICHIGAN STATE DISBURSEMENT UNIT(MiSDU)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</si>
  <si>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</si>
  <si>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</si>
  <si>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</si>
  <si>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</si>
  <si>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</si>
  <si>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TEXAS GUARANTEED STUDENT LOAN CORPORATION</t>
  </si>
  <si>
    <t>THOMAS GOODNIGHT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</si>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</sst>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6"/>
  <sheetViews>
    <sheetView tabSelected="1" topLeftCell="A2935" workbookViewId="0">
      <selection activeCell="C2967" sqref="C2967"/>
    </sheetView>
  </sheetViews>
  <sheetFormatPr defaultRowHeight="15" x14ac:dyDescent="0.25"/>
  <cols>
    <col min="1" max="1" width="49.2851562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0.28515625" bestFit="1" customWidth="1"/>
    <col min="6" max="6" width="35" bestFit="1" customWidth="1"/>
    <col min="7" max="7" width="32.5703125" style="2" bestFit="1" customWidth="1"/>
    <col min="8" max="8" width="3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283</v>
      </c>
      <c r="C2" s="2">
        <v>608.88</v>
      </c>
      <c r="D2" s="1">
        <v>43480</v>
      </c>
      <c r="E2" t="str">
        <f>"17079588"</f>
        <v>17079588</v>
      </c>
      <c r="F2" t="str">
        <f>"Lanyard  Folder"</f>
        <v>Lanyard  Folder</v>
      </c>
      <c r="G2" s="2">
        <v>608.88</v>
      </c>
      <c r="H2" t="str">
        <f>"Item# 114377-53"</f>
        <v>Item# 114377-53</v>
      </c>
    </row>
    <row r="3" spans="1:8" x14ac:dyDescent="0.25">
      <c r="E3" t="str">
        <f>""</f>
        <v/>
      </c>
      <c r="F3" t="str">
        <f>""</f>
        <v/>
      </c>
      <c r="H3" t="str">
        <f>"Freight"</f>
        <v>Freight</v>
      </c>
    </row>
    <row r="4" spans="1:8" x14ac:dyDescent="0.25">
      <c r="E4" t="str">
        <f>""</f>
        <v/>
      </c>
      <c r="F4" t="str">
        <f>""</f>
        <v/>
      </c>
      <c r="H4" t="str">
        <f>"Item# 144145"</f>
        <v>Item# 144145</v>
      </c>
    </row>
    <row r="5" spans="1:8" x14ac:dyDescent="0.25">
      <c r="E5" t="str">
        <f>""</f>
        <v/>
      </c>
      <c r="F5" t="str">
        <f>""</f>
        <v/>
      </c>
      <c r="H5" t="str">
        <f>"Freight"</f>
        <v>Freight</v>
      </c>
    </row>
    <row r="6" spans="1:8" x14ac:dyDescent="0.25">
      <c r="E6" t="str">
        <f>""</f>
        <v/>
      </c>
      <c r="F6" t="str">
        <f>""</f>
        <v/>
      </c>
      <c r="H6" t="str">
        <f>"Set-up charge"</f>
        <v>Set-up charge</v>
      </c>
    </row>
    <row r="7" spans="1:8" x14ac:dyDescent="0.25">
      <c r="A7" t="s">
        <v>9</v>
      </c>
      <c r="B7">
        <v>80305</v>
      </c>
      <c r="C7" s="2">
        <v>7160.68</v>
      </c>
      <c r="D7" s="1">
        <v>43479</v>
      </c>
      <c r="E7" t="str">
        <f>"9725-001-104962"</f>
        <v>9725-001-104962</v>
      </c>
      <c r="F7" t="str">
        <f t="shared" ref="F7:F16" si="0">"ACCT#9725-001/REC BASE/PCT#2"</f>
        <v>ACCT#9725-001/REC BASE/PCT#2</v>
      </c>
      <c r="G7" s="2">
        <v>212.8</v>
      </c>
      <c r="H7" t="str">
        <f t="shared" ref="H7:H16" si="1">"ACCT#9725-001/REC BASE/PCT#2"</f>
        <v>ACCT#9725-001/REC BASE/PCT#2</v>
      </c>
    </row>
    <row r="8" spans="1:8" x14ac:dyDescent="0.25">
      <c r="E8" t="str">
        <f>"9725-001-105004"</f>
        <v>9725-001-105004</v>
      </c>
      <c r="F8" t="str">
        <f t="shared" si="0"/>
        <v>ACCT#9725-001/REC BASE/PCT#2</v>
      </c>
      <c r="G8" s="2">
        <v>833.62</v>
      </c>
      <c r="H8" t="str">
        <f t="shared" si="1"/>
        <v>ACCT#9725-001/REC BASE/PCT#2</v>
      </c>
    </row>
    <row r="9" spans="1:8" x14ac:dyDescent="0.25">
      <c r="E9" t="str">
        <f>"9725-001-105036"</f>
        <v>9725-001-105036</v>
      </c>
      <c r="F9" t="str">
        <f t="shared" si="0"/>
        <v>ACCT#9725-001/REC BASE/PCT#2</v>
      </c>
      <c r="G9" s="2">
        <v>1065.1400000000001</v>
      </c>
      <c r="H9" t="str">
        <f t="shared" si="1"/>
        <v>ACCT#9725-001/REC BASE/PCT#2</v>
      </c>
    </row>
    <row r="10" spans="1:8" x14ac:dyDescent="0.25">
      <c r="E10" t="str">
        <f>"9725-001-105060"</f>
        <v>9725-001-105060</v>
      </c>
      <c r="F10" t="str">
        <f t="shared" si="0"/>
        <v>ACCT#9725-001/REC BASE/PCT#2</v>
      </c>
      <c r="G10" s="2">
        <v>420</v>
      </c>
      <c r="H10" t="str">
        <f t="shared" si="1"/>
        <v>ACCT#9725-001/REC BASE/PCT#2</v>
      </c>
    </row>
    <row r="11" spans="1:8" x14ac:dyDescent="0.25">
      <c r="E11" t="str">
        <f>"9725-001-105089"</f>
        <v>9725-001-105089</v>
      </c>
      <c r="F11" t="str">
        <f t="shared" si="0"/>
        <v>ACCT#9725-001/REC BASE/PCT#2</v>
      </c>
      <c r="G11" s="2">
        <v>805.87</v>
      </c>
      <c r="H11" t="str">
        <f t="shared" si="1"/>
        <v>ACCT#9725-001/REC BASE/PCT#2</v>
      </c>
    </row>
    <row r="12" spans="1:8" x14ac:dyDescent="0.25">
      <c r="E12" t="str">
        <f>"9725-001-105137"</f>
        <v>9725-001-105137</v>
      </c>
      <c r="F12" t="str">
        <f t="shared" si="0"/>
        <v>ACCT#9725-001/REC BASE/PCT#2</v>
      </c>
      <c r="G12" s="2">
        <v>626.77</v>
      </c>
      <c r="H12" t="str">
        <f t="shared" si="1"/>
        <v>ACCT#9725-001/REC BASE/PCT#2</v>
      </c>
    </row>
    <row r="13" spans="1:8" x14ac:dyDescent="0.25">
      <c r="E13" t="str">
        <f>"9725-001-105208"</f>
        <v>9725-001-105208</v>
      </c>
      <c r="F13" t="str">
        <f t="shared" si="0"/>
        <v>ACCT#9725-001/REC BASE/PCT#2</v>
      </c>
      <c r="G13" s="2">
        <v>1374.19</v>
      </c>
      <c r="H13" t="str">
        <f t="shared" si="1"/>
        <v>ACCT#9725-001/REC BASE/PCT#2</v>
      </c>
    </row>
    <row r="14" spans="1:8" x14ac:dyDescent="0.25">
      <c r="E14" t="str">
        <f>"9725-001-105222"</f>
        <v>9725-001-105222</v>
      </c>
      <c r="F14" t="str">
        <f t="shared" si="0"/>
        <v>ACCT#9725-001/REC BASE/PCT#2</v>
      </c>
      <c r="G14" s="2">
        <v>1615.61</v>
      </c>
      <c r="H14" t="str">
        <f t="shared" si="1"/>
        <v>ACCT#9725-001/REC BASE/PCT#2</v>
      </c>
    </row>
    <row r="15" spans="1:8" x14ac:dyDescent="0.25">
      <c r="E15" t="str">
        <f>"9725-001-105233"</f>
        <v>9725-001-105233</v>
      </c>
      <c r="F15" t="str">
        <f t="shared" si="0"/>
        <v>ACCT#9725-001/REC BASE/PCT#2</v>
      </c>
      <c r="G15" s="2">
        <v>206.68</v>
      </c>
      <c r="H15" t="str">
        <f t="shared" si="1"/>
        <v>ACCT#9725-001/REC BASE/PCT#2</v>
      </c>
    </row>
    <row r="16" spans="1:8" x14ac:dyDescent="0.25">
      <c r="A16" t="s">
        <v>9</v>
      </c>
      <c r="B16">
        <v>80637</v>
      </c>
      <c r="C16" s="2">
        <v>41975.41</v>
      </c>
      <c r="D16" s="1">
        <v>43493</v>
      </c>
      <c r="E16" t="str">
        <f>"9725-001-105258"</f>
        <v>9725-001-105258</v>
      </c>
      <c r="F16" t="str">
        <f t="shared" si="0"/>
        <v>ACCT#9725-001/REC BASE/PCT#2</v>
      </c>
      <c r="G16" s="2">
        <v>8228.2099999999991</v>
      </c>
      <c r="H16" t="str">
        <f t="shared" si="1"/>
        <v>ACCT#9725-001/REC BASE/PCT#2</v>
      </c>
    </row>
    <row r="17" spans="1:8" x14ac:dyDescent="0.25">
      <c r="E17" t="str">
        <f>"9725-001-105289"</f>
        <v>9725-001-105289</v>
      </c>
      <c r="F17" t="str">
        <f>"ACCT#9725/REC BASE/PCT#2"</f>
        <v>ACCT#9725/REC BASE/PCT#2</v>
      </c>
      <c r="G17" s="2">
        <v>424.72</v>
      </c>
      <c r="H17" t="str">
        <f>"ACCT#9725/REC BASE/PCT#2"</f>
        <v>ACCT#9725/REC BASE/PCT#2</v>
      </c>
    </row>
    <row r="18" spans="1:8" x14ac:dyDescent="0.25">
      <c r="E18" t="str">
        <f>"9725-001-105324"</f>
        <v>9725-001-105324</v>
      </c>
      <c r="F18" t="str">
        <f>"ACCT#9725/REC BASE/PCT#2"</f>
        <v>ACCT#9725/REC BASE/PCT#2</v>
      </c>
      <c r="G18" s="2">
        <v>195.3</v>
      </c>
      <c r="H18" t="str">
        <f>"ACCT#9725/REC BASE/PCT#2"</f>
        <v>ACCT#9725/REC BASE/PCT#2</v>
      </c>
    </row>
    <row r="19" spans="1:8" x14ac:dyDescent="0.25">
      <c r="E19" t="str">
        <f>"9725-001-105355"</f>
        <v>9725-001-105355</v>
      </c>
      <c r="F19" t="str">
        <f>"ACCT#9725-001/REC BASE/PCT#2"</f>
        <v>ACCT#9725-001/REC BASE/PCT#2</v>
      </c>
      <c r="G19" s="2">
        <v>4514.43</v>
      </c>
      <c r="H19" t="str">
        <f>"ACCT#9725-001/REC BASE/PCT#2"</f>
        <v>ACCT#9725-001/REC BASE/PCT#2</v>
      </c>
    </row>
    <row r="20" spans="1:8" x14ac:dyDescent="0.25">
      <c r="E20" t="str">
        <f>"9725-001-105383"</f>
        <v>9725-001-105383</v>
      </c>
      <c r="F20" t="str">
        <f>"ACCT#9725/REC BASE/PCT#2"</f>
        <v>ACCT#9725/REC BASE/PCT#2</v>
      </c>
      <c r="G20" s="2">
        <v>1042.92</v>
      </c>
      <c r="H20" t="str">
        <f>"ACCT#9725/REC BASE/PCT#2"</f>
        <v>ACCT#9725/REC BASE/PCT#2</v>
      </c>
    </row>
    <row r="21" spans="1:8" x14ac:dyDescent="0.25">
      <c r="E21" t="str">
        <f>"9725-001-105418"</f>
        <v>9725-001-105418</v>
      </c>
      <c r="F21" t="str">
        <f>"ACCT#9725-001/REC BASE/PCT#2"</f>
        <v>ACCT#9725-001/REC BASE/PCT#2</v>
      </c>
      <c r="G21" s="2">
        <v>7491.38</v>
      </c>
      <c r="H21" t="str">
        <f>"ACCT#9725-001/REC BASE/PCT#2"</f>
        <v>ACCT#9725-001/REC BASE/PCT#2</v>
      </c>
    </row>
    <row r="22" spans="1:8" x14ac:dyDescent="0.25">
      <c r="E22" t="str">
        <f>"9725-001-105457"</f>
        <v>9725-001-105457</v>
      </c>
      <c r="F22" t="str">
        <f>"ACCT#9725-001/REC BASE/PCT#2"</f>
        <v>ACCT#9725-001/REC BASE/PCT#2</v>
      </c>
      <c r="G22" s="2">
        <v>3483.23</v>
      </c>
      <c r="H22" t="str">
        <f>"ACCT#9725-001/REC BASE/PCT#2"</f>
        <v>ACCT#9725-001/REC BASE/PCT#2</v>
      </c>
    </row>
    <row r="23" spans="1:8" x14ac:dyDescent="0.25">
      <c r="E23" t="str">
        <f>"9725-001-105494"</f>
        <v>9725-001-105494</v>
      </c>
      <c r="F23" t="str">
        <f>"ACCT#9725/REC BASE/PCT#2"</f>
        <v>ACCT#9725/REC BASE/PCT#2</v>
      </c>
      <c r="G23" s="2">
        <v>223.04</v>
      </c>
      <c r="H23" t="str">
        <f>"ACCT#9725/REC BASE/PCT#2"</f>
        <v>ACCT#9725/REC BASE/PCT#2</v>
      </c>
    </row>
    <row r="24" spans="1:8" x14ac:dyDescent="0.25">
      <c r="E24" t="str">
        <f>"9725-001-105496"</f>
        <v>9725-001-105496</v>
      </c>
      <c r="F24" t="str">
        <f>"ACCT#9725-001/REC BASE/PCT#2"</f>
        <v>ACCT#9725-001/REC BASE/PCT#2</v>
      </c>
      <c r="G24" s="2">
        <v>5372.3</v>
      </c>
      <c r="H24" t="str">
        <f>"ACCT#9725-001/REC BASE/PCT#2"</f>
        <v>ACCT#9725-001/REC BASE/PCT#2</v>
      </c>
    </row>
    <row r="25" spans="1:8" x14ac:dyDescent="0.25">
      <c r="E25" t="str">
        <f>"9725-001-105524"</f>
        <v>9725-001-105524</v>
      </c>
      <c r="F25" t="str">
        <f>"ACCT#9725-001/REC BASE/PCT#2"</f>
        <v>ACCT#9725-001/REC BASE/PCT#2</v>
      </c>
      <c r="G25" s="2">
        <v>7958.36</v>
      </c>
      <c r="H25" t="str">
        <f>"ACCT#9725-001/REC BASE/PCT#2"</f>
        <v>ACCT#9725-001/REC BASE/PCT#2</v>
      </c>
    </row>
    <row r="26" spans="1:8" x14ac:dyDescent="0.25">
      <c r="E26" t="str">
        <f>"9725-001-105551"</f>
        <v>9725-001-105551</v>
      </c>
      <c r="F26" t="str">
        <f>"ACCT#9725/REC BASE/PCT#2"</f>
        <v>ACCT#9725/REC BASE/PCT#2</v>
      </c>
      <c r="G26" s="2">
        <v>396.82</v>
      </c>
      <c r="H26" t="str">
        <f>"ACCT#9725/REC BASE/PCT#2"</f>
        <v>ACCT#9725/REC BASE/PCT#2</v>
      </c>
    </row>
    <row r="27" spans="1:8" x14ac:dyDescent="0.25">
      <c r="E27" t="str">
        <f>"9725-001-105585"</f>
        <v>9725-001-105585</v>
      </c>
      <c r="F27" t="str">
        <f>"ACCT#9725-001/REC BASE/PCT#2"</f>
        <v>ACCT#9725-001/REC BASE/PCT#2</v>
      </c>
      <c r="G27" s="2">
        <v>975.98</v>
      </c>
      <c r="H27" t="str">
        <f>"ACCT#9725-001/REC BASE/PCT#2"</f>
        <v>ACCT#9725-001/REC BASE/PCT#2</v>
      </c>
    </row>
    <row r="28" spans="1:8" x14ac:dyDescent="0.25">
      <c r="E28" t="str">
        <f>"9725-004-105436"</f>
        <v>9725-004-105436</v>
      </c>
      <c r="F28" t="str">
        <f>"ACCT#9725-004/REC BASE/PCT#1"</f>
        <v>ACCT#9725-004/REC BASE/PCT#1</v>
      </c>
      <c r="G28" s="2">
        <v>187.16</v>
      </c>
      <c r="H28" t="str">
        <f>"ACCT#9725-004/REC BASE/PCT#1"</f>
        <v>ACCT#9725-004/REC BASE/PCT#1</v>
      </c>
    </row>
    <row r="29" spans="1:8" x14ac:dyDescent="0.25">
      <c r="E29" t="str">
        <f>"9725-004-105469"</f>
        <v>9725-004-105469</v>
      </c>
      <c r="F29" t="str">
        <f>"ACCT#9725-004/REC BASE/PCT#1"</f>
        <v>ACCT#9725-004/REC BASE/PCT#1</v>
      </c>
      <c r="G29" s="2">
        <v>496.04</v>
      </c>
      <c r="H29" t="str">
        <f>"ACCT#9725-004/REC BASE/PCT#1"</f>
        <v>ACCT#9725-004/REC BASE/PCT#1</v>
      </c>
    </row>
    <row r="30" spans="1:8" x14ac:dyDescent="0.25">
      <c r="E30" t="str">
        <f>"9725-004-105510"</f>
        <v>9725-004-105510</v>
      </c>
      <c r="F30" t="str">
        <f>"ACCT#9725-004/REC BASE/PCT#1"</f>
        <v>ACCT#9725-004/REC BASE/PCT#1</v>
      </c>
      <c r="G30" s="2">
        <v>705.34</v>
      </c>
      <c r="H30" t="str">
        <f>"ACCT#9725-004/REC BASE/PCT#1"</f>
        <v>ACCT#9725-004/REC BASE/PCT#1</v>
      </c>
    </row>
    <row r="31" spans="1:8" x14ac:dyDescent="0.25">
      <c r="E31" t="str">
        <f>"9725-004-105536"</f>
        <v>9725-004-105536</v>
      </c>
      <c r="F31" t="str">
        <f>"ACCT#9725-004/REC BASE/PCT#1"</f>
        <v>ACCT#9725-004/REC BASE/PCT#1</v>
      </c>
      <c r="G31" s="2">
        <v>280.18</v>
      </c>
      <c r="H31" t="str">
        <f>"ACCT#9725-004/REC BASE/PCT#1"</f>
        <v>ACCT#9725-004/REC BASE/PCT#1</v>
      </c>
    </row>
    <row r="32" spans="1:8" x14ac:dyDescent="0.25">
      <c r="A32" t="s">
        <v>10</v>
      </c>
      <c r="B32">
        <v>80638</v>
      </c>
      <c r="C32" s="2">
        <v>45</v>
      </c>
      <c r="D32" s="1">
        <v>43493</v>
      </c>
      <c r="E32" t="str">
        <f>"201901166591"</f>
        <v>201901166591</v>
      </c>
      <c r="F32" t="str">
        <f>"REFUND BAIL BOND COUPONS"</f>
        <v>REFUND BAIL BOND COUPONS</v>
      </c>
      <c r="G32" s="2">
        <v>45</v>
      </c>
      <c r="H32" t="str">
        <f>"REFUND BAIL BOND COUPONS"</f>
        <v>REFUND BAIL BOND COUPONS</v>
      </c>
    </row>
    <row r="33" spans="1:8" x14ac:dyDescent="0.25">
      <c r="A33" t="s">
        <v>11</v>
      </c>
      <c r="B33">
        <v>80306</v>
      </c>
      <c r="C33" s="2">
        <v>591.95000000000005</v>
      </c>
      <c r="D33" s="1">
        <v>43479</v>
      </c>
      <c r="E33" t="str">
        <f>"201901026085"</f>
        <v>201901026085</v>
      </c>
      <c r="F33" t="str">
        <f>"CUST ID:16500/STMT#331183/P4"</f>
        <v>CUST ID:16500/STMT#331183/P4</v>
      </c>
      <c r="G33" s="2">
        <v>591.95000000000005</v>
      </c>
      <c r="H33" t="str">
        <f>"CUST ID:16500/STMT#331183/P4"</f>
        <v>CUST ID:16500/STMT#331183/P4</v>
      </c>
    </row>
    <row r="34" spans="1:8" x14ac:dyDescent="0.25">
      <c r="A34" t="s">
        <v>12</v>
      </c>
      <c r="B34">
        <v>287</v>
      </c>
      <c r="C34" s="2">
        <v>39258.639999999999</v>
      </c>
      <c r="D34" s="1">
        <v>43480</v>
      </c>
      <c r="E34" t="str">
        <f>"201901086443"</f>
        <v>201901086443</v>
      </c>
      <c r="F34" t="str">
        <f>"HAULING EXPS 12/13-01/04/PCT#1"</f>
        <v>HAULING EXPS 12/13-01/04/PCT#1</v>
      </c>
      <c r="G34" s="2">
        <v>13357.26</v>
      </c>
      <c r="H34" t="str">
        <f>"HAULING EXPS 12/13-01/04/PCT#1"</f>
        <v>HAULING EXPS 12/13-01/04/PCT#1</v>
      </c>
    </row>
    <row r="35" spans="1:8" x14ac:dyDescent="0.25">
      <c r="E35" t="str">
        <f>"201901086447"</f>
        <v>201901086447</v>
      </c>
      <c r="F35" t="str">
        <f>"HAULING EXPS 12/13-01/03/P4"</f>
        <v>HAULING EXPS 12/13-01/03/P4</v>
      </c>
      <c r="G35" s="2">
        <v>25901.38</v>
      </c>
      <c r="H35" t="str">
        <f>"HAULING EXPS 12/13-01/03/P4"</f>
        <v>HAULING EXPS 12/13-01/03/P4</v>
      </c>
    </row>
    <row r="36" spans="1:8" x14ac:dyDescent="0.25">
      <c r="A36" t="s">
        <v>12</v>
      </c>
      <c r="B36">
        <v>351</v>
      </c>
      <c r="C36" s="2">
        <v>30789.16</v>
      </c>
      <c r="D36" s="1">
        <v>43494</v>
      </c>
      <c r="E36" t="str">
        <f>"201901226715"</f>
        <v>201901226715</v>
      </c>
      <c r="F36" t="str">
        <f>"HAULING EXPS 01/08-01/17/PCT#1"</f>
        <v>HAULING EXPS 01/08-01/17/PCT#1</v>
      </c>
      <c r="G36" s="2">
        <v>13832.1</v>
      </c>
      <c r="H36" t="str">
        <f>"HAULING EXPS 01/08-01/17/PCT#1"</f>
        <v>HAULING EXPS 01/08-01/17/PCT#1</v>
      </c>
    </row>
    <row r="37" spans="1:8" x14ac:dyDescent="0.25">
      <c r="E37" t="str">
        <f>"201901226718"</f>
        <v>201901226718</v>
      </c>
      <c r="F37" t="str">
        <f>"HAULING EXPS 01/08-01/21/PCT#4"</f>
        <v>HAULING EXPS 01/08-01/21/PCT#4</v>
      </c>
      <c r="G37" s="2">
        <v>16957.060000000001</v>
      </c>
      <c r="H37" t="str">
        <f>"HAULING EXPS 01/08-01/21/PCT#4"</f>
        <v>HAULING EXPS 01/08-01/21/PCT#4</v>
      </c>
    </row>
    <row r="38" spans="1:8" x14ac:dyDescent="0.25">
      <c r="A38" t="s">
        <v>13</v>
      </c>
      <c r="B38">
        <v>80307</v>
      </c>
      <c r="C38" s="2">
        <v>1167.5</v>
      </c>
      <c r="D38" s="1">
        <v>43479</v>
      </c>
      <c r="E38" t="str">
        <f>"201901096482"</f>
        <v>201901096482</v>
      </c>
      <c r="F38" t="str">
        <f>"14-16404"</f>
        <v>14-16404</v>
      </c>
      <c r="G38" s="2">
        <v>412.5</v>
      </c>
      <c r="H38" t="str">
        <f>"14-16404"</f>
        <v>14-16404</v>
      </c>
    </row>
    <row r="39" spans="1:8" x14ac:dyDescent="0.25">
      <c r="E39" t="str">
        <f>"201901096484"</f>
        <v>201901096484</v>
      </c>
      <c r="F39" t="str">
        <f>"17-18392"</f>
        <v>17-18392</v>
      </c>
      <c r="G39" s="2">
        <v>347.5</v>
      </c>
      <c r="H39" t="str">
        <f>"17-18392"</f>
        <v>17-18392</v>
      </c>
    </row>
    <row r="40" spans="1:8" x14ac:dyDescent="0.25">
      <c r="E40" t="str">
        <f>"201901096485"</f>
        <v>201901096485</v>
      </c>
      <c r="F40" t="str">
        <f>"18-19016"</f>
        <v>18-19016</v>
      </c>
      <c r="G40" s="2">
        <v>37.5</v>
      </c>
      <c r="H40" t="str">
        <f>"18-19016"</f>
        <v>18-19016</v>
      </c>
    </row>
    <row r="41" spans="1:8" x14ac:dyDescent="0.25">
      <c r="E41" t="str">
        <f>"201901096486"</f>
        <v>201901096486</v>
      </c>
      <c r="F41" t="str">
        <f>"18-19321"</f>
        <v>18-19321</v>
      </c>
      <c r="G41" s="2">
        <v>90</v>
      </c>
      <c r="H41" t="str">
        <f>"18-19321"</f>
        <v>18-19321</v>
      </c>
    </row>
    <row r="42" spans="1:8" x14ac:dyDescent="0.25">
      <c r="E42" t="str">
        <f>"201901096488"</f>
        <v>201901096488</v>
      </c>
      <c r="F42" t="str">
        <f>"14-16907"</f>
        <v>14-16907</v>
      </c>
      <c r="G42" s="2">
        <v>37.5</v>
      </c>
      <c r="H42" t="str">
        <f>"14-16907"</f>
        <v>14-16907</v>
      </c>
    </row>
    <row r="43" spans="1:8" x14ac:dyDescent="0.25">
      <c r="E43" t="str">
        <f>"201901096489"</f>
        <v>201901096489</v>
      </c>
      <c r="F43" t="str">
        <f>"18-19093"</f>
        <v>18-19093</v>
      </c>
      <c r="G43" s="2">
        <v>242.5</v>
      </c>
      <c r="H43" t="str">
        <f>"18-19093"</f>
        <v>18-19093</v>
      </c>
    </row>
    <row r="44" spans="1:8" x14ac:dyDescent="0.25">
      <c r="A44" t="s">
        <v>14</v>
      </c>
      <c r="B44">
        <v>80308</v>
      </c>
      <c r="C44" s="2">
        <v>2400</v>
      </c>
      <c r="D44" s="1">
        <v>43479</v>
      </c>
      <c r="E44" t="str">
        <f>"201812286000"</f>
        <v>201812286000</v>
      </c>
      <c r="F44" t="str">
        <f>"1JP119184  1JP119182"</f>
        <v>1JP119184  1JP119182</v>
      </c>
      <c r="G44" s="2">
        <v>600</v>
      </c>
      <c r="H44" t="str">
        <f>"1JP119184  1JP119182"</f>
        <v>1JP119184  1JP119182</v>
      </c>
    </row>
    <row r="45" spans="1:8" x14ac:dyDescent="0.25">
      <c r="E45" t="str">
        <f>"201812286001"</f>
        <v>201812286001</v>
      </c>
      <c r="F45" t="str">
        <f>"NO CAUSE # LISTED"</f>
        <v>NO CAUSE # LISTED</v>
      </c>
      <c r="G45" s="2">
        <v>900</v>
      </c>
      <c r="H45" t="str">
        <f>"NO CAUSE # LISTED"</f>
        <v>NO CAUSE # LISTED</v>
      </c>
    </row>
    <row r="46" spans="1:8" x14ac:dyDescent="0.25">
      <c r="E46" t="str">
        <f>"201812286002"</f>
        <v>201812286002</v>
      </c>
      <c r="F46" t="str">
        <f>"NO CAUSE # LISTED"</f>
        <v>NO CAUSE # LISTED</v>
      </c>
      <c r="G46" s="2">
        <v>900</v>
      </c>
      <c r="H46" t="str">
        <f>"NO CAUSE # LISTED"</f>
        <v>NO CAUSE # LISTED</v>
      </c>
    </row>
    <row r="47" spans="1:8" x14ac:dyDescent="0.25">
      <c r="A47" t="s">
        <v>15</v>
      </c>
      <c r="B47">
        <v>292</v>
      </c>
      <c r="C47" s="2">
        <v>501.3</v>
      </c>
      <c r="D47" s="1">
        <v>43480</v>
      </c>
      <c r="E47" t="str">
        <f>"201812285994"</f>
        <v>201812285994</v>
      </c>
      <c r="F47" t="str">
        <f>"PER DIEM"</f>
        <v>PER DIEM</v>
      </c>
      <c r="G47" s="2">
        <v>120</v>
      </c>
      <c r="H47" t="str">
        <f>"PER DIEM"</f>
        <v>PER DIEM</v>
      </c>
    </row>
    <row r="48" spans="1:8" x14ac:dyDescent="0.25">
      <c r="E48" t="str">
        <f>"201812285995"</f>
        <v>201812285995</v>
      </c>
      <c r="F48" t="str">
        <f>"RODEO BOOTH REGISTRATION"</f>
        <v>RODEO BOOTH REGISTRATION</v>
      </c>
      <c r="G48" s="2">
        <v>104.3</v>
      </c>
      <c r="H48" t="str">
        <f>"RODEO BOOTH REGISTRATION"</f>
        <v>RODEO BOOTH REGISTRATION</v>
      </c>
    </row>
    <row r="49" spans="1:8" x14ac:dyDescent="0.25">
      <c r="E49" t="str">
        <f>"201901026074"</f>
        <v>201901026074</v>
      </c>
      <c r="F49" t="str">
        <f>"REIMBURSE EXPENSES"</f>
        <v>REIMBURSE EXPENSES</v>
      </c>
      <c r="G49" s="2">
        <v>150</v>
      </c>
      <c r="H49" t="str">
        <f>"REIMBURSE EXPENSES"</f>
        <v>REIMBURSE EXPENSES</v>
      </c>
    </row>
    <row r="50" spans="1:8" x14ac:dyDescent="0.25">
      <c r="E50" t="str">
        <f>"201901046366"</f>
        <v>201901046366</v>
      </c>
      <c r="F50" t="str">
        <f>"REIMBURSE-LUNCH/EVENT/BADGE"</f>
        <v>REIMBURSE-LUNCH/EVENT/BADGE</v>
      </c>
      <c r="G50" s="2">
        <v>127</v>
      </c>
      <c r="H50" t="str">
        <f>"REIMBURSE-LUNCH/EVENT/BADGE"</f>
        <v>REIMBURSE-LUNCH/EVENT/BADGE</v>
      </c>
    </row>
    <row r="51" spans="1:8" x14ac:dyDescent="0.25">
      <c r="A51" t="s">
        <v>15</v>
      </c>
      <c r="B51">
        <v>357</v>
      </c>
      <c r="C51" s="2">
        <v>521.92999999999995</v>
      </c>
      <c r="D51" s="1">
        <v>43494</v>
      </c>
      <c r="E51" t="str">
        <f>"201901226711"</f>
        <v>201901226711</v>
      </c>
      <c r="F51" t="str">
        <f>"REIMBURSE MAIL/PARKING"</f>
        <v>REIMBURSE MAIL/PARKING</v>
      </c>
      <c r="G51" s="2">
        <v>110</v>
      </c>
      <c r="H51" t="str">
        <f>"REIMBURSE MAIL/PARKING"</f>
        <v>REIMBURSE MAIL/PARKING</v>
      </c>
    </row>
    <row r="52" spans="1:8" x14ac:dyDescent="0.25">
      <c r="E52" t="str">
        <f>"201901226712"</f>
        <v>201901226712</v>
      </c>
      <c r="F52" t="str">
        <f>"REIMBURSE HOTEL EXPENSES"</f>
        <v>REIMBURSE HOTEL EXPENSES</v>
      </c>
      <c r="G52" s="2">
        <v>411.93</v>
      </c>
      <c r="H52" t="str">
        <f>"REIMBURSE HOTEL EXPENSES"</f>
        <v>REIMBURSE HOTEL EXPENSES</v>
      </c>
    </row>
    <row r="53" spans="1:8" x14ac:dyDescent="0.25">
      <c r="A53" t="s">
        <v>16</v>
      </c>
      <c r="B53">
        <v>80309</v>
      </c>
      <c r="C53" s="2">
        <v>774.59</v>
      </c>
      <c r="D53" s="1">
        <v>43479</v>
      </c>
      <c r="E53" t="str">
        <f>"6452521"</f>
        <v>6452521</v>
      </c>
      <c r="F53" t="str">
        <f>"CUST#17295/PCT#3"</f>
        <v>CUST#17295/PCT#3</v>
      </c>
      <c r="G53" s="2">
        <v>774.59</v>
      </c>
      <c r="H53" t="str">
        <f>"CUST#17295/PCT#3"</f>
        <v>CUST#17295/PCT#3</v>
      </c>
    </row>
    <row r="54" spans="1:8" x14ac:dyDescent="0.25">
      <c r="E54" t="str">
        <f>""</f>
        <v/>
      </c>
      <c r="F54" t="str">
        <f>""</f>
        <v/>
      </c>
      <c r="H54" t="str">
        <f>"CUST#17295/PCT#3"</f>
        <v>CUST#17295/PCT#3</v>
      </c>
    </row>
    <row r="55" spans="1:8" x14ac:dyDescent="0.25">
      <c r="A55" t="s">
        <v>17</v>
      </c>
      <c r="B55">
        <v>80639</v>
      </c>
      <c r="C55" s="2">
        <v>10</v>
      </c>
      <c r="D55" s="1">
        <v>43493</v>
      </c>
      <c r="E55" t="str">
        <f>"201901176661"</f>
        <v>201901176661</v>
      </c>
      <c r="F55" t="str">
        <f>"FERAL HOGS"</f>
        <v>FERAL HOGS</v>
      </c>
      <c r="G55" s="2">
        <v>10</v>
      </c>
      <c r="H55" t="str">
        <f>"FERAL HOGS"</f>
        <v>FERAL HOGS</v>
      </c>
    </row>
    <row r="56" spans="1:8" x14ac:dyDescent="0.25">
      <c r="A56" t="s">
        <v>18</v>
      </c>
      <c r="B56">
        <v>323</v>
      </c>
      <c r="C56" s="2">
        <v>2450</v>
      </c>
      <c r="D56" s="1">
        <v>43480</v>
      </c>
      <c r="E56" t="str">
        <f>"201812286022"</f>
        <v>201812286022</v>
      </c>
      <c r="F56" t="str">
        <f>"15738"</f>
        <v>15738</v>
      </c>
      <c r="G56" s="2">
        <v>1450</v>
      </c>
      <c r="H56" t="str">
        <f>"15738"</f>
        <v>15738</v>
      </c>
    </row>
    <row r="57" spans="1:8" x14ac:dyDescent="0.25">
      <c r="E57" t="str">
        <f>"201812286023"</f>
        <v>201812286023</v>
      </c>
      <c r="F57" t="str">
        <f>"312172017B"</f>
        <v>312172017B</v>
      </c>
      <c r="G57" s="2">
        <v>100</v>
      </c>
      <c r="H57" t="str">
        <f>"312172017B"</f>
        <v>312172017B</v>
      </c>
    </row>
    <row r="58" spans="1:8" x14ac:dyDescent="0.25">
      <c r="E58" t="str">
        <f>"201812286024"</f>
        <v>201812286024</v>
      </c>
      <c r="F58" t="str">
        <f>"17-01507  20170260"</f>
        <v>17-01507  20170260</v>
      </c>
      <c r="G58" s="2">
        <v>100</v>
      </c>
      <c r="H58" t="str">
        <f>"17-01507  20170260"</f>
        <v>17-01507  20170260</v>
      </c>
    </row>
    <row r="59" spans="1:8" x14ac:dyDescent="0.25">
      <c r="E59" t="str">
        <f>"201812286025"</f>
        <v>201812286025</v>
      </c>
      <c r="F59" t="str">
        <f>"16278"</f>
        <v>16278</v>
      </c>
      <c r="G59" s="2">
        <v>800</v>
      </c>
      <c r="H59" t="str">
        <f>"16278"</f>
        <v>16278</v>
      </c>
    </row>
    <row r="60" spans="1:8" x14ac:dyDescent="0.25">
      <c r="A60" t="s">
        <v>18</v>
      </c>
      <c r="B60">
        <v>383</v>
      </c>
      <c r="C60" s="2">
        <v>100</v>
      </c>
      <c r="D60" s="1">
        <v>43494</v>
      </c>
      <c r="E60" t="str">
        <f>"201901156578"</f>
        <v>201901156578</v>
      </c>
      <c r="F60" t="str">
        <f>"4236216"</f>
        <v>4236216</v>
      </c>
      <c r="G60" s="2">
        <v>100</v>
      </c>
      <c r="H60" t="str">
        <f>"4236216"</f>
        <v>4236216</v>
      </c>
    </row>
    <row r="61" spans="1:8" x14ac:dyDescent="0.25">
      <c r="A61" t="s">
        <v>19</v>
      </c>
      <c r="B61">
        <v>80310</v>
      </c>
      <c r="C61" s="2">
        <v>117.99</v>
      </c>
      <c r="D61" s="1">
        <v>43479</v>
      </c>
      <c r="E61" t="str">
        <f>"201812286030"</f>
        <v>201812286030</v>
      </c>
      <c r="F61" t="str">
        <f>"ATTORNEY GENERAL DOCKET"</f>
        <v>ATTORNEY GENERAL DOCKET</v>
      </c>
      <c r="G61" s="2">
        <v>117.99</v>
      </c>
      <c r="H61" t="str">
        <f>"ATTORNEY GENERAL DOCKET"</f>
        <v>ATTORNEY GENERAL DOCKET</v>
      </c>
    </row>
    <row r="62" spans="1:8" x14ac:dyDescent="0.25">
      <c r="A62" t="s">
        <v>20</v>
      </c>
      <c r="B62">
        <v>312</v>
      </c>
      <c r="C62" s="2">
        <v>1739.18</v>
      </c>
      <c r="D62" s="1">
        <v>43480</v>
      </c>
      <c r="E62" t="str">
        <f>"31747294"</f>
        <v>31747294</v>
      </c>
      <c r="F62" t="str">
        <f>"ORD#10760481/PCT#4"</f>
        <v>ORD#10760481/PCT#4</v>
      </c>
      <c r="G62" s="2">
        <v>552.41</v>
      </c>
      <c r="H62" t="str">
        <f>"ORD#10760481/PCT#4"</f>
        <v>ORD#10760481/PCT#4</v>
      </c>
    </row>
    <row r="63" spans="1:8" x14ac:dyDescent="0.25">
      <c r="E63" t="str">
        <f>"31747302"</f>
        <v>31747302</v>
      </c>
      <c r="F63" t="str">
        <f>"ORD#10760484/PCT#4"</f>
        <v>ORD#10760484/PCT#4</v>
      </c>
      <c r="G63" s="2">
        <v>602.6</v>
      </c>
      <c r="H63" t="str">
        <f>"ORD#10760484/PCT#4"</f>
        <v>ORD#10760484/PCT#4</v>
      </c>
    </row>
    <row r="64" spans="1:8" x14ac:dyDescent="0.25">
      <c r="E64" t="str">
        <f>"31747309"</f>
        <v>31747309</v>
      </c>
      <c r="F64" t="str">
        <f>"ORD#10760486/PCT#4"</f>
        <v>ORD#10760486/PCT#4</v>
      </c>
      <c r="G64" s="2">
        <v>584.16999999999996</v>
      </c>
      <c r="H64" t="str">
        <f>"ORD#10760486/PCT#4"</f>
        <v>ORD#10760486/PCT#4</v>
      </c>
    </row>
    <row r="65" spans="1:8" x14ac:dyDescent="0.25">
      <c r="A65" t="s">
        <v>21</v>
      </c>
      <c r="B65">
        <v>80640</v>
      </c>
      <c r="C65" s="2">
        <v>1000</v>
      </c>
      <c r="D65" s="1">
        <v>43493</v>
      </c>
      <c r="E65" t="str">
        <f>"201901226721"</f>
        <v>201901226721</v>
      </c>
      <c r="F65" t="str">
        <f>"SURGICAL SVCS JAN 17 &amp; 22"</f>
        <v>SURGICAL SVCS JAN 17 &amp; 22</v>
      </c>
      <c r="G65" s="2">
        <v>1000</v>
      </c>
      <c r="H65" t="str">
        <f>"SURGICAL SVCS JAN 17 &amp; 22"</f>
        <v>SURGICAL SVCS JAN 17 &amp; 22</v>
      </c>
    </row>
    <row r="66" spans="1:8" x14ac:dyDescent="0.25">
      <c r="A66" t="s">
        <v>22</v>
      </c>
      <c r="B66">
        <v>80641</v>
      </c>
      <c r="C66" s="2">
        <v>474</v>
      </c>
      <c r="D66" s="1">
        <v>43493</v>
      </c>
      <c r="E66" t="str">
        <f>"34652"</f>
        <v>34652</v>
      </c>
      <c r="F66" t="str">
        <f>"RENTAL-601 COOL WATER/PCT#1"</f>
        <v>RENTAL-601 COOL WATER/PCT#1</v>
      </c>
      <c r="G66" s="2">
        <v>215</v>
      </c>
      <c r="H66" t="str">
        <f>"RENTAL-601 COOL WATER/PCT#1"</f>
        <v>RENTAL-601 COOL WATER/PCT#1</v>
      </c>
    </row>
    <row r="67" spans="1:8" x14ac:dyDescent="0.25">
      <c r="E67" t="str">
        <f>"34653"</f>
        <v>34653</v>
      </c>
      <c r="F67" t="str">
        <f>"RENTAL-375 RIVERSIDE"</f>
        <v>RENTAL-375 RIVERSIDE</v>
      </c>
      <c r="G67" s="2">
        <v>259</v>
      </c>
      <c r="H67" t="str">
        <f>"RENTAL-375 RIVERSIDE"</f>
        <v>RENTAL-375 RIVERSIDE</v>
      </c>
    </row>
    <row r="68" spans="1:8" x14ac:dyDescent="0.25">
      <c r="A68" t="s">
        <v>23</v>
      </c>
      <c r="B68">
        <v>305</v>
      </c>
      <c r="C68" s="2">
        <v>141.91</v>
      </c>
      <c r="D68" s="1">
        <v>43480</v>
      </c>
      <c r="E68" t="str">
        <f>"1TW3-7NCY-D9FK"</f>
        <v>1TW3-7NCY-D9FK</v>
      </c>
      <c r="F68" t="str">
        <f>"Motor Trend Mat Set"</f>
        <v>Motor Trend Mat Set</v>
      </c>
      <c r="G68" s="2">
        <v>63.32</v>
      </c>
      <c r="H68" t="str">
        <f>"Motor Trend Mat Set"</f>
        <v>Motor Trend Mat Set</v>
      </c>
    </row>
    <row r="69" spans="1:8" x14ac:dyDescent="0.25">
      <c r="E69" t="str">
        <f>"1V4K-N1QV-KH1J"</f>
        <v>1V4K-N1QV-KH1J</v>
      </c>
      <c r="F69" t="str">
        <f>"Keyboard for IPAD"</f>
        <v>Keyboard for IPAD</v>
      </c>
      <c r="G69" s="2">
        <v>78.59</v>
      </c>
      <c r="H69" t="str">
        <f>"Keyboard for IPAD"</f>
        <v>Keyboard for IPAD</v>
      </c>
    </row>
    <row r="70" spans="1:8" x14ac:dyDescent="0.25">
      <c r="A70" t="s">
        <v>23</v>
      </c>
      <c r="B70">
        <v>80642</v>
      </c>
      <c r="C70" s="2">
        <v>1137.7</v>
      </c>
      <c r="D70" s="1">
        <v>43493</v>
      </c>
      <c r="E70" t="str">
        <f>"1D97-T6KC-NC94"</f>
        <v>1D97-T6KC-NC94</v>
      </c>
      <c r="F70" t="str">
        <f>"items for Office"</f>
        <v>items for Office</v>
      </c>
      <c r="G70" s="2">
        <v>78.069999999999993</v>
      </c>
      <c r="H70" t="str">
        <f>"memory Card"</f>
        <v>memory Card</v>
      </c>
    </row>
    <row r="71" spans="1:8" x14ac:dyDescent="0.25">
      <c r="E71" t="str">
        <f>""</f>
        <v/>
      </c>
      <c r="F71" t="str">
        <f>""</f>
        <v/>
      </c>
      <c r="H71" t="str">
        <f>"Snake guards"</f>
        <v>Snake guards</v>
      </c>
    </row>
    <row r="72" spans="1:8" x14ac:dyDescent="0.25">
      <c r="E72" t="str">
        <f>"1GGT-GVHG-Y4PW"</f>
        <v>1GGT-GVHG-Y4PW</v>
      </c>
      <c r="F72" t="str">
        <f>"certification frame"</f>
        <v>certification frame</v>
      </c>
      <c r="G72" s="2">
        <v>41.06</v>
      </c>
      <c r="H72" t="str">
        <f>"Frame"</f>
        <v>Frame</v>
      </c>
    </row>
    <row r="73" spans="1:8" x14ac:dyDescent="0.25">
      <c r="E73" t="str">
        <f>""</f>
        <v/>
      </c>
      <c r="F73" t="str">
        <f>""</f>
        <v/>
      </c>
      <c r="H73" t="str">
        <f>"Command Strips"</f>
        <v>Command Strips</v>
      </c>
    </row>
    <row r="74" spans="1:8" x14ac:dyDescent="0.25">
      <c r="E74" t="str">
        <f>""</f>
        <v/>
      </c>
      <c r="F74" t="str">
        <f>""</f>
        <v/>
      </c>
      <c r="H74" t="str">
        <f>"Discount"</f>
        <v>Discount</v>
      </c>
    </row>
    <row r="75" spans="1:8" x14ac:dyDescent="0.25">
      <c r="E75" t="str">
        <f>"1HV6-G77R-T7W7 1G4"</f>
        <v>1HV6-G77R-T7W7 1G4</v>
      </c>
      <c r="F75" t="str">
        <f>"AMAZON CAPITAL SERVICES INC"</f>
        <v>AMAZON CAPITAL SERVICES INC</v>
      </c>
      <c r="G75" s="2">
        <v>885.78</v>
      </c>
      <c r="H75" t="str">
        <f>"APC"</f>
        <v>APC</v>
      </c>
    </row>
    <row r="76" spans="1:8" x14ac:dyDescent="0.25">
      <c r="E76" t="str">
        <f>""</f>
        <v/>
      </c>
      <c r="F76" t="str">
        <f>""</f>
        <v/>
      </c>
      <c r="H76" t="str">
        <f>"8 GATE ROLLERS"</f>
        <v>8 GATE ROLLERS</v>
      </c>
    </row>
    <row r="77" spans="1:8" x14ac:dyDescent="0.25">
      <c r="E77" t="str">
        <f>""</f>
        <v/>
      </c>
      <c r="F77" t="str">
        <f>""</f>
        <v/>
      </c>
      <c r="H77" t="str">
        <f>"SHIPPING"</f>
        <v>SHIPPING</v>
      </c>
    </row>
    <row r="78" spans="1:8" x14ac:dyDescent="0.25">
      <c r="E78" t="str">
        <f>"1NFW-JYWJ-TWL4"</f>
        <v>1NFW-JYWJ-TWL4</v>
      </c>
      <c r="F78" t="str">
        <f>"Air Compressor Pilot"</f>
        <v>Air Compressor Pilot</v>
      </c>
      <c r="G78" s="2">
        <v>49.98</v>
      </c>
      <c r="H78" t="str">
        <f>"Air Compressor Pilot"</f>
        <v>Air Compressor Pilot</v>
      </c>
    </row>
    <row r="79" spans="1:8" x14ac:dyDescent="0.25">
      <c r="E79" t="str">
        <f>"1XLC-3HQV-9DJD"</f>
        <v>1XLC-3HQV-9DJD</v>
      </c>
      <c r="F79" t="str">
        <f>"Tenergy Rechargeable Batt"</f>
        <v>Tenergy Rechargeable Batt</v>
      </c>
      <c r="G79" s="2">
        <v>82.81</v>
      </c>
      <c r="H79" t="str">
        <f>"Combo: TN160 12-Bay"</f>
        <v>Combo: TN160 12-Bay</v>
      </c>
    </row>
    <row r="80" spans="1:8" x14ac:dyDescent="0.25">
      <c r="E80" t="str">
        <f>""</f>
        <v/>
      </c>
      <c r="F80" t="str">
        <f>""</f>
        <v/>
      </c>
      <c r="H80" t="str">
        <f>"Shipping"</f>
        <v>Shipping</v>
      </c>
    </row>
    <row r="81" spans="1:8" x14ac:dyDescent="0.25">
      <c r="E81" t="str">
        <f>""</f>
        <v/>
      </c>
      <c r="F81" t="str">
        <f>""</f>
        <v/>
      </c>
      <c r="H81" t="str">
        <f>"Tenergy AA Rechargea"</f>
        <v>Tenergy AA Rechargea</v>
      </c>
    </row>
    <row r="82" spans="1:8" x14ac:dyDescent="0.25">
      <c r="A82" t="s">
        <v>24</v>
      </c>
      <c r="B82">
        <v>80311</v>
      </c>
      <c r="C82" s="2">
        <v>25.9</v>
      </c>
      <c r="D82" s="1">
        <v>43479</v>
      </c>
      <c r="E82" t="str">
        <f>"201901086421"</f>
        <v>201901086421</v>
      </c>
      <c r="F82" t="str">
        <f>"NOTARY STAMP-JENNIFER ENSINGER"</f>
        <v>NOTARY STAMP-JENNIFER ENSINGER</v>
      </c>
      <c r="G82" s="2">
        <v>25.9</v>
      </c>
      <c r="H82" t="str">
        <f>"NOTARY STAMP-JENNIFER ENSINGER"</f>
        <v>NOTARY STAMP-JENNIFER ENSINGER</v>
      </c>
    </row>
    <row r="83" spans="1:8" x14ac:dyDescent="0.25">
      <c r="A83" t="s">
        <v>25</v>
      </c>
      <c r="B83">
        <v>80312</v>
      </c>
      <c r="C83" s="2">
        <v>345.88</v>
      </c>
      <c r="D83" s="1">
        <v>43479</v>
      </c>
      <c r="E83" t="str">
        <f>"946962773"</f>
        <v>946962773</v>
      </c>
      <c r="F83" t="str">
        <f>"INV 946962773"</f>
        <v>INV 946962773</v>
      </c>
      <c r="G83" s="2">
        <v>207.87</v>
      </c>
      <c r="H83" t="str">
        <f>"INV 946962773"</f>
        <v>INV 946962773</v>
      </c>
    </row>
    <row r="84" spans="1:8" x14ac:dyDescent="0.25">
      <c r="E84" t="str">
        <f>"946972781"</f>
        <v>946972781</v>
      </c>
      <c r="F84" t="str">
        <f>"INV 946972781"</f>
        <v>INV 946972781</v>
      </c>
      <c r="G84" s="2">
        <v>138.01</v>
      </c>
      <c r="H84" t="str">
        <f>"INV 946972781"</f>
        <v>INV 946972781</v>
      </c>
    </row>
    <row r="85" spans="1:8" x14ac:dyDescent="0.25">
      <c r="A85" t="s">
        <v>25</v>
      </c>
      <c r="B85">
        <v>80643</v>
      </c>
      <c r="C85" s="2">
        <v>323.2</v>
      </c>
      <c r="D85" s="1">
        <v>43493</v>
      </c>
      <c r="E85" t="str">
        <f>"94756665 94756666"</f>
        <v>94756665 94756666</v>
      </c>
      <c r="F85" t="str">
        <f>"INV 947566665"</f>
        <v>INV 947566665</v>
      </c>
      <c r="G85" s="2">
        <v>323.2</v>
      </c>
      <c r="H85" t="str">
        <f>"INV 947566665"</f>
        <v>INV 947566665</v>
      </c>
    </row>
    <row r="86" spans="1:8" x14ac:dyDescent="0.25">
      <c r="E86" t="str">
        <f>""</f>
        <v/>
      </c>
      <c r="F86" t="str">
        <f>""</f>
        <v/>
      </c>
      <c r="H86" t="str">
        <f>"INV 947566666"</f>
        <v>INV 947566666</v>
      </c>
    </row>
    <row r="87" spans="1:8" x14ac:dyDescent="0.25">
      <c r="A87" t="s">
        <v>26</v>
      </c>
      <c r="B87">
        <v>339</v>
      </c>
      <c r="C87" s="2">
        <v>2350</v>
      </c>
      <c r="D87" s="1">
        <v>43480</v>
      </c>
      <c r="E87" t="str">
        <f>"201812286020"</f>
        <v>201812286020</v>
      </c>
      <c r="F87" t="str">
        <f>"16 674  16 711"</f>
        <v>16 674  16 711</v>
      </c>
      <c r="G87" s="2">
        <v>600</v>
      </c>
      <c r="H87" t="str">
        <f>"16 674  16 711"</f>
        <v>16 674  16 711</v>
      </c>
    </row>
    <row r="88" spans="1:8" x14ac:dyDescent="0.25">
      <c r="E88" t="str">
        <f>"201812286028"</f>
        <v>201812286028</v>
      </c>
      <c r="F88" t="str">
        <f>"AC20161202WA"</f>
        <v>AC20161202WA</v>
      </c>
      <c r="G88" s="2">
        <v>600</v>
      </c>
      <c r="H88" t="str">
        <f>"AC20161202WA"</f>
        <v>AC20161202WA</v>
      </c>
    </row>
    <row r="89" spans="1:8" x14ac:dyDescent="0.25">
      <c r="E89" t="str">
        <f>"201812286029"</f>
        <v>201812286029</v>
      </c>
      <c r="F89" t="str">
        <f>"1-21613-A"</f>
        <v>1-21613-A</v>
      </c>
      <c r="G89" s="2">
        <v>400</v>
      </c>
      <c r="H89" t="str">
        <f>"1-21613-A"</f>
        <v>1-21613-A</v>
      </c>
    </row>
    <row r="90" spans="1:8" x14ac:dyDescent="0.25">
      <c r="E90" t="str">
        <f>"201901036117"</f>
        <v>201901036117</v>
      </c>
      <c r="F90" t="str">
        <f>"1JP111817B"</f>
        <v>1JP111817B</v>
      </c>
      <c r="G90" s="2">
        <v>250</v>
      </c>
      <c r="H90" t="str">
        <f>"1JP111817B"</f>
        <v>1JP111817B</v>
      </c>
    </row>
    <row r="91" spans="1:8" x14ac:dyDescent="0.25">
      <c r="E91" t="str">
        <f>"201901036118"</f>
        <v>201901036118</v>
      </c>
      <c r="F91" t="str">
        <f>"AC-2017-0218"</f>
        <v>AC-2017-0218</v>
      </c>
      <c r="G91" s="2">
        <v>250</v>
      </c>
      <c r="H91" t="str">
        <f>"AC-2017-0218"</f>
        <v>AC-2017-0218</v>
      </c>
    </row>
    <row r="92" spans="1:8" x14ac:dyDescent="0.25">
      <c r="E92" t="str">
        <f>"201901036120"</f>
        <v>201901036120</v>
      </c>
      <c r="F92" t="str">
        <f>"306282018C"</f>
        <v>306282018C</v>
      </c>
      <c r="G92" s="2">
        <v>250</v>
      </c>
      <c r="H92" t="str">
        <f>"306282018C"</f>
        <v>306282018C</v>
      </c>
    </row>
    <row r="93" spans="1:8" x14ac:dyDescent="0.25">
      <c r="A93" t="s">
        <v>26</v>
      </c>
      <c r="B93">
        <v>398</v>
      </c>
      <c r="C93" s="2">
        <v>1000</v>
      </c>
      <c r="D93" s="1">
        <v>43494</v>
      </c>
      <c r="E93" t="str">
        <f>"201901156577"</f>
        <v>201901156577</v>
      </c>
      <c r="F93" t="str">
        <f>"16 450"</f>
        <v>16 450</v>
      </c>
      <c r="G93" s="2">
        <v>400</v>
      </c>
      <c r="H93" t="str">
        <f>"16 450"</f>
        <v>16 450</v>
      </c>
    </row>
    <row r="94" spans="1:8" x14ac:dyDescent="0.25">
      <c r="E94" t="str">
        <f>"201901176704"</f>
        <v>201901176704</v>
      </c>
      <c r="F94" t="str">
        <f>"15 209  16 653"</f>
        <v>15 209  16 653</v>
      </c>
      <c r="G94" s="2">
        <v>600</v>
      </c>
      <c r="H94" t="str">
        <f>"15 209  16 653"</f>
        <v>15 209  16 653</v>
      </c>
    </row>
    <row r="95" spans="1:8" x14ac:dyDescent="0.25">
      <c r="A95" t="s">
        <v>27</v>
      </c>
      <c r="B95">
        <v>80313</v>
      </c>
      <c r="C95" s="2">
        <v>1050</v>
      </c>
      <c r="D95" s="1">
        <v>43479</v>
      </c>
      <c r="E95" t="str">
        <f>"3062018"</f>
        <v>3062018</v>
      </c>
      <c r="F95" t="str">
        <f>"16355"</f>
        <v>16355</v>
      </c>
      <c r="G95" s="2">
        <v>1050</v>
      </c>
      <c r="H95" t="str">
        <f>"16355"</f>
        <v>16355</v>
      </c>
    </row>
    <row r="96" spans="1:8" x14ac:dyDescent="0.25">
      <c r="A96" t="s">
        <v>28</v>
      </c>
      <c r="B96">
        <v>80314</v>
      </c>
      <c r="C96" s="2">
        <v>78.930000000000007</v>
      </c>
      <c r="D96" s="1">
        <v>43479</v>
      </c>
      <c r="E96" t="str">
        <f>"201812286055"</f>
        <v>201812286055</v>
      </c>
      <c r="F96" t="str">
        <f>"ACCT#3-3053/PCT#2"</f>
        <v>ACCT#3-3053/PCT#2</v>
      </c>
      <c r="G96" s="2">
        <v>78.930000000000007</v>
      </c>
      <c r="H96" t="str">
        <f>"ACCT#3-3053/PCT#2"</f>
        <v>ACCT#3-3053/PCT#2</v>
      </c>
    </row>
    <row r="97" spans="1:8" x14ac:dyDescent="0.25">
      <c r="A97" t="s">
        <v>29</v>
      </c>
      <c r="B97">
        <v>80315</v>
      </c>
      <c r="C97" s="2">
        <v>818.46</v>
      </c>
      <c r="D97" s="1">
        <v>43479</v>
      </c>
      <c r="E97" t="str">
        <f>"201901026076"</f>
        <v>201901026076</v>
      </c>
      <c r="F97" t="str">
        <f>"ACCT#010311/COUNTY CT AT LAW"</f>
        <v>ACCT#010311/COUNTY CT AT LAW</v>
      </c>
      <c r="G97" s="2">
        <v>1.5</v>
      </c>
      <c r="H97" t="str">
        <f>"ACCT#010311/COUNTY CT AT LAW"</f>
        <v>ACCT#010311/COUNTY CT AT LAW</v>
      </c>
    </row>
    <row r="98" spans="1:8" x14ac:dyDescent="0.25">
      <c r="E98" t="str">
        <f>"201901026077"</f>
        <v>201901026077</v>
      </c>
      <c r="F98" t="str">
        <f>"ACCT#012571/TREASURER"</f>
        <v>ACCT#012571/TREASURER</v>
      </c>
      <c r="G98" s="2">
        <v>24</v>
      </c>
      <c r="H98" t="str">
        <f>"ACCT#012571/TREASURER"</f>
        <v>ACCT#012571/TREASURER</v>
      </c>
    </row>
    <row r="99" spans="1:8" x14ac:dyDescent="0.25">
      <c r="E99" t="str">
        <f>"201901026078"</f>
        <v>201901026078</v>
      </c>
      <c r="F99" t="str">
        <f>"ACCT#011955/DISTRICT JUDGE"</f>
        <v>ACCT#011955/DISTRICT JUDGE</v>
      </c>
      <c r="G99" s="2">
        <v>63</v>
      </c>
      <c r="H99" t="str">
        <f>"ACCT#011955/DISTRICT JUDGE"</f>
        <v>ACCT#011955/DISTRICT JUDGE</v>
      </c>
    </row>
    <row r="100" spans="1:8" x14ac:dyDescent="0.25">
      <c r="E100" t="str">
        <f>"201901026079"</f>
        <v>201901026079</v>
      </c>
      <c r="F100" t="str">
        <f>"ACCT#012231/DIST JUDGE OFFICE"</f>
        <v>ACCT#012231/DIST JUDGE OFFICE</v>
      </c>
      <c r="G100" s="2">
        <v>10</v>
      </c>
      <c r="H100" t="str">
        <f>"ACCT#012231/DIST JUDGE OFFICE"</f>
        <v>ACCT#012231/DIST JUDGE OFFICE</v>
      </c>
    </row>
    <row r="101" spans="1:8" x14ac:dyDescent="0.25">
      <c r="E101" t="str">
        <f>"201901026080"</f>
        <v>201901026080</v>
      </c>
      <c r="F101" t="str">
        <f>"ACCT#015476/PURCHASING DEPT"</f>
        <v>ACCT#015476/PURCHASING DEPT</v>
      </c>
      <c r="G101" s="2">
        <v>10.49</v>
      </c>
      <c r="H101" t="str">
        <f>"ACCT#015476/PURCHASING DEPT"</f>
        <v>ACCT#015476/PURCHASING DEPT</v>
      </c>
    </row>
    <row r="102" spans="1:8" x14ac:dyDescent="0.25">
      <c r="E102" t="str">
        <f>"201901026081"</f>
        <v>201901026081</v>
      </c>
      <c r="F102" t="str">
        <f>"ACCT#013393/HUMAN RESOURCES"</f>
        <v>ACCT#013393/HUMAN RESOURCES</v>
      </c>
      <c r="G102" s="2">
        <v>32.5</v>
      </c>
      <c r="H102" t="str">
        <f>"ACCT#013393/HUMAN RESOURCES"</f>
        <v>ACCT#013393/HUMAN RESOURCES</v>
      </c>
    </row>
    <row r="103" spans="1:8" x14ac:dyDescent="0.25">
      <c r="E103" t="str">
        <f>"201901026082"</f>
        <v>201901026082</v>
      </c>
      <c r="F103" t="str">
        <f>"ACCT#015538/EMER COMM"</f>
        <v>ACCT#015538/EMER COMM</v>
      </c>
      <c r="G103" s="2">
        <v>155.74</v>
      </c>
      <c r="H103" t="str">
        <f>"ACCT#015538/EMER COMM"</f>
        <v>ACCT#015538/EMER COMM</v>
      </c>
    </row>
    <row r="104" spans="1:8" x14ac:dyDescent="0.25">
      <c r="E104" t="str">
        <f>"201901026083"</f>
        <v>201901026083</v>
      </c>
      <c r="F104" t="str">
        <f>"ACCT#012260/DA'S OFFICE"</f>
        <v>ACCT#012260/DA'S OFFICE</v>
      </c>
      <c r="G104" s="2">
        <v>37.5</v>
      </c>
      <c r="H104" t="str">
        <f>"ACCT#012260/DA'S OFFICE"</f>
        <v>ACCT#012260/DA'S OFFICE</v>
      </c>
    </row>
    <row r="105" spans="1:8" x14ac:dyDescent="0.25">
      <c r="E105" t="str">
        <f>"201901036122"</f>
        <v>201901036122</v>
      </c>
      <c r="F105" t="str">
        <f>"ACCT#011474/ELECTIONS"</f>
        <v>ACCT#011474/ELECTIONS</v>
      </c>
      <c r="G105" s="2">
        <v>32.5</v>
      </c>
      <c r="H105" t="str">
        <f>"ACCT#011474/ELECTIONS"</f>
        <v>ACCT#011474/ELECTIONS</v>
      </c>
    </row>
    <row r="106" spans="1:8" x14ac:dyDescent="0.25">
      <c r="E106" t="str">
        <f>"201901036124"</f>
        <v>201901036124</v>
      </c>
      <c r="F106" t="str">
        <f>"ACCT#014877/INDIGENT HEALTH"</f>
        <v>ACCT#014877/INDIGENT HEALTH</v>
      </c>
      <c r="G106" s="2">
        <v>80.989999999999995</v>
      </c>
      <c r="H106" t="str">
        <f>"ACCT#014877/INDIGENT HEALTH"</f>
        <v>ACCT#014877/INDIGENT HEALTH</v>
      </c>
    </row>
    <row r="107" spans="1:8" x14ac:dyDescent="0.25">
      <c r="E107" t="str">
        <f>"201901036125"</f>
        <v>201901036125</v>
      </c>
      <c r="F107" t="str">
        <f>"ACCT#010057/AUDITOR"</f>
        <v>ACCT#010057/AUDITOR</v>
      </c>
      <c r="G107" s="2">
        <v>39</v>
      </c>
      <c r="H107" t="str">
        <f>"ACCT#010057/AUDITOR"</f>
        <v>ACCT#010057/AUDITOR</v>
      </c>
    </row>
    <row r="108" spans="1:8" x14ac:dyDescent="0.25">
      <c r="E108" t="str">
        <f>"201901036126"</f>
        <v>201901036126</v>
      </c>
      <c r="F108" t="str">
        <f>"ACCT#012803/JUDGE"</f>
        <v>ACCT#012803/JUDGE</v>
      </c>
      <c r="G108" s="2">
        <v>9</v>
      </c>
      <c r="H108" t="str">
        <f>"ACCT#012803/JUDGE"</f>
        <v>ACCT#012803/JUDGE</v>
      </c>
    </row>
    <row r="109" spans="1:8" x14ac:dyDescent="0.25">
      <c r="E109" t="str">
        <f>"201901036127"</f>
        <v>201901036127</v>
      </c>
      <c r="F109" t="str">
        <f>"ACCT#010602/COMMISSIONER OFFIC"</f>
        <v>ACCT#010602/COMMISSIONER OFFIC</v>
      </c>
      <c r="G109" s="2">
        <v>46.5</v>
      </c>
      <c r="H109" t="str">
        <f>"ACCT#010602/COMMISSIONER OFFIC"</f>
        <v>ACCT#010602/COMMISSIONER OFFIC</v>
      </c>
    </row>
    <row r="110" spans="1:8" x14ac:dyDescent="0.25">
      <c r="E110" t="str">
        <f>"201901036128"</f>
        <v>201901036128</v>
      </c>
      <c r="F110" t="str">
        <f>"ACCT#010238/GENERAL SVCS"</f>
        <v>ACCT#010238/GENERAL SVCS</v>
      </c>
      <c r="G110" s="2">
        <v>62.75</v>
      </c>
      <c r="H110" t="str">
        <f>"ACCT#010238/GENERAL SVCS"</f>
        <v>ACCT#010238/GENERAL SVCS</v>
      </c>
    </row>
    <row r="111" spans="1:8" x14ac:dyDescent="0.25">
      <c r="E111" t="str">
        <f>"201901036129"</f>
        <v>201901036129</v>
      </c>
      <c r="F111" t="str">
        <f>"ACCT#010149/AGRI LIFE EXTENSIO"</f>
        <v>ACCT#010149/AGRI LIFE EXTENSIO</v>
      </c>
      <c r="G111" s="2">
        <v>15</v>
      </c>
      <c r="H111" t="str">
        <f>"ACCT#010149/AGRI LIFE EXTENSIO"</f>
        <v>ACCT#010149/AGRI LIFE EXTENSIO</v>
      </c>
    </row>
    <row r="112" spans="1:8" x14ac:dyDescent="0.25">
      <c r="E112" t="str">
        <f>"201901036358"</f>
        <v>201901036358</v>
      </c>
      <c r="F112" t="str">
        <f>"ACCT#010835/COMMISSIONER PCT#1"</f>
        <v>ACCT#010835/COMMISSIONER PCT#1</v>
      </c>
      <c r="G112" s="2">
        <v>9</v>
      </c>
      <c r="H112" t="str">
        <f>"ACCT#010835/COMMISSIONER PCT#1"</f>
        <v>ACCT#010835/COMMISSIONER PCT#1</v>
      </c>
    </row>
    <row r="113" spans="1:8" x14ac:dyDescent="0.25">
      <c r="E113" t="str">
        <f>"201901046368"</f>
        <v>201901046368</v>
      </c>
      <c r="F113" t="str">
        <f>"ACCT#011280/COUNTY CLERK"</f>
        <v>ACCT#011280/COUNTY CLERK</v>
      </c>
      <c r="G113" s="2">
        <v>31.5</v>
      </c>
      <c r="H113" t="str">
        <f>"ACCT#011280/COUNTY CLERK"</f>
        <v>ACCT#011280/COUNTY CLERK</v>
      </c>
    </row>
    <row r="114" spans="1:8" x14ac:dyDescent="0.25">
      <c r="E114" t="str">
        <f>"201901046372"</f>
        <v>201901046372</v>
      </c>
      <c r="F114" t="str">
        <f>"ACCT#011033/IT DEPT"</f>
        <v>ACCT#011033/IT DEPT</v>
      </c>
      <c r="G114" s="2">
        <v>39</v>
      </c>
      <c r="H114" t="str">
        <f>"ACCT#011033/IT DEPT"</f>
        <v>ACCT#011033/IT DEPT</v>
      </c>
    </row>
    <row r="115" spans="1:8" x14ac:dyDescent="0.25">
      <c r="E115" t="str">
        <f>"201901046373"</f>
        <v>201901046373</v>
      </c>
      <c r="F115" t="str">
        <f>"ACCT#012259/DIST CLERK"</f>
        <v>ACCT#012259/DIST CLERK</v>
      </c>
      <c r="G115" s="2">
        <v>69</v>
      </c>
      <c r="H115" t="str">
        <f>"ACCT#012259/DIST CLERK"</f>
        <v>ACCT#012259/DIST CLERK</v>
      </c>
    </row>
    <row r="116" spans="1:8" x14ac:dyDescent="0.25">
      <c r="E116" t="str">
        <f>"201901096473"</f>
        <v>201901096473</v>
      </c>
      <c r="F116" t="str">
        <f>"ACCT#014737/ANIMAL SVC"</f>
        <v>ACCT#014737/ANIMAL SVC</v>
      </c>
      <c r="G116" s="2">
        <v>40.49</v>
      </c>
      <c r="H116" t="str">
        <f>"ACCT#014737/ANIMAL SVC"</f>
        <v>ACCT#014737/ANIMAL SVC</v>
      </c>
    </row>
    <row r="117" spans="1:8" x14ac:dyDescent="0.25">
      <c r="E117" t="str">
        <f>"201901096512"</f>
        <v>201901096512</v>
      </c>
      <c r="F117" t="str">
        <f>"ACCT#015199/JP#1"</f>
        <v>ACCT#015199/JP#1</v>
      </c>
      <c r="G117" s="2">
        <v>9</v>
      </c>
      <c r="H117" t="str">
        <f>"ACCT#015199/JP#1"</f>
        <v>ACCT#015199/JP#1</v>
      </c>
    </row>
    <row r="118" spans="1:8" x14ac:dyDescent="0.25">
      <c r="A118" t="s">
        <v>30</v>
      </c>
      <c r="B118">
        <v>80316</v>
      </c>
      <c r="C118" s="2">
        <v>99.93</v>
      </c>
      <c r="D118" s="1">
        <v>43479</v>
      </c>
      <c r="E118" t="str">
        <f>"201901086424"</f>
        <v>201901086424</v>
      </c>
      <c r="F118" t="str">
        <f>"ACCT#7700010024/PCT#1"</f>
        <v>ACCT#7700010024/PCT#1</v>
      </c>
      <c r="G118" s="2">
        <v>99.93</v>
      </c>
      <c r="H118" t="str">
        <f>"ACCT#7700010024/PCT#1"</f>
        <v>ACCT#7700010024/PCT#1</v>
      </c>
    </row>
    <row r="119" spans="1:8" x14ac:dyDescent="0.25">
      <c r="A119" t="s">
        <v>30</v>
      </c>
      <c r="B119">
        <v>80802</v>
      </c>
      <c r="C119" s="2">
        <v>2181.9</v>
      </c>
      <c r="D119" s="1">
        <v>43495</v>
      </c>
      <c r="E119" t="str">
        <f>"201901306927"</f>
        <v>201901306927</v>
      </c>
      <c r="F119" t="str">
        <f>"ACCT#0102120801 / 02012019"</f>
        <v>ACCT#0102120801 / 02012019</v>
      </c>
      <c r="G119" s="2">
        <v>109.82</v>
      </c>
      <c r="H119" t="str">
        <f>"ACCT#0102120801 / 02012019"</f>
        <v>ACCT#0102120801 / 02012019</v>
      </c>
    </row>
    <row r="120" spans="1:8" x14ac:dyDescent="0.25">
      <c r="E120" t="str">
        <f>"201901306928"</f>
        <v>201901306928</v>
      </c>
      <c r="F120" t="str">
        <f>"ACCT#0201855301 / 02012019"</f>
        <v>ACCT#0201855301 / 02012019</v>
      </c>
      <c r="G120" s="2">
        <v>30.31</v>
      </c>
      <c r="H120" t="str">
        <f>"ACCT#0201855301 / 02012019"</f>
        <v>ACCT#0201855301 / 02012019</v>
      </c>
    </row>
    <row r="121" spans="1:8" x14ac:dyDescent="0.25">
      <c r="E121" t="str">
        <f>"201901306929"</f>
        <v>201901306929</v>
      </c>
      <c r="F121" t="str">
        <f>"ACCT#0201891401 / 02012019"</f>
        <v>ACCT#0201891401 / 02012019</v>
      </c>
      <c r="G121" s="2">
        <v>28.37</v>
      </c>
      <c r="H121" t="str">
        <f>"ACCT#0201891401 / 02012019"</f>
        <v>ACCT#0201891401 / 02012019</v>
      </c>
    </row>
    <row r="122" spans="1:8" x14ac:dyDescent="0.25">
      <c r="E122" t="str">
        <f>"201901306930"</f>
        <v>201901306930</v>
      </c>
      <c r="F122" t="str">
        <f>"ACCT#0400785803 / 02012019"</f>
        <v>ACCT#0400785803 / 02012019</v>
      </c>
      <c r="G122" s="2">
        <v>1397.96</v>
      </c>
      <c r="H122" t="str">
        <f>"ACCT#0400785803 / 02012019"</f>
        <v>ACCT#0400785803 / 02012019</v>
      </c>
    </row>
    <row r="123" spans="1:8" x14ac:dyDescent="0.25">
      <c r="E123" t="str">
        <f>"201901306931"</f>
        <v>201901306931</v>
      </c>
      <c r="F123" t="str">
        <f>"ACCT#0401408501 / 02012019"</f>
        <v>ACCT#0401408501 / 02012019</v>
      </c>
      <c r="G123" s="2">
        <v>576.24</v>
      </c>
      <c r="H123" t="str">
        <f>"ACCT#0401408501 / 02012019"</f>
        <v>ACCT#0401408501 / 02012019</v>
      </c>
    </row>
    <row r="124" spans="1:8" x14ac:dyDescent="0.25">
      <c r="E124" t="str">
        <f>"201901306932"</f>
        <v>201901306932</v>
      </c>
      <c r="F124" t="str">
        <f>"ACCT#0800042801 / 02012019"</f>
        <v>ACCT#0800042801 / 02012019</v>
      </c>
      <c r="G124" s="2">
        <v>39.200000000000003</v>
      </c>
      <c r="H124" t="str">
        <f>"ACCT#0800042801 / 02012019"</f>
        <v>ACCT#0800042801 / 02012019</v>
      </c>
    </row>
    <row r="125" spans="1:8" x14ac:dyDescent="0.25">
      <c r="A125" t="s">
        <v>31</v>
      </c>
      <c r="B125">
        <v>80317</v>
      </c>
      <c r="C125" s="2">
        <v>321.02999999999997</v>
      </c>
      <c r="D125" s="1">
        <v>43479</v>
      </c>
      <c r="E125" t="str">
        <f>"201901096491"</f>
        <v>201901096491</v>
      </c>
      <c r="F125" t="str">
        <f>"INDIGENT HEALTH"</f>
        <v>INDIGENT HEALTH</v>
      </c>
      <c r="G125" s="2">
        <v>86.07</v>
      </c>
      <c r="H125" t="str">
        <f>"INDIGENT HEALTH"</f>
        <v>INDIGENT HEALTH</v>
      </c>
    </row>
    <row r="126" spans="1:8" x14ac:dyDescent="0.25">
      <c r="E126" t="str">
        <f>"4471*09011*1"</f>
        <v>4471*09011*1</v>
      </c>
      <c r="F126" t="str">
        <f>"JAIL MEDICAL"</f>
        <v>JAIL MEDICAL</v>
      </c>
      <c r="G126" s="2">
        <v>234.96</v>
      </c>
      <c r="H126" t="str">
        <f>"JAIL MEDICAL"</f>
        <v>JAIL MEDICAL</v>
      </c>
    </row>
    <row r="127" spans="1:8" x14ac:dyDescent="0.25">
      <c r="A127" t="s">
        <v>32</v>
      </c>
      <c r="B127">
        <v>295</v>
      </c>
      <c r="C127" s="2">
        <v>37178.83</v>
      </c>
      <c r="D127" s="1">
        <v>43480</v>
      </c>
      <c r="E127" t="str">
        <f>"14801"</f>
        <v>14801</v>
      </c>
      <c r="F127" t="str">
        <f>"SOCIAL MEDIA MGMT-OCT"</f>
        <v>SOCIAL MEDIA MGMT-OCT</v>
      </c>
      <c r="G127" s="2">
        <v>18189.25</v>
      </c>
      <c r="H127" t="str">
        <f>"SOCIAL MEDIA MGMT-OCT"</f>
        <v>SOCIAL MEDIA MGMT-OCT</v>
      </c>
    </row>
    <row r="128" spans="1:8" x14ac:dyDescent="0.25">
      <c r="E128" t="str">
        <f>"14802"</f>
        <v>14802</v>
      </c>
      <c r="F128" t="str">
        <f>"ARSENAL TIME-OCTOBER"</f>
        <v>ARSENAL TIME-OCTOBER</v>
      </c>
      <c r="G128" s="2">
        <v>950</v>
      </c>
      <c r="H128" t="str">
        <f>"ARSENAL TIME-OCTOBER"</f>
        <v>ARSENAL TIME-OCTOBER</v>
      </c>
    </row>
    <row r="129" spans="1:8" x14ac:dyDescent="0.25">
      <c r="E129" t="str">
        <f>"14803"</f>
        <v>14803</v>
      </c>
      <c r="F129" t="str">
        <f>"PROJ#BC NOV AD"</f>
        <v>PROJ#BC NOV AD</v>
      </c>
      <c r="G129" s="2">
        <v>17039.580000000002</v>
      </c>
      <c r="H129" t="str">
        <f>"PROJ#BC NOV AD"</f>
        <v>PROJ#BC NOV AD</v>
      </c>
    </row>
    <row r="130" spans="1:8" x14ac:dyDescent="0.25">
      <c r="E130" t="str">
        <f>"14804"</f>
        <v>14804</v>
      </c>
      <c r="F130" t="str">
        <f>"ARSENAL TIME-NOVEMBER"</f>
        <v>ARSENAL TIME-NOVEMBER</v>
      </c>
      <c r="G130" s="2">
        <v>1000</v>
      </c>
      <c r="H130" t="str">
        <f>"ARSENAL TIME-NOVEMBER"</f>
        <v>ARSENAL TIME-NOVEMBER</v>
      </c>
    </row>
    <row r="131" spans="1:8" x14ac:dyDescent="0.25">
      <c r="A131" t="s">
        <v>33</v>
      </c>
      <c r="B131">
        <v>80318</v>
      </c>
      <c r="C131" s="2">
        <v>5212.4399999999996</v>
      </c>
      <c r="D131" s="1">
        <v>43479</v>
      </c>
      <c r="E131" t="str">
        <f>"201812286058"</f>
        <v>201812286058</v>
      </c>
      <c r="F131" t="str">
        <f>"ACCT#512A49-0048 193 3"</f>
        <v>ACCT#512A49-0048 193 3</v>
      </c>
      <c r="G131" s="2">
        <v>5212.4399999999996</v>
      </c>
      <c r="H131" t="str">
        <f>"ACCT#512A49-0048 193 3"</f>
        <v>ACCT#512A49-0048 193 3</v>
      </c>
    </row>
    <row r="132" spans="1:8" x14ac:dyDescent="0.25">
      <c r="E132" t="str">
        <f>""</f>
        <v/>
      </c>
      <c r="F132" t="str">
        <f>""</f>
        <v/>
      </c>
      <c r="H132" t="str">
        <f>"ACCT#512A49-0048 193 3"</f>
        <v>ACCT#512A49-0048 193 3</v>
      </c>
    </row>
    <row r="133" spans="1:8" x14ac:dyDescent="0.25">
      <c r="E133" t="str">
        <f>""</f>
        <v/>
      </c>
      <c r="F133" t="str">
        <f>""</f>
        <v/>
      </c>
      <c r="H133" t="str">
        <f>"ACCT#512A49-0048 193 3"</f>
        <v>ACCT#512A49-0048 193 3</v>
      </c>
    </row>
    <row r="134" spans="1:8" x14ac:dyDescent="0.25">
      <c r="E134" t="str">
        <f>""</f>
        <v/>
      </c>
      <c r="F134" t="str">
        <f>""</f>
        <v/>
      </c>
      <c r="H134" t="str">
        <f>"ACCT#512A49-0048 193 3"</f>
        <v>ACCT#512A49-0048 193 3</v>
      </c>
    </row>
    <row r="135" spans="1:8" x14ac:dyDescent="0.25">
      <c r="A135" t="s">
        <v>34</v>
      </c>
      <c r="B135">
        <v>80319</v>
      </c>
      <c r="C135" s="2">
        <v>125</v>
      </c>
      <c r="D135" s="1">
        <v>43479</v>
      </c>
      <c r="E135" t="str">
        <f>"299007"</f>
        <v>299007</v>
      </c>
      <c r="F135" t="str">
        <f>"INV 299007"</f>
        <v>INV 299007</v>
      </c>
      <c r="G135" s="2">
        <v>125</v>
      </c>
      <c r="H135" t="str">
        <f>"INV 299007"</f>
        <v>INV 299007</v>
      </c>
    </row>
    <row r="136" spans="1:8" x14ac:dyDescent="0.25">
      <c r="A136" t="s">
        <v>34</v>
      </c>
      <c r="B136">
        <v>80320</v>
      </c>
      <c r="C136" s="2">
        <v>7204.8</v>
      </c>
      <c r="D136" s="1">
        <v>43479</v>
      </c>
      <c r="E136" t="str">
        <f>"2584375404"</f>
        <v>2584375404</v>
      </c>
      <c r="F136" t="str">
        <f>"ACCT#831-000-8084 095"</f>
        <v>ACCT#831-000-8084 095</v>
      </c>
      <c r="G136" s="2">
        <v>1550.72</v>
      </c>
      <c r="H136" t="str">
        <f>"ACCT#831-000-8084 095"</f>
        <v>ACCT#831-000-8084 095</v>
      </c>
    </row>
    <row r="137" spans="1:8" x14ac:dyDescent="0.25">
      <c r="E137" t="str">
        <f>"2866795403"</f>
        <v>2866795403</v>
      </c>
      <c r="F137" t="str">
        <f>"ACCT#831-000-7919 623"</f>
        <v>ACCT#831-000-7919 623</v>
      </c>
      <c r="G137" s="2">
        <v>4832.07</v>
      </c>
      <c r="H137" t="str">
        <f>"ACCT#831-000-7919 623"</f>
        <v>ACCT#831-000-7919 623</v>
      </c>
    </row>
    <row r="138" spans="1:8" x14ac:dyDescent="0.25">
      <c r="E138" t="str">
        <f>"2899755408"</f>
        <v>2899755408</v>
      </c>
      <c r="F138" t="str">
        <f>"ACCT#831-000-7218 923"</f>
        <v>ACCT#831-000-7218 923</v>
      </c>
      <c r="G138" s="2">
        <v>822.01</v>
      </c>
      <c r="H138" t="str">
        <f>"ACCT#831-000-7218 923"</f>
        <v>ACCT#831-000-7218 923</v>
      </c>
    </row>
    <row r="139" spans="1:8" x14ac:dyDescent="0.25">
      <c r="A139" t="s">
        <v>34</v>
      </c>
      <c r="B139">
        <v>80644</v>
      </c>
      <c r="C139" s="2">
        <v>1802.46</v>
      </c>
      <c r="D139" s="1">
        <v>43493</v>
      </c>
      <c r="E139" t="str">
        <f>"201901236755"</f>
        <v>201901236755</v>
      </c>
      <c r="F139" t="str">
        <f>"512-303-1080-238-5"</f>
        <v>512-303-1080-238-5</v>
      </c>
      <c r="G139" s="2">
        <v>1802.46</v>
      </c>
      <c r="H139" t="str">
        <f>"512-303-1080-238-5"</f>
        <v>512-303-1080-238-5</v>
      </c>
    </row>
    <row r="140" spans="1:8" x14ac:dyDescent="0.25">
      <c r="E140" t="str">
        <f>""</f>
        <v/>
      </c>
      <c r="F140" t="str">
        <f>""</f>
        <v/>
      </c>
      <c r="H140" t="str">
        <f>"512-303-1080-238-5"</f>
        <v>512-303-1080-238-5</v>
      </c>
    </row>
    <row r="141" spans="1:8" x14ac:dyDescent="0.25">
      <c r="A141" t="s">
        <v>35</v>
      </c>
      <c r="B141">
        <v>80321</v>
      </c>
      <c r="C141" s="2">
        <v>1240.46</v>
      </c>
      <c r="D141" s="1">
        <v>43479</v>
      </c>
      <c r="E141" t="str">
        <f>"287263291654X12202"</f>
        <v>287263291654X12202</v>
      </c>
      <c r="F141" t="str">
        <f>"ACCT#287263291654"</f>
        <v>ACCT#287263291654</v>
      </c>
      <c r="G141" s="2">
        <v>1240.46</v>
      </c>
      <c r="H141" t="str">
        <f t="shared" ref="H141:H156" si="2">"ACCT#287263291654"</f>
        <v>ACCT#287263291654</v>
      </c>
    </row>
    <row r="142" spans="1:8" x14ac:dyDescent="0.25">
      <c r="E142" t="str">
        <f>""</f>
        <v/>
      </c>
      <c r="F142" t="str">
        <f>""</f>
        <v/>
      </c>
      <c r="H142" t="str">
        <f t="shared" si="2"/>
        <v>ACCT#287263291654</v>
      </c>
    </row>
    <row r="143" spans="1:8" x14ac:dyDescent="0.25">
      <c r="E143" t="str">
        <f>""</f>
        <v/>
      </c>
      <c r="F143" t="str">
        <f>""</f>
        <v/>
      </c>
      <c r="H143" t="str">
        <f t="shared" si="2"/>
        <v>ACCT#287263291654</v>
      </c>
    </row>
    <row r="144" spans="1:8" x14ac:dyDescent="0.25">
      <c r="E144" t="str">
        <f>""</f>
        <v/>
      </c>
      <c r="F144" t="str">
        <f>""</f>
        <v/>
      </c>
      <c r="H144" t="str">
        <f t="shared" si="2"/>
        <v>ACCT#287263291654</v>
      </c>
    </row>
    <row r="145" spans="1:8" x14ac:dyDescent="0.25">
      <c r="E145" t="str">
        <f>""</f>
        <v/>
      </c>
      <c r="F145" t="str">
        <f>""</f>
        <v/>
      </c>
      <c r="H145" t="str">
        <f t="shared" si="2"/>
        <v>ACCT#287263291654</v>
      </c>
    </row>
    <row r="146" spans="1:8" x14ac:dyDescent="0.25">
      <c r="E146" t="str">
        <f>""</f>
        <v/>
      </c>
      <c r="F146" t="str">
        <f>""</f>
        <v/>
      </c>
      <c r="H146" t="str">
        <f t="shared" si="2"/>
        <v>ACCT#287263291654</v>
      </c>
    </row>
    <row r="147" spans="1:8" x14ac:dyDescent="0.25">
      <c r="E147" t="str">
        <f>""</f>
        <v/>
      </c>
      <c r="F147" t="str">
        <f>""</f>
        <v/>
      </c>
      <c r="H147" t="str">
        <f t="shared" si="2"/>
        <v>ACCT#287263291654</v>
      </c>
    </row>
    <row r="148" spans="1:8" x14ac:dyDescent="0.25">
      <c r="E148" t="str">
        <f>""</f>
        <v/>
      </c>
      <c r="F148" t="str">
        <f>""</f>
        <v/>
      </c>
      <c r="H148" t="str">
        <f t="shared" si="2"/>
        <v>ACCT#287263291654</v>
      </c>
    </row>
    <row r="149" spans="1:8" x14ac:dyDescent="0.25">
      <c r="E149" t="str">
        <f>""</f>
        <v/>
      </c>
      <c r="F149" t="str">
        <f>""</f>
        <v/>
      </c>
      <c r="H149" t="str">
        <f t="shared" si="2"/>
        <v>ACCT#287263291654</v>
      </c>
    </row>
    <row r="150" spans="1:8" x14ac:dyDescent="0.25">
      <c r="E150" t="str">
        <f>""</f>
        <v/>
      </c>
      <c r="F150" t="str">
        <f>""</f>
        <v/>
      </c>
      <c r="H150" t="str">
        <f t="shared" si="2"/>
        <v>ACCT#287263291654</v>
      </c>
    </row>
    <row r="151" spans="1:8" x14ac:dyDescent="0.25">
      <c r="E151" t="str">
        <f>""</f>
        <v/>
      </c>
      <c r="F151" t="str">
        <f>""</f>
        <v/>
      </c>
      <c r="H151" t="str">
        <f t="shared" si="2"/>
        <v>ACCT#287263291654</v>
      </c>
    </row>
    <row r="152" spans="1:8" x14ac:dyDescent="0.25">
      <c r="E152" t="str">
        <f>""</f>
        <v/>
      </c>
      <c r="F152" t="str">
        <f>""</f>
        <v/>
      </c>
      <c r="H152" t="str">
        <f t="shared" si="2"/>
        <v>ACCT#287263291654</v>
      </c>
    </row>
    <row r="153" spans="1:8" x14ac:dyDescent="0.25">
      <c r="E153" t="str">
        <f>""</f>
        <v/>
      </c>
      <c r="F153" t="str">
        <f>""</f>
        <v/>
      </c>
      <c r="H153" t="str">
        <f t="shared" si="2"/>
        <v>ACCT#287263291654</v>
      </c>
    </row>
    <row r="154" spans="1:8" x14ac:dyDescent="0.25">
      <c r="E154" t="str">
        <f>""</f>
        <v/>
      </c>
      <c r="F154" t="str">
        <f>""</f>
        <v/>
      </c>
      <c r="H154" t="str">
        <f t="shared" si="2"/>
        <v>ACCT#287263291654</v>
      </c>
    </row>
    <row r="155" spans="1:8" x14ac:dyDescent="0.25">
      <c r="E155" t="str">
        <f>""</f>
        <v/>
      </c>
      <c r="F155" t="str">
        <f>""</f>
        <v/>
      </c>
      <c r="H155" t="str">
        <f t="shared" si="2"/>
        <v>ACCT#287263291654</v>
      </c>
    </row>
    <row r="156" spans="1:8" x14ac:dyDescent="0.25">
      <c r="E156" t="str">
        <f>""</f>
        <v/>
      </c>
      <c r="F156" t="str">
        <f>""</f>
        <v/>
      </c>
      <c r="H156" t="str">
        <f t="shared" si="2"/>
        <v>ACCT#287263291654</v>
      </c>
    </row>
    <row r="157" spans="1:8" x14ac:dyDescent="0.25">
      <c r="A157" t="s">
        <v>36</v>
      </c>
      <c r="B157">
        <v>80322</v>
      </c>
      <c r="C157" s="2">
        <v>111.81</v>
      </c>
      <c r="D157" s="1">
        <v>43479</v>
      </c>
      <c r="E157" t="str">
        <f>"201812286034"</f>
        <v>201812286034</v>
      </c>
      <c r="F157" t="str">
        <f>"ACCT#826392401/DPS"</f>
        <v>ACCT#826392401/DPS</v>
      </c>
      <c r="G157" s="2">
        <v>111.81</v>
      </c>
      <c r="H157" t="str">
        <f>"ACCT#826392401/DPS"</f>
        <v>ACCT#826392401/DPS</v>
      </c>
    </row>
    <row r="158" spans="1:8" x14ac:dyDescent="0.25">
      <c r="A158" t="s">
        <v>36</v>
      </c>
      <c r="B158">
        <v>80645</v>
      </c>
      <c r="C158" s="2">
        <v>110.34</v>
      </c>
      <c r="D158" s="1">
        <v>43493</v>
      </c>
      <c r="E158" t="str">
        <f>"201901166597"</f>
        <v>201901166597</v>
      </c>
      <c r="F158" t="str">
        <f>"ACCT#826392401/DPS"</f>
        <v>ACCT#826392401/DPS</v>
      </c>
      <c r="G158" s="2">
        <v>110.34</v>
      </c>
      <c r="H158" t="str">
        <f>"ACCT#826392401/DPS"</f>
        <v>ACCT#826392401/DPS</v>
      </c>
    </row>
    <row r="159" spans="1:8" x14ac:dyDescent="0.25">
      <c r="A159" t="s">
        <v>37</v>
      </c>
      <c r="B159">
        <v>80323</v>
      </c>
      <c r="C159" s="2">
        <v>227.88</v>
      </c>
      <c r="D159" s="1">
        <v>43479</v>
      </c>
      <c r="E159" t="str">
        <f>"201812316071"</f>
        <v>201812316071</v>
      </c>
      <c r="F159" t="str">
        <f>"ACCT#5373859-ONLINE ONLY 1 YR"</f>
        <v>ACCT#5373859-ONLINE ONLY 1 YR</v>
      </c>
      <c r="G159" s="2">
        <v>227.88</v>
      </c>
      <c r="H159" t="str">
        <f>"ACCT#5373859-ONLINE ONLY 1 YR"</f>
        <v>ACCT#5373859-ONLINE ONLY 1 YR</v>
      </c>
    </row>
    <row r="160" spans="1:8" x14ac:dyDescent="0.25">
      <c r="A160" t="s">
        <v>38</v>
      </c>
      <c r="B160">
        <v>80324</v>
      </c>
      <c r="C160" s="2">
        <v>25900</v>
      </c>
      <c r="D160" s="1">
        <v>43479</v>
      </c>
      <c r="E160" t="str">
        <f>"1023181"</f>
        <v>1023181</v>
      </c>
      <c r="F160" t="str">
        <f>"AEG JOB #1023181"</f>
        <v>AEG JOB #1023181</v>
      </c>
      <c r="G160" s="2">
        <v>24550</v>
      </c>
      <c r="H160" t="str">
        <f>"AEG JOB #1023181"</f>
        <v>AEG JOB #1023181</v>
      </c>
    </row>
    <row r="161" spans="1:8" x14ac:dyDescent="0.25">
      <c r="E161" t="str">
        <f>"1126180"</f>
        <v>1126180</v>
      </c>
      <c r="F161" t="str">
        <f>"AEG JOB #1126180"</f>
        <v>AEG JOB #1126180</v>
      </c>
      <c r="G161" s="2">
        <v>1350</v>
      </c>
      <c r="H161" t="str">
        <f>"AEG JOB #1126180"</f>
        <v>AEG JOB #1126180</v>
      </c>
    </row>
    <row r="162" spans="1:8" x14ac:dyDescent="0.25">
      <c r="A162" t="s">
        <v>39</v>
      </c>
      <c r="B162">
        <v>80325</v>
      </c>
      <c r="C162" s="2">
        <v>1283.92</v>
      </c>
      <c r="D162" s="1">
        <v>43479</v>
      </c>
      <c r="E162" t="str">
        <f>"108644"</f>
        <v>108644</v>
      </c>
      <c r="F162" t="str">
        <f>"TEARDOWN AND ESTIMATE/PCT#3"</f>
        <v>TEARDOWN AND ESTIMATE/PCT#3</v>
      </c>
      <c r="G162" s="2">
        <v>1283.92</v>
      </c>
      <c r="H162" t="str">
        <f>"TEARDOWN AND ESTIMATE/PCT#3"</f>
        <v>TEARDOWN AND ESTIMATE/PCT#3</v>
      </c>
    </row>
    <row r="163" spans="1:8" x14ac:dyDescent="0.25">
      <c r="A163" t="s">
        <v>40</v>
      </c>
      <c r="B163">
        <v>396</v>
      </c>
      <c r="C163" s="2">
        <v>42.99</v>
      </c>
      <c r="D163" s="1">
        <v>43494</v>
      </c>
      <c r="E163" t="str">
        <f>"201901226726"</f>
        <v>201901226726</v>
      </c>
      <c r="F163" t="str">
        <f>"INDIGENT HEALTH"</f>
        <v>INDIGENT HEALTH</v>
      </c>
      <c r="G163" s="2">
        <v>42.99</v>
      </c>
      <c r="H163" t="str">
        <f>"INDIGENT HEALTH"</f>
        <v>INDIGENT HEALTH</v>
      </c>
    </row>
    <row r="164" spans="1:8" x14ac:dyDescent="0.25">
      <c r="A164" t="s">
        <v>41</v>
      </c>
      <c r="B164">
        <v>80326</v>
      </c>
      <c r="C164" s="2">
        <v>719.99</v>
      </c>
      <c r="D164" s="1">
        <v>43479</v>
      </c>
      <c r="E164" t="str">
        <f>"260473"</f>
        <v>260473</v>
      </c>
      <c r="F164" t="str">
        <f>"74CC 14  Cut Off Saw"</f>
        <v>74CC 14  Cut Off Saw</v>
      </c>
      <c r="G164" s="2">
        <v>719.99</v>
      </c>
      <c r="H164" t="str">
        <f>"CSG741014"</f>
        <v>CSG741014</v>
      </c>
    </row>
    <row r="165" spans="1:8" x14ac:dyDescent="0.25">
      <c r="A165" t="s">
        <v>42</v>
      </c>
      <c r="B165">
        <v>80327</v>
      </c>
      <c r="C165" s="2">
        <v>638.03</v>
      </c>
      <c r="D165" s="1">
        <v>43479</v>
      </c>
      <c r="E165" t="str">
        <f>"201901096492"</f>
        <v>201901096492</v>
      </c>
      <c r="F165" t="str">
        <f>"INDIGENT HEALTH"</f>
        <v>INDIGENT HEALTH</v>
      </c>
      <c r="G165" s="2">
        <v>638.03</v>
      </c>
      <c r="H165" t="str">
        <f>"INDIGENT HEALTH"</f>
        <v>INDIGENT HEALTH</v>
      </c>
    </row>
    <row r="166" spans="1:8" x14ac:dyDescent="0.25">
      <c r="E166" t="str">
        <f>""</f>
        <v/>
      </c>
      <c r="F166" t="str">
        <f>""</f>
        <v/>
      </c>
      <c r="H166" t="str">
        <f>"INDIGENT HEALTH"</f>
        <v>INDIGENT HEALTH</v>
      </c>
    </row>
    <row r="167" spans="1:8" x14ac:dyDescent="0.25">
      <c r="A167" t="s">
        <v>42</v>
      </c>
      <c r="B167">
        <v>80646</v>
      </c>
      <c r="C167" s="2">
        <v>103.16</v>
      </c>
      <c r="D167" s="1">
        <v>43493</v>
      </c>
      <c r="E167" t="str">
        <f>"201901226727"</f>
        <v>201901226727</v>
      </c>
      <c r="F167" t="str">
        <f>"INDIGENT HEALTH"</f>
        <v>INDIGENT HEALTH</v>
      </c>
      <c r="G167" s="2">
        <v>103.16</v>
      </c>
      <c r="H167" t="str">
        <f>"INDIGENT HEALTH"</f>
        <v>INDIGENT HEALTH</v>
      </c>
    </row>
    <row r="168" spans="1:8" x14ac:dyDescent="0.25">
      <c r="A168" t="s">
        <v>43</v>
      </c>
      <c r="B168">
        <v>80328</v>
      </c>
      <c r="C168" s="2">
        <v>1386.09</v>
      </c>
      <c r="D168" s="1">
        <v>43479</v>
      </c>
      <c r="E168" t="str">
        <f>"4457*03111*4-5"</f>
        <v>4457*03111*4-5</v>
      </c>
      <c r="F168" t="str">
        <f>"JAIL MEDICAL"</f>
        <v>JAIL MEDICAL</v>
      </c>
      <c r="G168" s="2">
        <v>1386.09</v>
      </c>
      <c r="H168" t="str">
        <f>"JAIL MEDICAL"</f>
        <v>JAIL MEDICAL</v>
      </c>
    </row>
    <row r="169" spans="1:8" x14ac:dyDescent="0.25">
      <c r="A169" t="s">
        <v>43</v>
      </c>
      <c r="B169">
        <v>80647</v>
      </c>
      <c r="C169" s="2">
        <v>36.35</v>
      </c>
      <c r="D169" s="1">
        <v>43493</v>
      </c>
      <c r="E169" t="str">
        <f>"201901236756"</f>
        <v>201901236756</v>
      </c>
      <c r="F169" t="str">
        <f>"JAIL MEDICAL"</f>
        <v>JAIL MEDICAL</v>
      </c>
      <c r="G169" s="2">
        <v>36.35</v>
      </c>
      <c r="H169" t="str">
        <f>"JAIL MEDICAL"</f>
        <v>JAIL MEDICAL</v>
      </c>
    </row>
    <row r="170" spans="1:8" x14ac:dyDescent="0.25">
      <c r="A170" t="s">
        <v>44</v>
      </c>
      <c r="B170">
        <v>80648</v>
      </c>
      <c r="C170" s="2">
        <v>400</v>
      </c>
      <c r="D170" s="1">
        <v>43493</v>
      </c>
      <c r="E170" t="str">
        <f>"2101"</f>
        <v>2101</v>
      </c>
      <c r="F170" t="str">
        <f>"HEARING FOR HUNTER'S CROSSING"</f>
        <v>HEARING FOR HUNTER'S CROSSING</v>
      </c>
      <c r="G170" s="2">
        <v>400</v>
      </c>
      <c r="H170" t="str">
        <f>"HEARING FOR HUNTER'S CROSSING"</f>
        <v>HEARING FOR HUNTER'S CROSSING</v>
      </c>
    </row>
    <row r="171" spans="1:8" x14ac:dyDescent="0.25">
      <c r="A171" t="s">
        <v>45</v>
      </c>
      <c r="B171">
        <v>80329</v>
      </c>
      <c r="C171" s="2">
        <v>203.24</v>
      </c>
      <c r="D171" s="1">
        <v>43479</v>
      </c>
      <c r="E171" t="str">
        <f>"037026"</f>
        <v>037026</v>
      </c>
      <c r="F171" t="str">
        <f>"INV 037026"</f>
        <v>INV 037026</v>
      </c>
      <c r="G171" s="2">
        <v>203.24</v>
      </c>
      <c r="H171" t="str">
        <f>"INV 037026"</f>
        <v>INV 037026</v>
      </c>
    </row>
    <row r="172" spans="1:8" x14ac:dyDescent="0.25">
      <c r="A172" t="s">
        <v>46</v>
      </c>
      <c r="B172">
        <v>80649</v>
      </c>
      <c r="C172" s="2">
        <v>860</v>
      </c>
      <c r="D172" s="1">
        <v>43493</v>
      </c>
      <c r="E172" t="str">
        <f>"IN1901113"</f>
        <v>IN1901113</v>
      </c>
      <c r="F172" t="str">
        <f>"Security Paper"</f>
        <v>Security Paper</v>
      </c>
      <c r="G172" s="2">
        <v>860</v>
      </c>
      <c r="H172" t="str">
        <f>"B6"</f>
        <v>B6</v>
      </c>
    </row>
    <row r="173" spans="1:8" x14ac:dyDescent="0.25">
      <c r="E173" t="str">
        <f>""</f>
        <v/>
      </c>
      <c r="F173" t="str">
        <f>""</f>
        <v/>
      </c>
      <c r="H173" t="str">
        <f>"Set up"</f>
        <v>Set up</v>
      </c>
    </row>
    <row r="174" spans="1:8" x14ac:dyDescent="0.25">
      <c r="A174" t="s">
        <v>47</v>
      </c>
      <c r="B174">
        <v>314</v>
      </c>
      <c r="C174" s="2">
        <v>485.99</v>
      </c>
      <c r="D174" s="1">
        <v>43480</v>
      </c>
      <c r="E174" t="str">
        <f>"201901026084"</f>
        <v>201901026084</v>
      </c>
      <c r="F174" t="str">
        <f>"CUST ID:0009/PCT#1"</f>
        <v>CUST ID:0009/PCT#1</v>
      </c>
      <c r="G174" s="2">
        <v>255.99</v>
      </c>
      <c r="H174" t="str">
        <f>"CUST ID:0009/PCT#1"</f>
        <v>CUST ID:0009/PCT#1</v>
      </c>
    </row>
    <row r="175" spans="1:8" x14ac:dyDescent="0.25">
      <c r="E175" t="str">
        <f>"201901046374"</f>
        <v>201901046374</v>
      </c>
      <c r="F175" t="str">
        <f>"CUST ID:0010/PCT#2"</f>
        <v>CUST ID:0010/PCT#2</v>
      </c>
      <c r="G175" s="2">
        <v>210</v>
      </c>
      <c r="H175" t="str">
        <f>"CUST ID:0010/PCT#2"</f>
        <v>CUST ID:0010/PCT#2</v>
      </c>
    </row>
    <row r="176" spans="1:8" x14ac:dyDescent="0.25">
      <c r="E176" t="str">
        <f>"356599"</f>
        <v>356599</v>
      </c>
      <c r="F176" t="str">
        <f>"CUST ID:0011/PCT#3"</f>
        <v>CUST ID:0011/PCT#3</v>
      </c>
      <c r="G176" s="2">
        <v>20</v>
      </c>
      <c r="H176" t="str">
        <f>"CUST ID:0011/PCT#3"</f>
        <v>CUST ID:0011/PCT#3</v>
      </c>
    </row>
    <row r="177" spans="1:9" x14ac:dyDescent="0.25">
      <c r="A177" t="s">
        <v>48</v>
      </c>
      <c r="B177">
        <v>80699</v>
      </c>
      <c r="C177" s="2">
        <v>60.48</v>
      </c>
      <c r="D177" s="1">
        <v>43493</v>
      </c>
      <c r="E177" t="str">
        <f>"20190110"</f>
        <v>20190110</v>
      </c>
      <c r="F177" t="str">
        <f>"PUBLIC NOTICE"</f>
        <v>PUBLIC NOTICE</v>
      </c>
      <c r="G177" s="2">
        <v>60.48</v>
      </c>
      <c r="H177" t="str">
        <f>"BASTROP ADVERTISER"</f>
        <v>BASTROP ADVERTISER</v>
      </c>
    </row>
    <row r="178" spans="1:9" x14ac:dyDescent="0.25">
      <c r="E178" t="str">
        <f>""</f>
        <v/>
      </c>
      <c r="F178" t="str">
        <f>""</f>
        <v/>
      </c>
      <c r="H178" t="str">
        <f>"SMITHVILLE TIMES"</f>
        <v>SMITHVILLE TIMES</v>
      </c>
    </row>
    <row r="179" spans="1:9" x14ac:dyDescent="0.25">
      <c r="A179" t="s">
        <v>49</v>
      </c>
      <c r="B179">
        <v>80330</v>
      </c>
      <c r="C179" s="2">
        <v>990.2</v>
      </c>
      <c r="D179" s="1">
        <v>43479</v>
      </c>
      <c r="E179" t="str">
        <f>"11735"</f>
        <v>11735</v>
      </c>
      <c r="F179" t="str">
        <f>"SERVICE"</f>
        <v>SERVICE</v>
      </c>
      <c r="G179" s="2">
        <v>250</v>
      </c>
      <c r="H179" t="str">
        <f>"SERVICE"</f>
        <v>SERVICE</v>
      </c>
    </row>
    <row r="180" spans="1:9" x14ac:dyDescent="0.25">
      <c r="E180" t="s">
        <v>50</v>
      </c>
      <c r="F180" t="s">
        <v>51</v>
      </c>
      <c r="G180" s="2" t="str">
        <f>"SERVICE"</f>
        <v>SERVICE</v>
      </c>
      <c r="H180" t="str">
        <f>"995-4110"</f>
        <v>995-4110</v>
      </c>
      <c r="I180" t="str">
        <f>""</f>
        <v/>
      </c>
    </row>
    <row r="181" spans="1:9" x14ac:dyDescent="0.25">
      <c r="E181" t="str">
        <f>"12105  11/27/18"</f>
        <v>12105  11/27/18</v>
      </c>
      <c r="F181" t="str">
        <f t="shared" ref="F181:F197" si="3">"SERVICE"</f>
        <v>SERVICE</v>
      </c>
      <c r="G181" s="2">
        <v>56</v>
      </c>
      <c r="H181" t="str">
        <f t="shared" ref="H181:H197" si="4">"SERVICE"</f>
        <v>SERVICE</v>
      </c>
    </row>
    <row r="182" spans="1:9" x14ac:dyDescent="0.25">
      <c r="E182" t="str">
        <f>"12613"</f>
        <v>12613</v>
      </c>
      <c r="F182" t="str">
        <f t="shared" si="3"/>
        <v>SERVICE</v>
      </c>
      <c r="G182" s="2">
        <v>75</v>
      </c>
      <c r="H182" t="str">
        <f t="shared" si="4"/>
        <v>SERVICE</v>
      </c>
    </row>
    <row r="183" spans="1:9" x14ac:dyDescent="0.25">
      <c r="E183" t="str">
        <f>"12836"</f>
        <v>12836</v>
      </c>
      <c r="F183" t="str">
        <f t="shared" si="3"/>
        <v>SERVICE</v>
      </c>
      <c r="G183" s="2">
        <v>75</v>
      </c>
      <c r="H183" t="str">
        <f t="shared" si="4"/>
        <v>SERVICE</v>
      </c>
    </row>
    <row r="184" spans="1:9" x14ac:dyDescent="0.25">
      <c r="E184" t="str">
        <f>"12857"</f>
        <v>12857</v>
      </c>
      <c r="F184" t="str">
        <f t="shared" si="3"/>
        <v>SERVICE</v>
      </c>
      <c r="G184" s="2">
        <v>8</v>
      </c>
      <c r="H184" t="str">
        <f t="shared" si="4"/>
        <v>SERVICE</v>
      </c>
    </row>
    <row r="185" spans="1:9" x14ac:dyDescent="0.25">
      <c r="E185" t="str">
        <f>"12993"</f>
        <v>12993</v>
      </c>
      <c r="F185" t="str">
        <f t="shared" si="3"/>
        <v>SERVICE</v>
      </c>
      <c r="G185" s="2">
        <v>100</v>
      </c>
      <c r="H185" t="str">
        <f t="shared" si="4"/>
        <v>SERVICE</v>
      </c>
    </row>
    <row r="186" spans="1:9" x14ac:dyDescent="0.25">
      <c r="E186" t="str">
        <f>"13004"</f>
        <v>13004</v>
      </c>
      <c r="F186" t="str">
        <f t="shared" si="3"/>
        <v>SERVICE</v>
      </c>
      <c r="G186" s="2">
        <v>75</v>
      </c>
      <c r="H186" t="str">
        <f t="shared" si="4"/>
        <v>SERVICE</v>
      </c>
    </row>
    <row r="187" spans="1:9" x14ac:dyDescent="0.25">
      <c r="E187" t="str">
        <f>"13017"</f>
        <v>13017</v>
      </c>
      <c r="F187" t="str">
        <f t="shared" si="3"/>
        <v>SERVICE</v>
      </c>
      <c r="G187" s="2">
        <v>150</v>
      </c>
      <c r="H187" t="str">
        <f t="shared" si="4"/>
        <v>SERVICE</v>
      </c>
    </row>
    <row r="188" spans="1:9" x14ac:dyDescent="0.25">
      <c r="E188" t="str">
        <f>"13078"</f>
        <v>13078</v>
      </c>
      <c r="F188" t="str">
        <f t="shared" si="3"/>
        <v>SERVICE</v>
      </c>
      <c r="G188" s="2">
        <v>150</v>
      </c>
      <c r="H188" t="str">
        <f t="shared" si="4"/>
        <v>SERVICE</v>
      </c>
    </row>
    <row r="189" spans="1:9" x14ac:dyDescent="0.25">
      <c r="A189" t="s">
        <v>49</v>
      </c>
      <c r="B189">
        <v>80650</v>
      </c>
      <c r="C189" s="2">
        <v>1992</v>
      </c>
      <c r="D189" s="1">
        <v>43493</v>
      </c>
      <c r="E189" t="str">
        <f>"12010  12/04/18"</f>
        <v>12010  12/04/18</v>
      </c>
      <c r="F189" t="str">
        <f t="shared" si="3"/>
        <v>SERVICE</v>
      </c>
      <c r="G189" s="2">
        <v>75</v>
      </c>
      <c r="H189" t="str">
        <f t="shared" si="4"/>
        <v>SERVICE</v>
      </c>
    </row>
    <row r="190" spans="1:9" x14ac:dyDescent="0.25">
      <c r="E190" t="str">
        <f>"12515"</f>
        <v>12515</v>
      </c>
      <c r="F190" t="str">
        <f t="shared" si="3"/>
        <v>SERVICE</v>
      </c>
      <c r="G190" s="2">
        <v>325</v>
      </c>
      <c r="H190" t="str">
        <f t="shared" si="4"/>
        <v>SERVICE</v>
      </c>
    </row>
    <row r="191" spans="1:9" x14ac:dyDescent="0.25">
      <c r="E191" t="str">
        <f>"12538"</f>
        <v>12538</v>
      </c>
      <c r="F191" t="str">
        <f t="shared" si="3"/>
        <v>SERVICE</v>
      </c>
      <c r="G191" s="2">
        <v>325</v>
      </c>
      <c r="H191" t="str">
        <f t="shared" si="4"/>
        <v>SERVICE</v>
      </c>
    </row>
    <row r="192" spans="1:9" x14ac:dyDescent="0.25">
      <c r="E192" t="str">
        <f>"12812"</f>
        <v>12812</v>
      </c>
      <c r="F192" t="str">
        <f t="shared" si="3"/>
        <v>SERVICE</v>
      </c>
      <c r="G192" s="2">
        <v>225</v>
      </c>
      <c r="H192" t="str">
        <f t="shared" si="4"/>
        <v>SERVICE</v>
      </c>
    </row>
    <row r="193" spans="1:8" x14ac:dyDescent="0.25">
      <c r="E193" t="str">
        <f>"12857  12/04/18"</f>
        <v>12857  12/04/18</v>
      </c>
      <c r="F193" t="str">
        <f t="shared" si="3"/>
        <v>SERVICE</v>
      </c>
      <c r="G193" s="2">
        <v>142</v>
      </c>
      <c r="H193" t="str">
        <f t="shared" si="4"/>
        <v>SERVICE</v>
      </c>
    </row>
    <row r="194" spans="1:8" x14ac:dyDescent="0.25">
      <c r="E194" t="str">
        <f>"12873"</f>
        <v>12873</v>
      </c>
      <c r="F194" t="str">
        <f t="shared" si="3"/>
        <v>SERVICE</v>
      </c>
      <c r="G194" s="2">
        <v>325</v>
      </c>
      <c r="H194" t="str">
        <f t="shared" si="4"/>
        <v>SERVICE</v>
      </c>
    </row>
    <row r="195" spans="1:8" x14ac:dyDescent="0.25">
      <c r="E195" t="str">
        <f>"12910"</f>
        <v>12910</v>
      </c>
      <c r="F195" t="str">
        <f t="shared" si="3"/>
        <v>SERVICE</v>
      </c>
      <c r="G195" s="2">
        <v>250</v>
      </c>
      <c r="H195" t="str">
        <f t="shared" si="4"/>
        <v>SERVICE</v>
      </c>
    </row>
    <row r="196" spans="1:8" x14ac:dyDescent="0.25">
      <c r="E196" t="str">
        <f>"12922"</f>
        <v>12922</v>
      </c>
      <c r="F196" t="str">
        <f t="shared" si="3"/>
        <v>SERVICE</v>
      </c>
      <c r="G196" s="2">
        <v>250</v>
      </c>
      <c r="H196" t="str">
        <f t="shared" si="4"/>
        <v>SERVICE</v>
      </c>
    </row>
    <row r="197" spans="1:8" x14ac:dyDescent="0.25">
      <c r="E197" t="str">
        <f>"13074"</f>
        <v>13074</v>
      </c>
      <c r="F197" t="str">
        <f t="shared" si="3"/>
        <v>SERVICE</v>
      </c>
      <c r="G197" s="2">
        <v>75</v>
      </c>
      <c r="H197" t="str">
        <f t="shared" si="4"/>
        <v>SERVICE</v>
      </c>
    </row>
    <row r="198" spans="1:8" x14ac:dyDescent="0.25">
      <c r="A198" t="s">
        <v>52</v>
      </c>
      <c r="B198">
        <v>80331</v>
      </c>
      <c r="C198" s="2">
        <v>336.38</v>
      </c>
      <c r="D198" s="1">
        <v>43479</v>
      </c>
      <c r="E198" t="str">
        <f>"201901096452"</f>
        <v>201901096452</v>
      </c>
      <c r="F198" t="str">
        <f>"ACCT#BC01/OFFICE SUPPLIES"</f>
        <v>ACCT#BC01/OFFICE SUPPLIES</v>
      </c>
      <c r="G198" s="2">
        <v>336.38</v>
      </c>
      <c r="H198" t="str">
        <f>"ACCT#BC01/OFFICE SUPPLIES"</f>
        <v>ACCT#BC01/OFFICE SUPPLIES</v>
      </c>
    </row>
    <row r="199" spans="1:8" x14ac:dyDescent="0.25">
      <c r="E199" t="str">
        <f>""</f>
        <v/>
      </c>
      <c r="F199" t="str">
        <f>""</f>
        <v/>
      </c>
      <c r="H199" t="str">
        <f>"ACCT#BC01/OFFICE SUPPLIES"</f>
        <v>ACCT#BC01/OFFICE SUPPLIES</v>
      </c>
    </row>
    <row r="200" spans="1:8" x14ac:dyDescent="0.25">
      <c r="E200" t="str">
        <f>""</f>
        <v/>
      </c>
      <c r="F200" t="str">
        <f>""</f>
        <v/>
      </c>
      <c r="H200" t="str">
        <f>"ACCT#BC01/OFFICE SUPPLIES"</f>
        <v>ACCT#BC01/OFFICE SUPPLIES</v>
      </c>
    </row>
    <row r="201" spans="1:8" x14ac:dyDescent="0.25">
      <c r="E201" t="str">
        <f>""</f>
        <v/>
      </c>
      <c r="F201" t="str">
        <f>""</f>
        <v/>
      </c>
      <c r="H201" t="str">
        <f>"ACCT#BC01/OFFICE SUPPLIES"</f>
        <v>ACCT#BC01/OFFICE SUPPLIES</v>
      </c>
    </row>
    <row r="202" spans="1:8" x14ac:dyDescent="0.25">
      <c r="A202" t="s">
        <v>53</v>
      </c>
      <c r="B202">
        <v>308</v>
      </c>
      <c r="C202" s="2">
        <v>19457.38</v>
      </c>
      <c r="D202" s="1">
        <v>43480</v>
      </c>
      <c r="E202" t="str">
        <f>"201901086439"</f>
        <v>201901086439</v>
      </c>
      <c r="F202" t="str">
        <f>"GRANT REIMBURSEMENT"</f>
        <v>GRANT REIMBURSEMENT</v>
      </c>
      <c r="G202" s="2">
        <v>9112.92</v>
      </c>
      <c r="H202" t="str">
        <f>"GRANT REIMBURSEMENT"</f>
        <v>GRANT REIMBURSEMENT</v>
      </c>
    </row>
    <row r="203" spans="1:8" x14ac:dyDescent="0.25">
      <c r="E203" t="str">
        <f>"201901086440"</f>
        <v>201901086440</v>
      </c>
      <c r="F203" t="str">
        <f>"GRANT REIMBURSEMENT"</f>
        <v>GRANT REIMBURSEMENT</v>
      </c>
      <c r="G203" s="2">
        <v>10344.459999999999</v>
      </c>
      <c r="H203" t="str">
        <f>"GRANT REIMBURSEMENT"</f>
        <v>GRANT REIMBURSEMENT</v>
      </c>
    </row>
    <row r="204" spans="1:8" x14ac:dyDescent="0.25">
      <c r="A204" t="s">
        <v>54</v>
      </c>
      <c r="B204">
        <v>400</v>
      </c>
      <c r="C204" s="2">
        <v>69.69</v>
      </c>
      <c r="D204" s="1">
        <v>43494</v>
      </c>
      <c r="E204" t="str">
        <f>"201901226729"</f>
        <v>201901226729</v>
      </c>
      <c r="F204" t="str">
        <f>"INDIGENT HEALTH"</f>
        <v>INDIGENT HEALTH</v>
      </c>
      <c r="G204" s="2">
        <v>69.69</v>
      </c>
      <c r="H204" t="str">
        <f>"INDIGENT HEALTH"</f>
        <v>INDIGENT HEALTH</v>
      </c>
    </row>
    <row r="205" spans="1:8" x14ac:dyDescent="0.25">
      <c r="A205" t="s">
        <v>55</v>
      </c>
      <c r="B205">
        <v>80332</v>
      </c>
      <c r="C205" s="2">
        <v>12500</v>
      </c>
      <c r="D205" s="1">
        <v>43479</v>
      </c>
      <c r="E205" t="str">
        <f>"201901046369"</f>
        <v>201901046369</v>
      </c>
      <c r="F205" t="str">
        <f>"PER BUDGET FY 2019"</f>
        <v>PER BUDGET FY 2019</v>
      </c>
      <c r="G205" s="2">
        <v>12500</v>
      </c>
      <c r="H205" t="str">
        <f>"PER BUDGET FY 2019"</f>
        <v>PER BUDGET FY 2019</v>
      </c>
    </row>
    <row r="206" spans="1:8" x14ac:dyDescent="0.25">
      <c r="A206" t="s">
        <v>56</v>
      </c>
      <c r="B206">
        <v>80651</v>
      </c>
      <c r="C206" s="2">
        <v>12500</v>
      </c>
      <c r="D206" s="1">
        <v>43493</v>
      </c>
      <c r="E206" t="str">
        <f>"201901176659"</f>
        <v>201901176659</v>
      </c>
      <c r="F206" t="str">
        <f>"2019 FUNDING DISBURSEMENT"</f>
        <v>2019 FUNDING DISBURSEMENT</v>
      </c>
      <c r="G206" s="2">
        <v>12500</v>
      </c>
      <c r="H206" t="str">
        <f>"2019 FUNDING DISBURSEMENT"</f>
        <v>2019 FUNDING DISBURSEMENT</v>
      </c>
    </row>
    <row r="207" spans="1:8" x14ac:dyDescent="0.25">
      <c r="A207" t="s">
        <v>57</v>
      </c>
      <c r="B207">
        <v>80652</v>
      </c>
      <c r="C207" s="2">
        <v>82017</v>
      </c>
      <c r="D207" s="1">
        <v>43493</v>
      </c>
      <c r="E207" t="str">
        <f>"1ST QURT 2019"</f>
        <v>1ST QURT 2019</v>
      </c>
      <c r="F207" t="str">
        <f>"COUNTY CONTRIBUTION"</f>
        <v>COUNTY CONTRIBUTION</v>
      </c>
      <c r="G207" s="2">
        <v>82017</v>
      </c>
      <c r="H207" t="str">
        <f>"COUNTY CONTRIBUTION"</f>
        <v>COUNTY CONTRIBUTION</v>
      </c>
    </row>
    <row r="208" spans="1:8" x14ac:dyDescent="0.25">
      <c r="A208" t="s">
        <v>58</v>
      </c>
      <c r="B208">
        <v>329</v>
      </c>
      <c r="C208" s="2">
        <v>33.270000000000003</v>
      </c>
      <c r="D208" s="1">
        <v>43480</v>
      </c>
      <c r="E208" t="str">
        <f>"201901096493"</f>
        <v>201901096493</v>
      </c>
      <c r="F208" t="str">
        <f>"INDIGENT HEALTH"</f>
        <v>INDIGENT HEALTH</v>
      </c>
      <c r="G208" s="2">
        <v>33.270000000000003</v>
      </c>
      <c r="H208" t="str">
        <f>"INDIGENT HEALTH"</f>
        <v>INDIGENT HEALTH</v>
      </c>
    </row>
    <row r="209" spans="1:8" x14ac:dyDescent="0.25">
      <c r="A209" t="s">
        <v>58</v>
      </c>
      <c r="B209">
        <v>389</v>
      </c>
      <c r="C209" s="2">
        <v>58.04</v>
      </c>
      <c r="D209" s="1">
        <v>43494</v>
      </c>
      <c r="E209" t="str">
        <f>"201901226730"</f>
        <v>201901226730</v>
      </c>
      <c r="F209" t="str">
        <f>"INDIGENT HEALTH"</f>
        <v>INDIGENT HEALTH</v>
      </c>
      <c r="G209" s="2">
        <v>58.04</v>
      </c>
      <c r="H209" t="str">
        <f>"INDIGENT HEALTH"</f>
        <v>INDIGENT HEALTH</v>
      </c>
    </row>
    <row r="210" spans="1:8" x14ac:dyDescent="0.25">
      <c r="E210" t="str">
        <f>""</f>
        <v/>
      </c>
      <c r="F210" t="str">
        <f>""</f>
        <v/>
      </c>
      <c r="H210" t="str">
        <f>"INDIGENT HEALTH"</f>
        <v>INDIGENT HEALTH</v>
      </c>
    </row>
    <row r="211" spans="1:8" x14ac:dyDescent="0.25">
      <c r="A211" t="s">
        <v>59</v>
      </c>
      <c r="B211">
        <v>80333</v>
      </c>
      <c r="C211" s="2">
        <v>7</v>
      </c>
      <c r="D211" s="1">
        <v>43479</v>
      </c>
      <c r="E211" t="str">
        <f>"6621"</f>
        <v>6621</v>
      </c>
      <c r="F211" t="str">
        <f>"SHARPEN CHAIN"</f>
        <v>SHARPEN CHAIN</v>
      </c>
      <c r="G211" s="2">
        <v>7</v>
      </c>
      <c r="H211" t="str">
        <f>"SHARPEN CHAIN"</f>
        <v>SHARPEN CHAIN</v>
      </c>
    </row>
    <row r="212" spans="1:8" x14ac:dyDescent="0.25">
      <c r="A212" t="s">
        <v>60</v>
      </c>
      <c r="B212">
        <v>285</v>
      </c>
      <c r="C212" s="2">
        <v>3445</v>
      </c>
      <c r="D212" s="1">
        <v>43480</v>
      </c>
      <c r="E212" t="str">
        <f>"2018164"</f>
        <v>2018164</v>
      </c>
      <c r="F212" t="str">
        <f>"TRANSPORT-K. KIEKE"</f>
        <v>TRANSPORT-K. KIEKE</v>
      </c>
      <c r="G212" s="2">
        <v>390</v>
      </c>
      <c r="H212" t="str">
        <f>"TRANSPORT-K. KIEKE"</f>
        <v>TRANSPORT-K. KIEKE</v>
      </c>
    </row>
    <row r="213" spans="1:8" x14ac:dyDescent="0.25">
      <c r="E213" t="str">
        <f>"2018168"</f>
        <v>2018168</v>
      </c>
      <c r="F213" t="str">
        <f>"TRANSPORT-J.T. EBERLE"</f>
        <v>TRANSPORT-J.T. EBERLE</v>
      </c>
      <c r="G213" s="2">
        <v>495</v>
      </c>
      <c r="H213" t="str">
        <f>"TRANSPORT-J.T. EBERLE"</f>
        <v>TRANSPORT-J.T. EBERLE</v>
      </c>
    </row>
    <row r="214" spans="1:8" x14ac:dyDescent="0.25">
      <c r="E214" t="str">
        <f>"2018172"</f>
        <v>2018172</v>
      </c>
      <c r="F214" t="str">
        <f>"TRANSPORT-G. MALDONADO"</f>
        <v>TRANSPORT-G. MALDONADO</v>
      </c>
      <c r="G214" s="2">
        <v>295</v>
      </c>
      <c r="H214" t="str">
        <f>"TRANSPORT-G. MALDONADO"</f>
        <v>TRANSPORT-G. MALDONADO</v>
      </c>
    </row>
    <row r="215" spans="1:8" x14ac:dyDescent="0.25">
      <c r="E215" t="str">
        <f>"2018174"</f>
        <v>2018174</v>
      </c>
      <c r="F215" t="str">
        <f>"TRANSPORT-J.A. CRAMER"</f>
        <v>TRANSPORT-J.A. CRAMER</v>
      </c>
      <c r="G215" s="2">
        <v>390</v>
      </c>
      <c r="H215" t="str">
        <f>"TRANSPORT-J.A. CRAMER"</f>
        <v>TRANSPORT-J.A. CRAMER</v>
      </c>
    </row>
    <row r="216" spans="1:8" x14ac:dyDescent="0.25">
      <c r="E216" t="str">
        <f>"2018177"</f>
        <v>2018177</v>
      </c>
      <c r="F216" t="str">
        <f>"TRANSPORT-R. LANGFORD"</f>
        <v>TRANSPORT-R. LANGFORD</v>
      </c>
      <c r="G216" s="2">
        <v>495</v>
      </c>
      <c r="H216" t="str">
        <f>"TRANSPORT-R. LANGFORD"</f>
        <v>TRANSPORT-R. LANGFORD</v>
      </c>
    </row>
    <row r="217" spans="1:8" x14ac:dyDescent="0.25">
      <c r="E217" t="str">
        <f>"2018178"</f>
        <v>2018178</v>
      </c>
      <c r="F217" t="str">
        <f>"TRANSPORT-B. DISTIN"</f>
        <v>TRANSPORT-B. DISTIN</v>
      </c>
      <c r="G217" s="2">
        <v>295</v>
      </c>
      <c r="H217" t="str">
        <f>"TRANSPORT-B. DISTIN"</f>
        <v>TRANSPORT-B. DISTIN</v>
      </c>
    </row>
    <row r="218" spans="1:8" x14ac:dyDescent="0.25">
      <c r="E218" t="str">
        <f>"2018179"</f>
        <v>2018179</v>
      </c>
      <c r="F218" t="str">
        <f>"TRANSPORT-B. DISTIN"</f>
        <v>TRANSPORT-B. DISTIN</v>
      </c>
      <c r="G218" s="2">
        <v>695</v>
      </c>
      <c r="H218" t="str">
        <f>"TRANSPORT-B. DISTIN"</f>
        <v>TRANSPORT-B. DISTIN</v>
      </c>
    </row>
    <row r="219" spans="1:8" x14ac:dyDescent="0.25">
      <c r="E219" t="str">
        <f>"2018181"</f>
        <v>2018181</v>
      </c>
      <c r="F219" t="str">
        <f>"TRANSPORT-D.G. JACKSON"</f>
        <v>TRANSPORT-D.G. JACKSON</v>
      </c>
      <c r="G219" s="2">
        <v>390</v>
      </c>
      <c r="H219" t="str">
        <f>"TRANSPORT-D.G. JACKSON"</f>
        <v>TRANSPORT-D.G. JACKSON</v>
      </c>
    </row>
    <row r="220" spans="1:8" x14ac:dyDescent="0.25">
      <c r="A220" t="s">
        <v>61</v>
      </c>
      <c r="B220">
        <v>80334</v>
      </c>
      <c r="C220" s="2">
        <v>1508.8</v>
      </c>
      <c r="D220" s="1">
        <v>43479</v>
      </c>
      <c r="E220" t="str">
        <f>"6090"</f>
        <v>6090</v>
      </c>
      <c r="F220" t="str">
        <f>"WALL LETTERING/ANIMAL SHELTER"</f>
        <v>WALL LETTERING/ANIMAL SHELTER</v>
      </c>
      <c r="G220" s="2">
        <v>154</v>
      </c>
      <c r="H220" t="str">
        <f>"WALL LETTERING/ANIMAL SHELTER"</f>
        <v>WALL LETTERING/ANIMAL SHELTER</v>
      </c>
    </row>
    <row r="221" spans="1:8" x14ac:dyDescent="0.25">
      <c r="E221" t="str">
        <f>"6091"</f>
        <v>6091</v>
      </c>
      <c r="F221" t="str">
        <f>"WALL LETTERING/ANIMAL SHELTER"</f>
        <v>WALL LETTERING/ANIMAL SHELTER</v>
      </c>
      <c r="G221" s="2">
        <v>451.6</v>
      </c>
      <c r="H221" t="str">
        <f>"WALL LETTERING/ANIMAL SHELTER"</f>
        <v>WALL LETTERING/ANIMAL SHELTER</v>
      </c>
    </row>
    <row r="222" spans="1:8" x14ac:dyDescent="0.25">
      <c r="E222" t="str">
        <f>"6092"</f>
        <v>6092</v>
      </c>
      <c r="F222" t="str">
        <f>"WALL LETTERING/ANIMAL SHELTER"</f>
        <v>WALL LETTERING/ANIMAL SHELTER</v>
      </c>
      <c r="G222" s="2">
        <v>451.6</v>
      </c>
      <c r="H222" t="str">
        <f>"WALL LETTERING/ANIMAL SHELTER"</f>
        <v>WALL LETTERING/ANIMAL SHELTER</v>
      </c>
    </row>
    <row r="223" spans="1:8" x14ac:dyDescent="0.25">
      <c r="E223" t="str">
        <f>"6093"</f>
        <v>6093</v>
      </c>
      <c r="F223" t="str">
        <f>"WALL LETTERING/ANIMAL SHELTER"</f>
        <v>WALL LETTERING/ANIMAL SHELTER</v>
      </c>
      <c r="G223" s="2">
        <v>451.6</v>
      </c>
      <c r="H223" t="str">
        <f>"WALL LETTERING/ANIMAL SHELTER"</f>
        <v>WALL LETTERING/ANIMAL SHELTER</v>
      </c>
    </row>
    <row r="224" spans="1:8" x14ac:dyDescent="0.25">
      <c r="A224" t="s">
        <v>61</v>
      </c>
      <c r="B224">
        <v>80653</v>
      </c>
      <c r="C224" s="2">
        <v>370</v>
      </c>
      <c r="D224" s="1">
        <v>43493</v>
      </c>
      <c r="E224" t="str">
        <f>"6094"</f>
        <v>6094</v>
      </c>
      <c r="F224" t="str">
        <f>"BLACK FOAMBOARD"</f>
        <v>BLACK FOAMBOARD</v>
      </c>
      <c r="G224" s="2">
        <v>370</v>
      </c>
      <c r="H224" t="str">
        <f>"BLACK FOAMBOARD"</f>
        <v>BLACK FOAMBOARD</v>
      </c>
    </row>
    <row r="225" spans="1:9" x14ac:dyDescent="0.25">
      <c r="A225" t="s">
        <v>62</v>
      </c>
      <c r="B225">
        <v>338</v>
      </c>
      <c r="C225" s="2">
        <v>200</v>
      </c>
      <c r="D225" s="1">
        <v>43480</v>
      </c>
      <c r="E225" t="str">
        <f>"15648"</f>
        <v>15648</v>
      </c>
      <c r="F225" t="str">
        <f>"SANDY LOAM/GEN SVCS"</f>
        <v>SANDY LOAM/GEN SVCS</v>
      </c>
      <c r="G225" s="2">
        <v>200</v>
      </c>
      <c r="H225" t="str">
        <f>"SANDY LOAM/GEN SVCS"</f>
        <v>SANDY LOAM/GEN SVCS</v>
      </c>
    </row>
    <row r="226" spans="1:9" x14ac:dyDescent="0.25">
      <c r="A226" t="s">
        <v>62</v>
      </c>
      <c r="B226">
        <v>397</v>
      </c>
      <c r="C226" s="2">
        <v>75</v>
      </c>
      <c r="D226" s="1">
        <v>43494</v>
      </c>
      <c r="E226" t="str">
        <f>"15643"</f>
        <v>15643</v>
      </c>
      <c r="F226" t="str">
        <f>"SANDY LOAM/GEN SVCS"</f>
        <v>SANDY LOAM/GEN SVCS</v>
      </c>
      <c r="G226" s="2">
        <v>75</v>
      </c>
      <c r="H226" t="str">
        <f>"SANDY LOAM/GEN SVCS"</f>
        <v>SANDY LOAM/GEN SVCS</v>
      </c>
    </row>
    <row r="227" spans="1:9" x14ac:dyDescent="0.25">
      <c r="A227" t="s">
        <v>63</v>
      </c>
      <c r="B227">
        <v>80654</v>
      </c>
      <c r="C227" s="2">
        <v>2400</v>
      </c>
      <c r="D227" s="1">
        <v>43493</v>
      </c>
      <c r="E227" t="str">
        <f>"5396R"</f>
        <v>5396R</v>
      </c>
      <c r="F227" t="str">
        <f>"CLEAR TREES/BRUSH/PCT#1"</f>
        <v>CLEAR TREES/BRUSH/PCT#1</v>
      </c>
      <c r="G227" s="2">
        <v>2400</v>
      </c>
      <c r="H227" t="str">
        <f>"CLEAR TREES/BRUSH/PCT#1"</f>
        <v>CLEAR TREES/BRUSH/PCT#1</v>
      </c>
    </row>
    <row r="228" spans="1:9" x14ac:dyDescent="0.25">
      <c r="A228" t="s">
        <v>64</v>
      </c>
      <c r="B228">
        <v>80335</v>
      </c>
      <c r="C228" s="2">
        <v>79.62</v>
      </c>
      <c r="D228" s="1">
        <v>43479</v>
      </c>
      <c r="E228" t="str">
        <f>"4399*124*2"</f>
        <v>4399*124*2</v>
      </c>
      <c r="F228" t="str">
        <f>"JAIL MEDICAL"</f>
        <v>JAIL MEDICAL</v>
      </c>
      <c r="G228" s="2">
        <v>79.62</v>
      </c>
      <c r="H228" t="str">
        <f>"JAIL MEDICAL"</f>
        <v>JAIL MEDICAL</v>
      </c>
    </row>
    <row r="229" spans="1:9" x14ac:dyDescent="0.25">
      <c r="A229" t="s">
        <v>65</v>
      </c>
      <c r="B229">
        <v>280</v>
      </c>
      <c r="C229" s="2">
        <v>1232.44</v>
      </c>
      <c r="D229" s="1">
        <v>43480</v>
      </c>
      <c r="E229" t="str">
        <f>"201901076400"</f>
        <v>201901076400</v>
      </c>
      <c r="F229" t="str">
        <f>"INV  FOR DECEMBER"</f>
        <v>INV  FOR DECEMBER</v>
      </c>
      <c r="G229" s="2">
        <v>1232.44</v>
      </c>
      <c r="H229" t="str">
        <f>"INV  FOR DEC. - LE"</f>
        <v>INV  FOR DEC. - LE</v>
      </c>
    </row>
    <row r="230" spans="1:9" x14ac:dyDescent="0.25">
      <c r="E230" t="str">
        <f>""</f>
        <v/>
      </c>
      <c r="F230" t="str">
        <f>""</f>
        <v/>
      </c>
      <c r="H230" t="str">
        <f>"INV  FOR DEC. - JAIL"</f>
        <v>INV  FOR DEC. - JAIL</v>
      </c>
    </row>
    <row r="231" spans="1:9" x14ac:dyDescent="0.25">
      <c r="A231" t="s">
        <v>66</v>
      </c>
      <c r="B231">
        <v>80336</v>
      </c>
      <c r="C231" s="2">
        <v>2158.6799999999998</v>
      </c>
      <c r="D231" s="1">
        <v>43479</v>
      </c>
      <c r="E231" t="str">
        <f>"201901096463"</f>
        <v>201901096463</v>
      </c>
      <c r="F231" t="str">
        <f>"INV 74923308"</f>
        <v>INV 74923308</v>
      </c>
      <c r="G231" s="2">
        <v>2158.6799999999998</v>
      </c>
      <c r="H231" t="str">
        <f>"INV 74923308"</f>
        <v>INV 74923308</v>
      </c>
    </row>
    <row r="232" spans="1:9" x14ac:dyDescent="0.25">
      <c r="E232" t="str">
        <f>""</f>
        <v/>
      </c>
      <c r="F232" t="str">
        <f>""</f>
        <v/>
      </c>
      <c r="H232" t="str">
        <f>"INV 74929342"</f>
        <v>INV 74929342</v>
      </c>
    </row>
    <row r="233" spans="1:9" x14ac:dyDescent="0.25">
      <c r="E233" t="str">
        <f>""</f>
        <v/>
      </c>
      <c r="F233" t="str">
        <f>""</f>
        <v/>
      </c>
      <c r="H233" t="str">
        <f>"INV 74936117"</f>
        <v>INV 74936117</v>
      </c>
    </row>
    <row r="234" spans="1:9" x14ac:dyDescent="0.25">
      <c r="A234" t="s">
        <v>66</v>
      </c>
      <c r="B234">
        <v>80655</v>
      </c>
      <c r="C234" s="2">
        <v>1481.63</v>
      </c>
      <c r="D234" s="1">
        <v>43493</v>
      </c>
      <c r="E234" t="str">
        <f>"74941250 74951121"</f>
        <v>74941250 74951121</v>
      </c>
      <c r="F234" t="str">
        <f>"INV 74941250"</f>
        <v>INV 74941250</v>
      </c>
      <c r="G234" s="2">
        <v>1481.63</v>
      </c>
      <c r="H234" t="str">
        <f>"INV 74941250"</f>
        <v>INV 74941250</v>
      </c>
    </row>
    <row r="235" spans="1:9" x14ac:dyDescent="0.25">
      <c r="E235" t="str">
        <f>""</f>
        <v/>
      </c>
      <c r="F235" t="str">
        <f>""</f>
        <v/>
      </c>
      <c r="H235" t="str">
        <f>"INV 74951121"</f>
        <v>INV 74951121</v>
      </c>
    </row>
    <row r="236" spans="1:9" x14ac:dyDescent="0.25">
      <c r="A236" t="s">
        <v>67</v>
      </c>
      <c r="B236">
        <v>80337</v>
      </c>
      <c r="C236" s="2">
        <v>535.54</v>
      </c>
      <c r="D236" s="1">
        <v>43479</v>
      </c>
      <c r="E236" t="str">
        <f>"3611046"</f>
        <v>3611046</v>
      </c>
      <c r="F236" t="str">
        <f>"Ipad"</f>
        <v>Ipad</v>
      </c>
      <c r="G236" s="2">
        <v>535.54</v>
      </c>
      <c r="H236" t="str">
        <f>"Item# BB202262231041"</f>
        <v>Item# BB202262231041</v>
      </c>
    </row>
    <row r="237" spans="1:9" x14ac:dyDescent="0.25">
      <c r="E237" t="str">
        <f>""</f>
        <v/>
      </c>
      <c r="F237" t="str">
        <f>""</f>
        <v/>
      </c>
      <c r="H237" t="str">
        <f>"Shiping"</f>
        <v>Shiping</v>
      </c>
    </row>
    <row r="238" spans="1:9" x14ac:dyDescent="0.25">
      <c r="A238" t="s">
        <v>68</v>
      </c>
      <c r="B238">
        <v>80338</v>
      </c>
      <c r="C238" s="2">
        <v>2312.13</v>
      </c>
      <c r="D238" s="1">
        <v>43479</v>
      </c>
      <c r="E238" t="str">
        <f>"24074"</f>
        <v>24074</v>
      </c>
      <c r="F238" t="str">
        <f>"INV 24074"</f>
        <v>INV 24074</v>
      </c>
      <c r="G238" s="2">
        <v>2312.13</v>
      </c>
      <c r="H238" t="str">
        <f>"INV 24074"</f>
        <v>INV 24074</v>
      </c>
    </row>
    <row r="239" spans="1:9" x14ac:dyDescent="0.25">
      <c r="A239" t="s">
        <v>69</v>
      </c>
      <c r="B239">
        <v>80339</v>
      </c>
      <c r="C239" s="2">
        <v>25</v>
      </c>
      <c r="D239" s="1">
        <v>43479</v>
      </c>
      <c r="E239" t="s">
        <v>70</v>
      </c>
      <c r="F239" t="s">
        <v>71</v>
      </c>
      <c r="G239" s="2" t="str">
        <f>"RESTITUTION-JOSEPH RICHARDSON"</f>
        <v>RESTITUTION-JOSEPH RICHARDSON</v>
      </c>
      <c r="H239" t="str">
        <f>"210-0000"</f>
        <v>210-0000</v>
      </c>
      <c r="I239" t="str">
        <f>""</f>
        <v/>
      </c>
    </row>
    <row r="240" spans="1:9" x14ac:dyDescent="0.25">
      <c r="A240" t="s">
        <v>72</v>
      </c>
      <c r="B240">
        <v>332</v>
      </c>
      <c r="C240" s="2">
        <v>2563</v>
      </c>
      <c r="D240" s="1">
        <v>43480</v>
      </c>
      <c r="E240" t="str">
        <f>"108315"</f>
        <v>108315</v>
      </c>
      <c r="F240" t="str">
        <f>"CLIENT#001309/REVIEW CONTRACTS"</f>
        <v>CLIENT#001309/REVIEW CONTRACTS</v>
      </c>
      <c r="G240" s="2">
        <v>108</v>
      </c>
      <c r="H240" t="str">
        <f>"CLIENT#001309/REVIEW CONTRACTS"</f>
        <v>CLIENT#001309/REVIEW CONTRACTS</v>
      </c>
    </row>
    <row r="241" spans="1:8" x14ac:dyDescent="0.25">
      <c r="E241" t="str">
        <f>"108317"</f>
        <v>108317</v>
      </c>
      <c r="F241" t="str">
        <f>"CLIENT#001309/REVIEW MATERIALS"</f>
        <v>CLIENT#001309/REVIEW MATERIALS</v>
      </c>
      <c r="G241" s="2">
        <v>2455</v>
      </c>
      <c r="H241" t="str">
        <f>"CLIENT#001309/REVIEW MATERIALS"</f>
        <v>CLIENT#001309/REVIEW MATERIALS</v>
      </c>
    </row>
    <row r="242" spans="1:8" x14ac:dyDescent="0.25">
      <c r="A242" t="s">
        <v>73</v>
      </c>
      <c r="B242">
        <v>281</v>
      </c>
      <c r="C242" s="2">
        <v>612.14</v>
      </c>
      <c r="D242" s="1">
        <v>43480</v>
      </c>
      <c r="E242" t="str">
        <f>"201812286021"</f>
        <v>201812286021</v>
      </c>
      <c r="F242" t="str">
        <f>"423-5817"</f>
        <v>423-5817</v>
      </c>
      <c r="G242" s="2">
        <v>381.07</v>
      </c>
      <c r="H242" t="str">
        <f>"423-5817"</f>
        <v>423-5817</v>
      </c>
    </row>
    <row r="243" spans="1:8" x14ac:dyDescent="0.25">
      <c r="E243" t="str">
        <f>"201901086437"</f>
        <v>201901086437</v>
      </c>
      <c r="F243" t="str">
        <f>"423-5817"</f>
        <v>423-5817</v>
      </c>
      <c r="G243" s="2">
        <v>231.07</v>
      </c>
      <c r="H243" t="str">
        <f>"423-5817"</f>
        <v>423-5817</v>
      </c>
    </row>
    <row r="244" spans="1:8" x14ac:dyDescent="0.25">
      <c r="A244" t="s">
        <v>73</v>
      </c>
      <c r="B244">
        <v>347</v>
      </c>
      <c r="C244" s="2">
        <v>331.07</v>
      </c>
      <c r="D244" s="1">
        <v>43494</v>
      </c>
      <c r="E244" t="str">
        <f>"201901156579"</f>
        <v>201901156579</v>
      </c>
      <c r="F244" t="str">
        <f>"MORNING DOCKET CIVIL/CRIMINAL"</f>
        <v>MORNING DOCKET CIVIL/CRIMINAL</v>
      </c>
      <c r="G244" s="2">
        <v>331.07</v>
      </c>
      <c r="H244" t="str">
        <f>"MORNING DOCKET CIVIL/CRIMINAL"</f>
        <v>MORNING DOCKET CIVIL/CRIMINAL</v>
      </c>
    </row>
    <row r="245" spans="1:8" x14ac:dyDescent="0.25">
      <c r="A245" t="s">
        <v>74</v>
      </c>
      <c r="B245">
        <v>80341</v>
      </c>
      <c r="C245" s="2">
        <v>783.5</v>
      </c>
      <c r="D245" s="1">
        <v>43479</v>
      </c>
      <c r="E245" t="str">
        <f>"201901096462"</f>
        <v>201901096462</v>
      </c>
      <c r="F245" t="str">
        <f>"INV 84078935686"</f>
        <v>INV 84078935686</v>
      </c>
      <c r="G245" s="2">
        <v>783.5</v>
      </c>
      <c r="H245" t="str">
        <f>"INV 84078935686"</f>
        <v>INV 84078935686</v>
      </c>
    </row>
    <row r="246" spans="1:8" x14ac:dyDescent="0.25">
      <c r="E246" t="str">
        <f>""</f>
        <v/>
      </c>
      <c r="F246" t="str">
        <f>""</f>
        <v/>
      </c>
      <c r="H246" t="str">
        <f>"INV 84078935766"</f>
        <v>INV 84078935766</v>
      </c>
    </row>
    <row r="247" spans="1:8" x14ac:dyDescent="0.25">
      <c r="E247" t="str">
        <f>""</f>
        <v/>
      </c>
      <c r="F247" t="str">
        <f>""</f>
        <v/>
      </c>
      <c r="H247" t="str">
        <f>"INV 84078935868"</f>
        <v>INV 84078935868</v>
      </c>
    </row>
    <row r="248" spans="1:8" x14ac:dyDescent="0.25">
      <c r="A248" t="s">
        <v>74</v>
      </c>
      <c r="B248">
        <v>80657</v>
      </c>
      <c r="C248" s="2">
        <v>387.44</v>
      </c>
      <c r="D248" s="1">
        <v>43493</v>
      </c>
      <c r="E248" t="str">
        <f>"84078935964 840789"</f>
        <v>84078935964 840789</v>
      </c>
      <c r="F248" t="str">
        <f>"INV 84078935964"</f>
        <v>INV 84078935964</v>
      </c>
      <c r="G248" s="2">
        <v>387.44</v>
      </c>
      <c r="H248" t="str">
        <f>"INV 84078935964"</f>
        <v>INV 84078935964</v>
      </c>
    </row>
    <row r="249" spans="1:8" x14ac:dyDescent="0.25">
      <c r="E249" t="str">
        <f>""</f>
        <v/>
      </c>
      <c r="F249" t="str">
        <f>""</f>
        <v/>
      </c>
      <c r="H249" t="str">
        <f>"INV 84078900060"</f>
        <v>INV 84078900060</v>
      </c>
    </row>
    <row r="250" spans="1:8" x14ac:dyDescent="0.25">
      <c r="A250" t="s">
        <v>75</v>
      </c>
      <c r="B250">
        <v>80342</v>
      </c>
      <c r="C250" s="2">
        <v>184.01</v>
      </c>
      <c r="D250" s="1">
        <v>43479</v>
      </c>
      <c r="E250" t="str">
        <f>"201901096472"</f>
        <v>201901096472</v>
      </c>
      <c r="F250" t="str">
        <f>"REIMBURSEMENT-WORK BOOTS"</f>
        <v>REIMBURSEMENT-WORK BOOTS</v>
      </c>
      <c r="G250" s="2">
        <v>184.01</v>
      </c>
      <c r="H250" t="str">
        <f>"REIMBURSEMENT-WORK BOOTS"</f>
        <v>REIMBURSEMENT-WORK BOOTS</v>
      </c>
    </row>
    <row r="251" spans="1:8" x14ac:dyDescent="0.25">
      <c r="A251" t="s">
        <v>76</v>
      </c>
      <c r="B251">
        <v>361</v>
      </c>
      <c r="C251" s="2">
        <v>2571.27</v>
      </c>
      <c r="D251" s="1">
        <v>43494</v>
      </c>
      <c r="E251" t="str">
        <f>"201901176607"</f>
        <v>201901176607</v>
      </c>
      <c r="F251" t="str">
        <f>"DETENTION HEARING"</f>
        <v>DETENTION HEARING</v>
      </c>
      <c r="G251" s="2">
        <v>100</v>
      </c>
      <c r="H251" t="str">
        <f>"DETENTION HEARING"</f>
        <v>DETENTION HEARING</v>
      </c>
    </row>
    <row r="252" spans="1:8" x14ac:dyDescent="0.25">
      <c r="E252" t="str">
        <f>"201901176609"</f>
        <v>201901176609</v>
      </c>
      <c r="F252" t="str">
        <f>"J-3121  J-3130"</f>
        <v>J-3121  J-3130</v>
      </c>
      <c r="G252" s="2">
        <v>375</v>
      </c>
      <c r="H252" t="str">
        <f>"J-3121  J-3130"</f>
        <v>J-3121  J-3130</v>
      </c>
    </row>
    <row r="253" spans="1:8" x14ac:dyDescent="0.25">
      <c r="E253" t="str">
        <f>"201901176610"</f>
        <v>201901176610</v>
      </c>
      <c r="F253" t="str">
        <f>"18-19166"</f>
        <v>18-19166</v>
      </c>
      <c r="G253" s="2">
        <v>221.27</v>
      </c>
      <c r="H253" t="str">
        <f>"18-19166"</f>
        <v>18-19166</v>
      </c>
    </row>
    <row r="254" spans="1:8" x14ac:dyDescent="0.25">
      <c r="E254" t="str">
        <f>"201901176611"</f>
        <v>201901176611</v>
      </c>
      <c r="F254" t="str">
        <f>"18-19321"</f>
        <v>18-19321</v>
      </c>
      <c r="G254" s="2">
        <v>100</v>
      </c>
      <c r="H254" t="str">
        <f>"18-19321"</f>
        <v>18-19321</v>
      </c>
    </row>
    <row r="255" spans="1:8" x14ac:dyDescent="0.25">
      <c r="E255" t="str">
        <f>"201901176612"</f>
        <v>201901176612</v>
      </c>
      <c r="F255" t="str">
        <f>"18-18941"</f>
        <v>18-18941</v>
      </c>
      <c r="G255" s="2">
        <v>100</v>
      </c>
      <c r="H255" t="str">
        <f>"18-18941"</f>
        <v>18-18941</v>
      </c>
    </row>
    <row r="256" spans="1:8" x14ac:dyDescent="0.25">
      <c r="E256" t="str">
        <f>"201901176613"</f>
        <v>201901176613</v>
      </c>
      <c r="F256" t="str">
        <f>"18-18885"</f>
        <v>18-18885</v>
      </c>
      <c r="G256" s="2">
        <v>100</v>
      </c>
      <c r="H256" t="str">
        <f>"18-18885"</f>
        <v>18-18885</v>
      </c>
    </row>
    <row r="257" spans="1:9" x14ac:dyDescent="0.25">
      <c r="E257" t="str">
        <f>"201901176614"</f>
        <v>201901176614</v>
      </c>
      <c r="F257" t="str">
        <f>"J-3122"</f>
        <v>J-3122</v>
      </c>
      <c r="G257" s="2">
        <v>475</v>
      </c>
      <c r="H257" t="str">
        <f>"J-3122"</f>
        <v>J-3122</v>
      </c>
    </row>
    <row r="258" spans="1:9" x14ac:dyDescent="0.25">
      <c r="E258" t="str">
        <f>"201901176615"</f>
        <v>201901176615</v>
      </c>
      <c r="F258" t="str">
        <f>"18-1940"</f>
        <v>18-1940</v>
      </c>
      <c r="G258" s="2">
        <v>100</v>
      </c>
      <c r="H258" t="str">
        <f>"18-1940"</f>
        <v>18-1940</v>
      </c>
    </row>
    <row r="259" spans="1:9" x14ac:dyDescent="0.25">
      <c r="E259" t="str">
        <f>"201901176616"</f>
        <v>201901176616</v>
      </c>
      <c r="F259" t="str">
        <f>"02-0409-4 929-348-91XA001 1850"</f>
        <v>02-0409-4 929-348-91XA001 1850</v>
      </c>
      <c r="G259" s="2">
        <v>500</v>
      </c>
      <c r="H259" t="str">
        <f>"02-0409-4 929-348-91XA001 1850"</f>
        <v>02-0409-4 929-348-91XA001 1850</v>
      </c>
    </row>
    <row r="260" spans="1:9" x14ac:dyDescent="0.25">
      <c r="E260" t="str">
        <f>"201901176618"</f>
        <v>201901176618</v>
      </c>
      <c r="F260" t="str">
        <f>"AC-2018-0901B 929-350-4498 180"</f>
        <v>AC-2018-0901B 929-350-4498 180</v>
      </c>
      <c r="G260" s="2">
        <v>250</v>
      </c>
      <c r="H260" t="str">
        <f>"AC-2018-0901B 929-350-4498 180"</f>
        <v>AC-2018-0901B 929-350-4498 180</v>
      </c>
    </row>
    <row r="261" spans="1:9" x14ac:dyDescent="0.25">
      <c r="E261" t="str">
        <f>"201901176620"</f>
        <v>201901176620</v>
      </c>
      <c r="F261" t="str">
        <f>"56 116"</f>
        <v>56 116</v>
      </c>
      <c r="G261" s="2">
        <v>250</v>
      </c>
      <c r="H261" t="str">
        <f>"56 116"</f>
        <v>56 116</v>
      </c>
    </row>
    <row r="262" spans="1:9" x14ac:dyDescent="0.25">
      <c r="A262" t="s">
        <v>77</v>
      </c>
      <c r="B262">
        <v>80658</v>
      </c>
      <c r="C262" s="2">
        <v>178.41</v>
      </c>
      <c r="D262" s="1">
        <v>43493</v>
      </c>
      <c r="E262" t="str">
        <f>"201901176707"</f>
        <v>201901176707</v>
      </c>
      <c r="F262" t="str">
        <f>"CRIME STOPPERS FEES DEC 2018"</f>
        <v>CRIME STOPPERS FEES DEC 2018</v>
      </c>
      <c r="G262" s="2">
        <v>178.41</v>
      </c>
      <c r="H262" t="str">
        <f>"CRIME STOPPERS FEES DEC 2018"</f>
        <v>CRIME STOPPERS FEES DEC 2018</v>
      </c>
    </row>
    <row r="263" spans="1:9" x14ac:dyDescent="0.25">
      <c r="A263" t="s">
        <v>78</v>
      </c>
      <c r="B263">
        <v>80343</v>
      </c>
      <c r="C263" s="2">
        <v>40</v>
      </c>
      <c r="D263" s="1">
        <v>43479</v>
      </c>
      <c r="E263" t="s">
        <v>79</v>
      </c>
      <c r="F263" t="s">
        <v>80</v>
      </c>
      <c r="G263" s="2" t="str">
        <f>"RESTITUTION-PAULA BOATMAN"</f>
        <v>RESTITUTION-PAULA BOATMAN</v>
      </c>
      <c r="H263" t="str">
        <f>"210-0000"</f>
        <v>210-0000</v>
      </c>
      <c r="I263" t="str">
        <f>""</f>
        <v/>
      </c>
    </row>
    <row r="264" spans="1:9" x14ac:dyDescent="0.25">
      <c r="A264" t="s">
        <v>81</v>
      </c>
      <c r="B264">
        <v>80575</v>
      </c>
      <c r="C264" s="2">
        <v>3861.39</v>
      </c>
      <c r="D264" s="1">
        <v>43482</v>
      </c>
      <c r="E264" t="str">
        <f>"201901176654"</f>
        <v>201901176654</v>
      </c>
      <c r="F264" t="str">
        <f>"ACCT#5000057374 / 01062019"</f>
        <v>ACCT#5000057374 / 01062019</v>
      </c>
      <c r="G264" s="2">
        <v>3861.39</v>
      </c>
      <c r="H264" t="str">
        <f>"ACCT#5000057374 / 01062019"</f>
        <v>ACCT#5000057374 / 01062019</v>
      </c>
    </row>
    <row r="265" spans="1:9" x14ac:dyDescent="0.25">
      <c r="E265" t="str">
        <f>""</f>
        <v/>
      </c>
      <c r="F265" t="str">
        <f>""</f>
        <v/>
      </c>
      <c r="H265" t="str">
        <f>"ACCT#5000057374 / 01062019"</f>
        <v>ACCT#5000057374 / 01062019</v>
      </c>
    </row>
    <row r="266" spans="1:9" x14ac:dyDescent="0.25">
      <c r="E266" t="str">
        <f>""</f>
        <v/>
      </c>
      <c r="F266" t="str">
        <f>""</f>
        <v/>
      </c>
      <c r="H266" t="str">
        <f>"ACCT#5000057374 / 01062019"</f>
        <v>ACCT#5000057374 / 01062019</v>
      </c>
    </row>
    <row r="267" spans="1:9" x14ac:dyDescent="0.25">
      <c r="E267" t="str">
        <f>""</f>
        <v/>
      </c>
      <c r="F267" t="str">
        <f>""</f>
        <v/>
      </c>
      <c r="H267" t="str">
        <f>"ACCT#5000057374 / 01062019"</f>
        <v>ACCT#5000057374 / 01062019</v>
      </c>
    </row>
    <row r="268" spans="1:9" x14ac:dyDescent="0.25">
      <c r="A268" t="s">
        <v>82</v>
      </c>
      <c r="B268">
        <v>335</v>
      </c>
      <c r="C268" s="2">
        <v>9573.0300000000007</v>
      </c>
      <c r="D268" s="1">
        <v>43480</v>
      </c>
      <c r="E268" t="str">
        <f>"201901086442"</f>
        <v>201901086442</v>
      </c>
      <c r="F268" t="str">
        <f>"GRANT REIMBURSEMENT"</f>
        <v>GRANT REIMBURSEMENT</v>
      </c>
      <c r="G268" s="2">
        <v>9573.0300000000007</v>
      </c>
      <c r="H268" t="str">
        <f>"GRANT REIMBURSEMENT"</f>
        <v>GRANT REIMBURSEMENT</v>
      </c>
    </row>
    <row r="269" spans="1:9" x14ac:dyDescent="0.25">
      <c r="A269" t="s">
        <v>82</v>
      </c>
      <c r="B269">
        <v>394</v>
      </c>
      <c r="C269" s="2">
        <v>625</v>
      </c>
      <c r="D269" s="1">
        <v>43494</v>
      </c>
      <c r="E269" t="str">
        <f>"25-12-2018"</f>
        <v>25-12-2018</v>
      </c>
      <c r="F269" t="str">
        <f>"INV 25-12-2018"</f>
        <v>INV 25-12-2018</v>
      </c>
      <c r="G269" s="2">
        <v>625</v>
      </c>
      <c r="H269" t="str">
        <f>"INV 25-12-2018"</f>
        <v>INV 25-12-2018</v>
      </c>
    </row>
    <row r="270" spans="1:9" x14ac:dyDescent="0.25">
      <c r="A270" t="s">
        <v>83</v>
      </c>
      <c r="B270">
        <v>80659</v>
      </c>
      <c r="C270" s="2">
        <v>228.45</v>
      </c>
      <c r="D270" s="1">
        <v>43493</v>
      </c>
      <c r="E270" t="str">
        <f>"9624"</f>
        <v>9624</v>
      </c>
      <c r="F270" t="str">
        <f>"2008 DODGE REPAIRS/SUPPLIES/P1"</f>
        <v>2008 DODGE REPAIRS/SUPPLIES/P1</v>
      </c>
      <c r="G270" s="2">
        <v>228.45</v>
      </c>
      <c r="H270" t="str">
        <f>"2008 DODGE REPAIRS/SUPPLIES/P1"</f>
        <v>2008 DODGE REPAIRS/SUPPLIES/P1</v>
      </c>
    </row>
    <row r="271" spans="1:9" x14ac:dyDescent="0.25">
      <c r="A271" t="s">
        <v>84</v>
      </c>
      <c r="B271">
        <v>80344</v>
      </c>
      <c r="C271" s="2">
        <v>371.84</v>
      </c>
      <c r="D271" s="1">
        <v>43479</v>
      </c>
      <c r="E271" t="str">
        <f>"CT172264"</f>
        <v>CT172264</v>
      </c>
      <c r="F271" t="str">
        <f>"ACCT#B02135/PCT#3"</f>
        <v>ACCT#B02135/PCT#3</v>
      </c>
      <c r="G271" s="2">
        <v>371.84</v>
      </c>
      <c r="H271" t="str">
        <f>"ACCT#B02135/PCT#3"</f>
        <v>ACCT#B02135/PCT#3</v>
      </c>
    </row>
    <row r="272" spans="1:9" x14ac:dyDescent="0.25">
      <c r="A272" t="s">
        <v>85</v>
      </c>
      <c r="B272">
        <v>80345</v>
      </c>
      <c r="C272" s="2">
        <v>2657.34</v>
      </c>
      <c r="D272" s="1">
        <v>43479</v>
      </c>
      <c r="E272" t="str">
        <f>"248"</f>
        <v>248</v>
      </c>
      <c r="F272" t="str">
        <f>"PSYCHOLOGICAL CONSULTING"</f>
        <v>PSYCHOLOGICAL CONSULTING</v>
      </c>
      <c r="G272" s="2">
        <v>2657.34</v>
      </c>
      <c r="H272" t="str">
        <f>"PSYCHOLOGICAL CONSULTING"</f>
        <v>PSYCHOLOGICAL CONSULTING</v>
      </c>
    </row>
    <row r="273" spans="1:8" x14ac:dyDescent="0.25">
      <c r="A273" t="s">
        <v>86</v>
      </c>
      <c r="B273">
        <v>80346</v>
      </c>
      <c r="C273" s="2">
        <v>1195.74</v>
      </c>
      <c r="D273" s="1">
        <v>43479</v>
      </c>
      <c r="E273" t="str">
        <f>"98358"</f>
        <v>98358</v>
      </c>
      <c r="F273" t="str">
        <f>"ACCT#1268/PCT#3"</f>
        <v>ACCT#1268/PCT#3</v>
      </c>
      <c r="G273" s="2">
        <v>995.82</v>
      </c>
      <c r="H273" t="str">
        <f>"ACCT#1268/PCT#3"</f>
        <v>ACCT#1268/PCT#3</v>
      </c>
    </row>
    <row r="274" spans="1:8" x14ac:dyDescent="0.25">
      <c r="E274" t="str">
        <f>"98507"</f>
        <v>98507</v>
      </c>
      <c r="F274" t="str">
        <f>"ACCT#1268/PCT#3"</f>
        <v>ACCT#1268/PCT#3</v>
      </c>
      <c r="G274" s="2">
        <v>199.92</v>
      </c>
      <c r="H274" t="str">
        <f>"ACCT#1268/PCT#3"</f>
        <v>ACCT#1268/PCT#3</v>
      </c>
    </row>
    <row r="275" spans="1:8" x14ac:dyDescent="0.25">
      <c r="A275" t="s">
        <v>86</v>
      </c>
      <c r="B275">
        <v>80660</v>
      </c>
      <c r="C275" s="2">
        <v>2311.5100000000002</v>
      </c>
      <c r="D275" s="1">
        <v>43493</v>
      </c>
      <c r="E275" t="str">
        <f>"98694"</f>
        <v>98694</v>
      </c>
      <c r="F275" t="str">
        <f>"ACCT#1268/PCT#3"</f>
        <v>ACCT#1268/PCT#3</v>
      </c>
      <c r="G275" s="2">
        <v>1144.57</v>
      </c>
      <c r="H275" t="str">
        <f>"ACCT#1268/PCT#3"</f>
        <v>ACCT#1268/PCT#3</v>
      </c>
    </row>
    <row r="276" spans="1:8" x14ac:dyDescent="0.25">
      <c r="E276" t="str">
        <f>"98852"</f>
        <v>98852</v>
      </c>
      <c r="F276" t="str">
        <f>"ACCT#1268/PCT#3"</f>
        <v>ACCT#1268/PCT#3</v>
      </c>
      <c r="G276" s="2">
        <v>1166.94</v>
      </c>
      <c r="H276" t="str">
        <f>"ACCT#1268/PCT#3"</f>
        <v>ACCT#1268/PCT#3</v>
      </c>
    </row>
    <row r="277" spans="1:8" x14ac:dyDescent="0.25">
      <c r="A277" t="s">
        <v>87</v>
      </c>
      <c r="B277">
        <v>80661</v>
      </c>
      <c r="C277" s="2">
        <v>80</v>
      </c>
      <c r="D277" s="1">
        <v>43493</v>
      </c>
      <c r="E277" t="str">
        <f>"201901176662"</f>
        <v>201901176662</v>
      </c>
      <c r="F277" t="str">
        <f>"FERAL HOGS"</f>
        <v>FERAL HOGS</v>
      </c>
      <c r="G277" s="2">
        <v>80</v>
      </c>
      <c r="H277" t="str">
        <f>"FERAL HOGS"</f>
        <v>FERAL HOGS</v>
      </c>
    </row>
    <row r="278" spans="1:8" x14ac:dyDescent="0.25">
      <c r="A278" t="s">
        <v>88</v>
      </c>
      <c r="B278">
        <v>80347</v>
      </c>
      <c r="C278" s="2">
        <v>500</v>
      </c>
      <c r="D278" s="1">
        <v>43479</v>
      </c>
      <c r="E278" t="str">
        <f>"201901036112"</f>
        <v>201901036112</v>
      </c>
      <c r="F278" t="str">
        <f>"0207253"</f>
        <v>0207253</v>
      </c>
      <c r="G278" s="2">
        <v>250</v>
      </c>
      <c r="H278" t="str">
        <f>"0207253"</f>
        <v>0207253</v>
      </c>
    </row>
    <row r="279" spans="1:8" x14ac:dyDescent="0.25">
      <c r="E279" t="str">
        <f>"201901036113"</f>
        <v>201901036113</v>
      </c>
      <c r="F279" t="str">
        <f>"307182018C"</f>
        <v>307182018C</v>
      </c>
      <c r="G279" s="2">
        <v>250</v>
      </c>
      <c r="H279" t="str">
        <f>"307182018C"</f>
        <v>307182018C</v>
      </c>
    </row>
    <row r="280" spans="1:8" x14ac:dyDescent="0.25">
      <c r="A280" t="s">
        <v>88</v>
      </c>
      <c r="B280">
        <v>80662</v>
      </c>
      <c r="C280" s="2">
        <v>2875</v>
      </c>
      <c r="D280" s="1">
        <v>43493</v>
      </c>
      <c r="E280" t="str">
        <f>"201901176630"</f>
        <v>201901176630</v>
      </c>
      <c r="F280" t="str">
        <f>"404248.6"</f>
        <v>404248.6</v>
      </c>
      <c r="G280" s="2">
        <v>250</v>
      </c>
      <c r="H280" t="str">
        <f>"404248.6"</f>
        <v>404248.6</v>
      </c>
    </row>
    <row r="281" spans="1:8" x14ac:dyDescent="0.25">
      <c r="E281" t="str">
        <f>"201901176631"</f>
        <v>201901176631</v>
      </c>
      <c r="F281" t="str">
        <f>"53 011"</f>
        <v>53 011</v>
      </c>
      <c r="G281" s="2">
        <v>250</v>
      </c>
      <c r="H281" t="str">
        <f>"53 011"</f>
        <v>53 011</v>
      </c>
    </row>
    <row r="282" spans="1:8" x14ac:dyDescent="0.25">
      <c r="E282" t="str">
        <f>"201901176632"</f>
        <v>201901176632</v>
      </c>
      <c r="F282" t="str">
        <f>"20150091"</f>
        <v>20150091</v>
      </c>
      <c r="G282" s="2">
        <v>250</v>
      </c>
      <c r="H282" t="str">
        <f>"20150091"</f>
        <v>20150091</v>
      </c>
    </row>
    <row r="283" spans="1:8" x14ac:dyDescent="0.25">
      <c r="E283" t="str">
        <f>"201901176633"</f>
        <v>201901176633</v>
      </c>
      <c r="F283" t="str">
        <f>"410105-5"</f>
        <v>410105-5</v>
      </c>
      <c r="G283" s="2">
        <v>250</v>
      </c>
      <c r="H283" t="str">
        <f>"410105-5"</f>
        <v>410105-5</v>
      </c>
    </row>
    <row r="284" spans="1:8" x14ac:dyDescent="0.25">
      <c r="E284" t="str">
        <f>"201901176634"</f>
        <v>201901176634</v>
      </c>
      <c r="F284" t="str">
        <f>"020804"</f>
        <v>020804</v>
      </c>
      <c r="G284" s="2">
        <v>250</v>
      </c>
      <c r="H284" t="str">
        <f>"020804"</f>
        <v>020804</v>
      </c>
    </row>
    <row r="285" spans="1:8" x14ac:dyDescent="0.25">
      <c r="E285" t="str">
        <f>"201901176635"</f>
        <v>201901176635</v>
      </c>
      <c r="F285" t="str">
        <f>"CH-20150403"</f>
        <v>CH-20150403</v>
      </c>
      <c r="G285" s="2">
        <v>250</v>
      </c>
      <c r="H285" t="str">
        <f>"CH-20150403"</f>
        <v>CH-20150403</v>
      </c>
    </row>
    <row r="286" spans="1:8" x14ac:dyDescent="0.25">
      <c r="E286" t="str">
        <f>"201901176636"</f>
        <v>201901176636</v>
      </c>
      <c r="F286" t="str">
        <f>"02-0505-3"</f>
        <v>02-0505-3</v>
      </c>
      <c r="G286" s="2">
        <v>250</v>
      </c>
      <c r="H286" t="str">
        <f>"02-0505-3"</f>
        <v>02-0505-3</v>
      </c>
    </row>
    <row r="287" spans="1:8" x14ac:dyDescent="0.25">
      <c r="E287" t="str">
        <f>"201901176637"</f>
        <v>201901176637</v>
      </c>
      <c r="F287" t="str">
        <f>"404284-IM 404284-2M"</f>
        <v>404284-IM 404284-2M</v>
      </c>
      <c r="G287" s="2">
        <v>375</v>
      </c>
      <c r="H287" t="str">
        <f>"404284-IM 404284-2M"</f>
        <v>404284-IM 404284-2M</v>
      </c>
    </row>
    <row r="288" spans="1:8" x14ac:dyDescent="0.25">
      <c r="E288" t="str">
        <f>"201901176638"</f>
        <v>201901176638</v>
      </c>
      <c r="F288" t="str">
        <f>"408018.3"</f>
        <v>408018.3</v>
      </c>
      <c r="G288" s="2">
        <v>250</v>
      </c>
      <c r="H288" t="str">
        <f>"408018.3"</f>
        <v>408018.3</v>
      </c>
    </row>
    <row r="289" spans="1:8" x14ac:dyDescent="0.25">
      <c r="E289" t="str">
        <f>"201901176639"</f>
        <v>201901176639</v>
      </c>
      <c r="F289" t="str">
        <f>"02.0725.3"</f>
        <v>02.0725.3</v>
      </c>
      <c r="G289" s="2">
        <v>250</v>
      </c>
      <c r="H289" t="str">
        <f>"02.0725.3"</f>
        <v>02.0725.3</v>
      </c>
    </row>
    <row r="290" spans="1:8" x14ac:dyDescent="0.25">
      <c r="E290" t="str">
        <f>"201901176640"</f>
        <v>201901176640</v>
      </c>
      <c r="F290" t="str">
        <f>"3071820180"</f>
        <v>3071820180</v>
      </c>
      <c r="G290" s="2">
        <v>250</v>
      </c>
      <c r="H290" t="str">
        <f>"3071820180"</f>
        <v>3071820180</v>
      </c>
    </row>
    <row r="291" spans="1:8" x14ac:dyDescent="0.25">
      <c r="A291" t="s">
        <v>89</v>
      </c>
      <c r="B291">
        <v>80348</v>
      </c>
      <c r="C291" s="2">
        <v>15</v>
      </c>
      <c r="D291" s="1">
        <v>43479</v>
      </c>
      <c r="E291" t="str">
        <f>"19-19417"</f>
        <v>19-19417</v>
      </c>
      <c r="F291" t="str">
        <f>"CENTRAL ADOPTION REGISTRY FUND"</f>
        <v>CENTRAL ADOPTION REGISTRY FUND</v>
      </c>
      <c r="G291" s="2">
        <v>15</v>
      </c>
      <c r="H291" t="str">
        <f>"CENTRAL ADOPTION REGISTRY FUND"</f>
        <v>CENTRAL ADOPTION REGISTRY FUND</v>
      </c>
    </row>
    <row r="292" spans="1:8" x14ac:dyDescent="0.25">
      <c r="A292" t="s">
        <v>90</v>
      </c>
      <c r="B292">
        <v>80663</v>
      </c>
      <c r="C292" s="2">
        <v>22345</v>
      </c>
      <c r="D292" s="1">
        <v>43493</v>
      </c>
      <c r="E292" t="str">
        <f>"KKC4239"</f>
        <v>KKC4239</v>
      </c>
      <c r="F292" t="str">
        <f>"CALDWELL AUTOMOTIVE PARTNERS L"</f>
        <v>CALDWELL AUTOMOTIVE PARTNERS L</v>
      </c>
      <c r="G292" s="2">
        <v>22345</v>
      </c>
      <c r="H292" t="str">
        <f>"2019 Ford F-150"</f>
        <v>2019 Ford F-150</v>
      </c>
    </row>
    <row r="293" spans="1:8" x14ac:dyDescent="0.25">
      <c r="A293" t="s">
        <v>91</v>
      </c>
      <c r="B293">
        <v>373</v>
      </c>
      <c r="C293" s="2">
        <v>46.25</v>
      </c>
      <c r="D293" s="1">
        <v>43494</v>
      </c>
      <c r="E293" t="str">
        <f>"1626359"</f>
        <v>1626359</v>
      </c>
      <c r="F293" t="str">
        <f>"ORD#01379644/FUEL HOSE/PCT#2"</f>
        <v>ORD#01379644/FUEL HOSE/PCT#2</v>
      </c>
      <c r="G293" s="2">
        <v>46.25</v>
      </c>
      <c r="H293" t="str">
        <f>"ORD#01379644/FUEL HOSE/PCT#2"</f>
        <v>ORD#01379644/FUEL HOSE/PCT#2</v>
      </c>
    </row>
    <row r="294" spans="1:8" x14ac:dyDescent="0.25">
      <c r="A294" t="s">
        <v>92</v>
      </c>
      <c r="B294">
        <v>40</v>
      </c>
      <c r="C294" s="2">
        <v>2553.75</v>
      </c>
      <c r="D294" s="1">
        <v>43479</v>
      </c>
      <c r="E294" t="str">
        <f>"201901036086"</f>
        <v>201901036086</v>
      </c>
      <c r="F294" t="str">
        <f>"Acct# 0058"</f>
        <v>Acct# 0058</v>
      </c>
      <c r="G294" s="2">
        <v>2553.75</v>
      </c>
      <c r="H294" t="str">
        <f>"Conflict Resolution"</f>
        <v>Conflict Resolution</v>
      </c>
    </row>
    <row r="295" spans="1:8" x14ac:dyDescent="0.25">
      <c r="E295" t="str">
        <f>""</f>
        <v/>
      </c>
      <c r="F295" t="str">
        <f>""</f>
        <v/>
      </c>
      <c r="H295" t="str">
        <f>"NEPELRA"</f>
        <v>NEPELRA</v>
      </c>
    </row>
    <row r="296" spans="1:8" x14ac:dyDescent="0.25">
      <c r="E296" t="str">
        <f>""</f>
        <v/>
      </c>
      <c r="F296" t="str">
        <f>""</f>
        <v/>
      </c>
      <c r="H296" t="str">
        <f>"PayPal Mediators"</f>
        <v>PayPal Mediators</v>
      </c>
    </row>
    <row r="297" spans="1:8" x14ac:dyDescent="0.25">
      <c r="E297" t="str">
        <f>""</f>
        <v/>
      </c>
      <c r="F297" t="str">
        <f>""</f>
        <v/>
      </c>
      <c r="H297" t="str">
        <f>"DMEC"</f>
        <v>DMEC</v>
      </c>
    </row>
    <row r="298" spans="1:8" x14ac:dyDescent="0.25">
      <c r="E298" t="str">
        <f>""</f>
        <v/>
      </c>
      <c r="F298" t="str">
        <f>""</f>
        <v/>
      </c>
      <c r="H298" t="str">
        <f>"SkillPath"</f>
        <v>SkillPath</v>
      </c>
    </row>
    <row r="299" spans="1:8" x14ac:dyDescent="0.25">
      <c r="E299" t="str">
        <f>""</f>
        <v/>
      </c>
      <c r="F299" t="str">
        <f>""</f>
        <v/>
      </c>
      <c r="H299" t="str">
        <f>"TEEX"</f>
        <v>TEEX</v>
      </c>
    </row>
    <row r="300" spans="1:8" x14ac:dyDescent="0.25">
      <c r="E300" t="str">
        <f>""</f>
        <v/>
      </c>
      <c r="F300" t="str">
        <f>""</f>
        <v/>
      </c>
      <c r="H300" t="str">
        <f>"ICN"</f>
        <v>ICN</v>
      </c>
    </row>
    <row r="301" spans="1:8" x14ac:dyDescent="0.25">
      <c r="E301" t="str">
        <f>""</f>
        <v/>
      </c>
      <c r="F301" t="str">
        <f>""</f>
        <v/>
      </c>
      <c r="H301" t="str">
        <f>"Google"</f>
        <v>Google</v>
      </c>
    </row>
    <row r="302" spans="1:8" x14ac:dyDescent="0.25">
      <c r="E302" t="str">
        <f>""</f>
        <v/>
      </c>
      <c r="F302" t="str">
        <f>""</f>
        <v/>
      </c>
      <c r="H302" t="str">
        <f>"WebEx"</f>
        <v>WebEx</v>
      </c>
    </row>
    <row r="303" spans="1:8" x14ac:dyDescent="0.25">
      <c r="E303" t="str">
        <f>""</f>
        <v/>
      </c>
      <c r="F303" t="str">
        <f>""</f>
        <v/>
      </c>
      <c r="H303" t="str">
        <f>"TxTag"</f>
        <v>TxTag</v>
      </c>
    </row>
    <row r="304" spans="1:8" x14ac:dyDescent="0.25">
      <c r="E304" t="str">
        <f>""</f>
        <v/>
      </c>
      <c r="F304" t="str">
        <f>""</f>
        <v/>
      </c>
      <c r="H304" t="str">
        <f>"keyblanks"</f>
        <v>keyblanks</v>
      </c>
    </row>
    <row r="305" spans="1:8" x14ac:dyDescent="0.25">
      <c r="E305" t="str">
        <f>""</f>
        <v/>
      </c>
      <c r="F305" t="str">
        <f>""</f>
        <v/>
      </c>
      <c r="H305" t="str">
        <f>"American Key"</f>
        <v>American Key</v>
      </c>
    </row>
    <row r="306" spans="1:8" x14ac:dyDescent="0.25">
      <c r="E306" t="str">
        <f>""</f>
        <v/>
      </c>
      <c r="F306" t="str">
        <f>""</f>
        <v/>
      </c>
      <c r="H306" t="str">
        <f>"TxTag"</f>
        <v>TxTag</v>
      </c>
    </row>
    <row r="307" spans="1:8" x14ac:dyDescent="0.25">
      <c r="E307" t="str">
        <f>""</f>
        <v/>
      </c>
      <c r="F307" t="str">
        <f>""</f>
        <v/>
      </c>
      <c r="H307" t="str">
        <f>"Walmart"</f>
        <v>Walmart</v>
      </c>
    </row>
    <row r="308" spans="1:8" x14ac:dyDescent="0.25">
      <c r="E308" t="str">
        <f>""</f>
        <v/>
      </c>
      <c r="F308" t="str">
        <f>""</f>
        <v/>
      </c>
      <c r="H308" t="str">
        <f>"Notary"</f>
        <v>Notary</v>
      </c>
    </row>
    <row r="309" spans="1:8" x14ac:dyDescent="0.25">
      <c r="E309" t="str">
        <f>""</f>
        <v/>
      </c>
      <c r="F309" t="str">
        <f>""</f>
        <v/>
      </c>
      <c r="H309" t="str">
        <f>"TxTag"</f>
        <v>TxTag</v>
      </c>
    </row>
    <row r="310" spans="1:8" x14ac:dyDescent="0.25">
      <c r="E310" t="str">
        <f>""</f>
        <v/>
      </c>
      <c r="F310" t="str">
        <f>""</f>
        <v/>
      </c>
      <c r="H310" t="str">
        <f>"Erika Dejesus"</f>
        <v>Erika Dejesus</v>
      </c>
    </row>
    <row r="311" spans="1:8" x14ac:dyDescent="0.25">
      <c r="E311" t="str">
        <f>""</f>
        <v/>
      </c>
      <c r="F311" t="str">
        <f>""</f>
        <v/>
      </c>
      <c r="H311" t="str">
        <f>"Rosanna Garza"</f>
        <v>Rosanna Garza</v>
      </c>
    </row>
    <row r="312" spans="1:8" x14ac:dyDescent="0.25">
      <c r="E312" t="str">
        <f>""</f>
        <v/>
      </c>
      <c r="F312" t="str">
        <f>""</f>
        <v/>
      </c>
      <c r="H312" t="str">
        <f>"Robert Bennet"</f>
        <v>Robert Bennet</v>
      </c>
    </row>
    <row r="313" spans="1:8" x14ac:dyDescent="0.25">
      <c r="E313" t="str">
        <f>""</f>
        <v/>
      </c>
      <c r="F313" t="str">
        <f>""</f>
        <v/>
      </c>
      <c r="H313" t="str">
        <f>"Annette Murley"</f>
        <v>Annette Murley</v>
      </c>
    </row>
    <row r="314" spans="1:8" x14ac:dyDescent="0.25">
      <c r="E314" t="str">
        <f>""</f>
        <v/>
      </c>
      <c r="F314" t="str">
        <f>""</f>
        <v/>
      </c>
      <c r="H314" t="str">
        <f>"Kenneth Leatherwood"</f>
        <v>Kenneth Leatherwood</v>
      </c>
    </row>
    <row r="315" spans="1:8" x14ac:dyDescent="0.25">
      <c r="E315" t="str">
        <f>""</f>
        <v/>
      </c>
      <c r="F315" t="str">
        <f>""</f>
        <v/>
      </c>
      <c r="H315" t="str">
        <f>"TxTag"</f>
        <v>TxTag</v>
      </c>
    </row>
    <row r="316" spans="1:8" x14ac:dyDescent="0.25">
      <c r="E316" t="str">
        <f>""</f>
        <v/>
      </c>
      <c r="F316" t="str">
        <f>""</f>
        <v/>
      </c>
      <c r="H316" t="str">
        <f>"TxTag"</f>
        <v>TxTag</v>
      </c>
    </row>
    <row r="317" spans="1:8" x14ac:dyDescent="0.25">
      <c r="E317" t="str">
        <f>""</f>
        <v/>
      </c>
      <c r="F317" t="str">
        <f>""</f>
        <v/>
      </c>
      <c r="H317" t="str">
        <f>"Harbor Freight"</f>
        <v>Harbor Freight</v>
      </c>
    </row>
    <row r="318" spans="1:8" x14ac:dyDescent="0.25">
      <c r="E318" t="str">
        <f>""</f>
        <v/>
      </c>
      <c r="F318" t="str">
        <f>""</f>
        <v/>
      </c>
      <c r="H318" t="str">
        <f>"Municipal"</f>
        <v>Municipal</v>
      </c>
    </row>
    <row r="319" spans="1:8" x14ac:dyDescent="0.25">
      <c r="E319" t="str">
        <f>""</f>
        <v/>
      </c>
      <c r="F319" t="str">
        <f>""</f>
        <v/>
      </c>
      <c r="H319" t="str">
        <f>"TxTag"</f>
        <v>TxTag</v>
      </c>
    </row>
    <row r="320" spans="1:8" x14ac:dyDescent="0.25">
      <c r="A320" t="s">
        <v>92</v>
      </c>
      <c r="B320">
        <v>41</v>
      </c>
      <c r="C320" s="2">
        <v>568.48</v>
      </c>
      <c r="D320" s="1">
        <v>43479</v>
      </c>
      <c r="E320" t="str">
        <f>"201901076405"</f>
        <v>201901076405</v>
      </c>
      <c r="F320" t="str">
        <f>"STATEMENT 0574"</f>
        <v>STATEMENT 0574</v>
      </c>
      <c r="G320" s="2">
        <v>568.48</v>
      </c>
      <c r="H320" t="str">
        <f>"STAPLES"</f>
        <v>STAPLES</v>
      </c>
    </row>
    <row r="321" spans="1:8" x14ac:dyDescent="0.25">
      <c r="E321" t="str">
        <f>""</f>
        <v/>
      </c>
      <c r="F321" t="str">
        <f>""</f>
        <v/>
      </c>
      <c r="H321" t="str">
        <f>"FAIRFIELD INN"</f>
        <v>FAIRFIELD INN</v>
      </c>
    </row>
    <row r="322" spans="1:8" x14ac:dyDescent="0.25">
      <c r="E322" t="str">
        <f>""</f>
        <v/>
      </c>
      <c r="F322" t="str">
        <f>""</f>
        <v/>
      </c>
      <c r="H322" t="str">
        <f>"FAIRFIELD INN"</f>
        <v>FAIRFIELD INN</v>
      </c>
    </row>
    <row r="323" spans="1:8" x14ac:dyDescent="0.25">
      <c r="E323" t="str">
        <f>""</f>
        <v/>
      </c>
      <c r="F323" t="str">
        <f>""</f>
        <v/>
      </c>
      <c r="H323" t="str">
        <f>"MENGER HOTEL"</f>
        <v>MENGER HOTEL</v>
      </c>
    </row>
    <row r="324" spans="1:8" x14ac:dyDescent="0.25">
      <c r="E324" t="str">
        <f>""</f>
        <v/>
      </c>
      <c r="F324" t="str">
        <f>""</f>
        <v/>
      </c>
      <c r="H324" t="str">
        <f>"ACADEMY"</f>
        <v>ACADEMY</v>
      </c>
    </row>
    <row r="325" spans="1:8" x14ac:dyDescent="0.25">
      <c r="E325" t="str">
        <f>""</f>
        <v/>
      </c>
      <c r="F325" t="str">
        <f>""</f>
        <v/>
      </c>
      <c r="H325" t="str">
        <f>"INTEREST"</f>
        <v>INTEREST</v>
      </c>
    </row>
    <row r="326" spans="1:8" x14ac:dyDescent="0.25">
      <c r="E326" t="str">
        <f>""</f>
        <v/>
      </c>
      <c r="F326" t="str">
        <f>""</f>
        <v/>
      </c>
      <c r="H326" t="str">
        <f>"TEX PROPANE"</f>
        <v>TEX PROPANE</v>
      </c>
    </row>
    <row r="327" spans="1:8" x14ac:dyDescent="0.25">
      <c r="A327" t="s">
        <v>93</v>
      </c>
      <c r="B327">
        <v>80664</v>
      </c>
      <c r="C327" s="2">
        <v>5</v>
      </c>
      <c r="D327" s="1">
        <v>43493</v>
      </c>
      <c r="E327" t="str">
        <f>"201901176663"</f>
        <v>201901176663</v>
      </c>
      <c r="F327" t="str">
        <f>"FERAL HOGS"</f>
        <v>FERAL HOGS</v>
      </c>
      <c r="G327" s="2">
        <v>5</v>
      </c>
      <c r="H327" t="str">
        <f>"FERAL HOGS"</f>
        <v>FERAL HOGS</v>
      </c>
    </row>
    <row r="328" spans="1:8" x14ac:dyDescent="0.25">
      <c r="A328" t="s">
        <v>94</v>
      </c>
      <c r="B328">
        <v>316</v>
      </c>
      <c r="C328" s="2">
        <v>25</v>
      </c>
      <c r="D328" s="1">
        <v>43480</v>
      </c>
      <c r="E328" t="str">
        <f>"22880"</f>
        <v>22880</v>
      </c>
      <c r="F328" t="str">
        <f>"ANGLE/PCT#3"</f>
        <v>ANGLE/PCT#3</v>
      </c>
      <c r="G328" s="2">
        <v>25</v>
      </c>
      <c r="H328" t="str">
        <f>"ANGLE/PCT#3"</f>
        <v>ANGLE/PCT#3</v>
      </c>
    </row>
    <row r="329" spans="1:8" x14ac:dyDescent="0.25">
      <c r="A329" t="s">
        <v>94</v>
      </c>
      <c r="B329">
        <v>375</v>
      </c>
      <c r="C329" s="2">
        <v>37</v>
      </c>
      <c r="D329" s="1">
        <v>43494</v>
      </c>
      <c r="E329" t="str">
        <f>"22897"</f>
        <v>22897</v>
      </c>
      <c r="F329" t="str">
        <f>"PARTS/PCT#2"</f>
        <v>PARTS/PCT#2</v>
      </c>
      <c r="G329" s="2">
        <v>37</v>
      </c>
      <c r="H329" t="str">
        <f>"PARTS/PCT#2"</f>
        <v>PARTS/PCT#2</v>
      </c>
    </row>
    <row r="330" spans="1:8" x14ac:dyDescent="0.25">
      <c r="A330" t="s">
        <v>95</v>
      </c>
      <c r="B330">
        <v>80803</v>
      </c>
      <c r="C330" s="2">
        <v>2327.2399999999998</v>
      </c>
      <c r="D330" s="1">
        <v>43495</v>
      </c>
      <c r="E330" t="str">
        <f>"201901306933"</f>
        <v>201901306933</v>
      </c>
      <c r="F330" t="str">
        <f>"ACCT#8000081165-5 / 01212019"</f>
        <v>ACCT#8000081165-5 / 01212019</v>
      </c>
      <c r="G330" s="2">
        <v>2327.2399999999998</v>
      </c>
      <c r="H330" t="str">
        <f>"ACCT#8000081165-5 / 01212019"</f>
        <v>ACCT#8000081165-5 / 01212019</v>
      </c>
    </row>
    <row r="331" spans="1:8" x14ac:dyDescent="0.25">
      <c r="E331" t="str">
        <f>""</f>
        <v/>
      </c>
      <c r="F331" t="str">
        <f>""</f>
        <v/>
      </c>
      <c r="H331" t="str">
        <f>"ACCT#8000081165-5 / 01212019"</f>
        <v>ACCT#8000081165-5 / 01212019</v>
      </c>
    </row>
    <row r="332" spans="1:8" x14ac:dyDescent="0.25">
      <c r="A332" t="s">
        <v>96</v>
      </c>
      <c r="B332">
        <v>80349</v>
      </c>
      <c r="C332" s="2">
        <v>646.88</v>
      </c>
      <c r="D332" s="1">
        <v>43479</v>
      </c>
      <c r="E332" t="str">
        <f>"CID2377129"</f>
        <v>CID2377129</v>
      </c>
      <c r="F332" t="str">
        <f>"ACCT#238567"</f>
        <v>ACCT#238567</v>
      </c>
      <c r="G332" s="2">
        <v>646.88</v>
      </c>
      <c r="H332" t="str">
        <f>"ACCT#238567"</f>
        <v>ACCT#238567</v>
      </c>
    </row>
    <row r="333" spans="1:8" x14ac:dyDescent="0.25">
      <c r="A333" t="s">
        <v>97</v>
      </c>
      <c r="B333">
        <v>80350</v>
      </c>
      <c r="C333" s="2">
        <v>195</v>
      </c>
      <c r="D333" s="1">
        <v>43479</v>
      </c>
      <c r="E333" t="str">
        <f>"BC2#018"</f>
        <v>BC2#018</v>
      </c>
      <c r="F333" t="str">
        <f>"RENTAL DATES DEC28-JAN28/PCT#2"</f>
        <v>RENTAL DATES DEC28-JAN28/PCT#2</v>
      </c>
      <c r="G333" s="2">
        <v>195</v>
      </c>
      <c r="H333" t="str">
        <f>"RENTAL DATES DEC28-JAN28/PCT#2"</f>
        <v>RENTAL DATES DEC28-JAN28/PCT#2</v>
      </c>
    </row>
    <row r="334" spans="1:8" x14ac:dyDescent="0.25">
      <c r="A334" t="s">
        <v>98</v>
      </c>
      <c r="B334">
        <v>80665</v>
      </c>
      <c r="C334" s="2">
        <v>4200</v>
      </c>
      <c r="D334" s="1">
        <v>43493</v>
      </c>
      <c r="E334" t="str">
        <f>"12464"</f>
        <v>12464</v>
      </c>
      <c r="F334" t="str">
        <f>"CTA189-18 - J.A. MACK"</f>
        <v>CTA189-18 - J.A. MACK</v>
      </c>
      <c r="G334" s="2">
        <v>2100</v>
      </c>
      <c r="H334" t="str">
        <f>"CTA189-18 - J.A. MACK"</f>
        <v>CTA189-18 - J.A. MACK</v>
      </c>
    </row>
    <row r="335" spans="1:8" x14ac:dyDescent="0.25">
      <c r="E335" t="str">
        <f>"12540"</f>
        <v>12540</v>
      </c>
      <c r="F335" t="str">
        <f>"CTA187-18 - A.V. SAUCEDO"</f>
        <v>CTA187-18 - A.V. SAUCEDO</v>
      </c>
      <c r="G335" s="2">
        <v>2100</v>
      </c>
      <c r="H335" t="str">
        <f>"CTA187-18 - A.V. SAUCEDO"</f>
        <v>CTA187-18 - A.V. SAUCEDO</v>
      </c>
    </row>
    <row r="336" spans="1:8" x14ac:dyDescent="0.25">
      <c r="A336" t="s">
        <v>99</v>
      </c>
      <c r="B336">
        <v>80577</v>
      </c>
      <c r="C336" s="2">
        <v>220.49</v>
      </c>
      <c r="D336" s="1">
        <v>43482</v>
      </c>
      <c r="E336" t="str">
        <f>"201901176660"</f>
        <v>201901176660</v>
      </c>
      <c r="F336" t="str">
        <f>"LOST PROPERTY REIMBURSEMENT"</f>
        <v>LOST PROPERTY REIMBURSEMENT</v>
      </c>
      <c r="G336" s="2">
        <v>220.49</v>
      </c>
      <c r="H336" t="str">
        <f>"LOST PROPERTY REIMBURSEMENT"</f>
        <v>LOST PROPERTY REIMBURSEMENT</v>
      </c>
    </row>
    <row r="337" spans="1:8" x14ac:dyDescent="0.25">
      <c r="A337" t="s">
        <v>100</v>
      </c>
      <c r="B337">
        <v>80351</v>
      </c>
      <c r="C337" s="2">
        <v>1050</v>
      </c>
      <c r="D337" s="1">
        <v>43479</v>
      </c>
      <c r="E337" t="str">
        <f>"201901036089"</f>
        <v>201901036089</v>
      </c>
      <c r="F337" t="str">
        <f>"11465"</f>
        <v>11465</v>
      </c>
      <c r="G337" s="2">
        <v>300</v>
      </c>
      <c r="H337" t="str">
        <f>"11465"</f>
        <v>11465</v>
      </c>
    </row>
    <row r="338" spans="1:8" x14ac:dyDescent="0.25">
      <c r="E338" t="str">
        <f>"201901036091"</f>
        <v>201901036091</v>
      </c>
      <c r="F338" t="str">
        <f>"J-3160"</f>
        <v>J-3160</v>
      </c>
      <c r="G338" s="2">
        <v>250</v>
      </c>
      <c r="H338" t="str">
        <f>"J-3160"</f>
        <v>J-3160</v>
      </c>
    </row>
    <row r="339" spans="1:8" x14ac:dyDescent="0.25">
      <c r="E339" t="str">
        <f>"201901036114"</f>
        <v>201901036114</v>
      </c>
      <c r="F339" t="str">
        <f>"409018-11"</f>
        <v>409018-11</v>
      </c>
      <c r="G339" s="2">
        <v>250</v>
      </c>
      <c r="H339" t="str">
        <f>"409018-11"</f>
        <v>409018-11</v>
      </c>
    </row>
    <row r="340" spans="1:8" x14ac:dyDescent="0.25">
      <c r="E340" t="str">
        <f>"201901036115"</f>
        <v>201901036115</v>
      </c>
      <c r="F340" t="str">
        <f>"02-0725-4"</f>
        <v>02-0725-4</v>
      </c>
      <c r="G340" s="2">
        <v>250</v>
      </c>
      <c r="H340" t="str">
        <f>"02-0725-4"</f>
        <v>02-0725-4</v>
      </c>
    </row>
    <row r="341" spans="1:8" x14ac:dyDescent="0.25">
      <c r="A341" t="s">
        <v>101</v>
      </c>
      <c r="B341">
        <v>80352</v>
      </c>
      <c r="C341" s="2">
        <v>570</v>
      </c>
      <c r="D341" s="1">
        <v>43479</v>
      </c>
      <c r="E341" t="str">
        <f>"201812285997"</f>
        <v>201812285997</v>
      </c>
      <c r="F341" t="str">
        <f>"STORAGE RENTAL-UNIT 190"</f>
        <v>STORAGE RENTAL-UNIT 190</v>
      </c>
      <c r="G341" s="2">
        <v>570</v>
      </c>
      <c r="H341" t="str">
        <f>"STORAGE RENTAL-UNIT 190"</f>
        <v>STORAGE RENTAL-UNIT 190</v>
      </c>
    </row>
    <row r="342" spans="1:8" x14ac:dyDescent="0.25">
      <c r="A342" t="s">
        <v>102</v>
      </c>
      <c r="B342">
        <v>80666</v>
      </c>
      <c r="C342" s="2">
        <v>60</v>
      </c>
      <c r="D342" s="1">
        <v>43493</v>
      </c>
      <c r="E342" t="str">
        <f>"201901176666"</f>
        <v>201901176666</v>
      </c>
      <c r="F342" t="str">
        <f>"FERAL HOGS"</f>
        <v>FERAL HOGS</v>
      </c>
      <c r="G342" s="2">
        <v>60</v>
      </c>
      <c r="H342" t="str">
        <f>"FERAL HOGS"</f>
        <v>FERAL HOGS</v>
      </c>
    </row>
    <row r="343" spans="1:8" x14ac:dyDescent="0.25">
      <c r="A343" t="s">
        <v>103</v>
      </c>
      <c r="B343">
        <v>341</v>
      </c>
      <c r="C343" s="2">
        <v>2900</v>
      </c>
      <c r="D343" s="1">
        <v>43480</v>
      </c>
      <c r="E343" t="str">
        <f>"201812286014"</f>
        <v>201812286014</v>
      </c>
      <c r="F343" t="str">
        <f>"02-0725-6"</f>
        <v>02-0725-6</v>
      </c>
      <c r="G343" s="2">
        <v>400</v>
      </c>
      <c r="H343" t="str">
        <f>"02-0725-6"</f>
        <v>02-0725-6</v>
      </c>
    </row>
    <row r="344" spans="1:8" x14ac:dyDescent="0.25">
      <c r="E344" t="str">
        <f>"201812286015"</f>
        <v>201812286015</v>
      </c>
      <c r="F344" t="str">
        <f>"408127-2"</f>
        <v>408127-2</v>
      </c>
      <c r="G344" s="2">
        <v>400</v>
      </c>
      <c r="H344" t="str">
        <f>"408127-2"</f>
        <v>408127-2</v>
      </c>
    </row>
    <row r="345" spans="1:8" x14ac:dyDescent="0.25">
      <c r="E345" t="str">
        <f>"201812286016"</f>
        <v>201812286016</v>
      </c>
      <c r="F345" t="str">
        <f>"404256.1"</f>
        <v>404256.1</v>
      </c>
      <c r="G345" s="2">
        <v>400</v>
      </c>
      <c r="H345" t="str">
        <f>"404256.1"</f>
        <v>404256.1</v>
      </c>
    </row>
    <row r="346" spans="1:8" x14ac:dyDescent="0.25">
      <c r="E346" t="str">
        <f>"201812286017"</f>
        <v>201812286017</v>
      </c>
      <c r="F346" t="str">
        <f>"16 485"</f>
        <v>16 485</v>
      </c>
      <c r="G346" s="2">
        <v>400</v>
      </c>
      <c r="H346" t="str">
        <f>"16 485"</f>
        <v>16 485</v>
      </c>
    </row>
    <row r="347" spans="1:8" x14ac:dyDescent="0.25">
      <c r="E347" t="str">
        <f>"201812286018"</f>
        <v>201812286018</v>
      </c>
      <c r="F347" t="str">
        <f>"16 609"</f>
        <v>16 609</v>
      </c>
      <c r="G347" s="2">
        <v>400</v>
      </c>
      <c r="H347" t="str">
        <f>"16 609"</f>
        <v>16 609</v>
      </c>
    </row>
    <row r="348" spans="1:8" x14ac:dyDescent="0.25">
      <c r="E348" t="str">
        <f>"201812286019"</f>
        <v>201812286019</v>
      </c>
      <c r="F348" t="str">
        <f>"16 716"</f>
        <v>16 716</v>
      </c>
      <c r="G348" s="2">
        <v>400</v>
      </c>
      <c r="H348" t="str">
        <f>"16 716"</f>
        <v>16 716</v>
      </c>
    </row>
    <row r="349" spans="1:8" x14ac:dyDescent="0.25">
      <c r="E349" t="str">
        <f>"201901036110"</f>
        <v>201901036110</v>
      </c>
      <c r="F349" t="str">
        <f>"02.05224.18"</f>
        <v>02.05224.18</v>
      </c>
      <c r="G349" s="2">
        <v>250</v>
      </c>
      <c r="H349" t="str">
        <f>"02.05224.18"</f>
        <v>02.05224.18</v>
      </c>
    </row>
    <row r="350" spans="1:8" x14ac:dyDescent="0.25">
      <c r="E350" t="str">
        <f>"201901036111"</f>
        <v>201901036111</v>
      </c>
      <c r="F350" t="str">
        <f>"56 307"</f>
        <v>56 307</v>
      </c>
      <c r="G350" s="2">
        <v>250</v>
      </c>
      <c r="H350" t="str">
        <f>"56 307"</f>
        <v>56 307</v>
      </c>
    </row>
    <row r="351" spans="1:8" x14ac:dyDescent="0.25">
      <c r="A351" t="s">
        <v>103</v>
      </c>
      <c r="B351">
        <v>402</v>
      </c>
      <c r="C351" s="2">
        <v>1500</v>
      </c>
      <c r="D351" s="1">
        <v>43494</v>
      </c>
      <c r="E351" t="str">
        <f>"201901156575"</f>
        <v>201901156575</v>
      </c>
      <c r="F351" t="str">
        <f>"16 632"</f>
        <v>16 632</v>
      </c>
      <c r="G351" s="2">
        <v>400</v>
      </c>
      <c r="H351" t="str">
        <f>"16 632"</f>
        <v>16 632</v>
      </c>
    </row>
    <row r="352" spans="1:8" x14ac:dyDescent="0.25">
      <c r="E352" t="str">
        <f>"201901156576"</f>
        <v>201901156576</v>
      </c>
      <c r="F352" t="str">
        <f>"15 300  408278.1"</f>
        <v>15 300  408278.1</v>
      </c>
      <c r="G352" s="2">
        <v>600</v>
      </c>
      <c r="H352" t="str">
        <f>"15 300  408278.1"</f>
        <v>15 300  408278.1</v>
      </c>
    </row>
    <row r="353" spans="1:8" x14ac:dyDescent="0.25">
      <c r="E353" t="str">
        <f>"201901176617"</f>
        <v>201901176617</v>
      </c>
      <c r="F353" t="str">
        <f>"53 666"</f>
        <v>53 666</v>
      </c>
      <c r="G353" s="2">
        <v>250</v>
      </c>
      <c r="H353" t="str">
        <f>"53 666"</f>
        <v>53 666</v>
      </c>
    </row>
    <row r="354" spans="1:8" x14ac:dyDescent="0.25">
      <c r="E354" t="str">
        <f>"201901176628"</f>
        <v>201901176628</v>
      </c>
      <c r="F354" t="str">
        <f>"54709"</f>
        <v>54709</v>
      </c>
      <c r="G354" s="2">
        <v>250</v>
      </c>
      <c r="H354" t="str">
        <f>"54709"</f>
        <v>54709</v>
      </c>
    </row>
    <row r="355" spans="1:8" x14ac:dyDescent="0.25">
      <c r="A355" t="s">
        <v>104</v>
      </c>
      <c r="B355">
        <v>80667</v>
      </c>
      <c r="C355" s="2">
        <v>106.97</v>
      </c>
      <c r="D355" s="1">
        <v>43493</v>
      </c>
      <c r="E355" t="str">
        <f>"5012682063"</f>
        <v>5012682063</v>
      </c>
      <c r="F355" t="str">
        <f>"CUST#0011167190/RD &amp; BRIDGE/P1"</f>
        <v>CUST#0011167190/RD &amp; BRIDGE/P1</v>
      </c>
      <c r="G355" s="2">
        <v>106.97</v>
      </c>
      <c r="H355" t="str">
        <f>"CUST#0011167190/RD &amp; BRIDGE/P1"</f>
        <v>CUST#0011167190/RD &amp; BRIDGE/P1</v>
      </c>
    </row>
    <row r="356" spans="1:8" x14ac:dyDescent="0.25">
      <c r="A356" t="s">
        <v>105</v>
      </c>
      <c r="B356">
        <v>80353</v>
      </c>
      <c r="C356" s="2">
        <v>188.34</v>
      </c>
      <c r="D356" s="1">
        <v>43479</v>
      </c>
      <c r="E356" t="str">
        <f>"8403945921"</f>
        <v>8403945921</v>
      </c>
      <c r="F356" t="str">
        <f>"CUST#10377368/PCT#2"</f>
        <v>CUST#10377368/PCT#2</v>
      </c>
      <c r="G356" s="2">
        <v>46.48</v>
      </c>
      <c r="H356" t="str">
        <f>"CUST#10377368/PCT#2"</f>
        <v>CUST#10377368/PCT#2</v>
      </c>
    </row>
    <row r="357" spans="1:8" x14ac:dyDescent="0.25">
      <c r="E357" t="str">
        <f>"8403959992"</f>
        <v>8403959992</v>
      </c>
      <c r="F357" t="str">
        <f>"CUST#10377368/PCT#3"</f>
        <v>CUST#10377368/PCT#3</v>
      </c>
      <c r="G357" s="2">
        <v>141.86000000000001</v>
      </c>
      <c r="H357" t="str">
        <f>"CUST#10377368/PCT#3"</f>
        <v>CUST#10377368/PCT#3</v>
      </c>
    </row>
    <row r="358" spans="1:8" x14ac:dyDescent="0.25">
      <c r="A358" t="s">
        <v>106</v>
      </c>
      <c r="B358">
        <v>80354</v>
      </c>
      <c r="C358" s="2">
        <v>7035.01</v>
      </c>
      <c r="D358" s="1">
        <v>43479</v>
      </c>
      <c r="E358" t="str">
        <f>"201812286054"</f>
        <v>201812286054</v>
      </c>
      <c r="F358" t="str">
        <f>"PAYER#13034093/PCT#3"</f>
        <v>PAYER#13034093/PCT#3</v>
      </c>
      <c r="G358" s="2">
        <v>1830.36</v>
      </c>
      <c r="H358" t="str">
        <f>"PAYER#13034093/PCT#3"</f>
        <v>PAYER#13034093/PCT#3</v>
      </c>
    </row>
    <row r="359" spans="1:8" x14ac:dyDescent="0.25">
      <c r="E359" t="str">
        <f>"201901046378"</f>
        <v>201901046378</v>
      </c>
      <c r="F359" t="str">
        <f>"PAYER#13242108/SIGN SHOP"</f>
        <v>PAYER#13242108/SIGN SHOP</v>
      </c>
      <c r="G359" s="2">
        <v>60.85</v>
      </c>
      <c r="H359" t="str">
        <f>"PAYER#13242108/SIGN SHOP"</f>
        <v>PAYER#13242108/SIGN SHOP</v>
      </c>
    </row>
    <row r="360" spans="1:8" x14ac:dyDescent="0.25">
      <c r="E360" t="str">
        <f>"201901046379"</f>
        <v>201901046379</v>
      </c>
      <c r="F360" t="str">
        <f>"PAYER#13242108/ANIMAL SHELTER"</f>
        <v>PAYER#13242108/ANIMAL SHELTER</v>
      </c>
      <c r="G360" s="2">
        <v>211.36</v>
      </c>
      <c r="H360" t="str">
        <f>"PAYER#13242108/ANIMAL SHELTER"</f>
        <v>PAYER#13242108/ANIMAL SHELTER</v>
      </c>
    </row>
    <row r="361" spans="1:8" x14ac:dyDescent="0.25">
      <c r="E361" t="str">
        <f>"201901046380"</f>
        <v>201901046380</v>
      </c>
      <c r="F361" t="str">
        <f>"PAYER#13242108/GENERAL SVCS"</f>
        <v>PAYER#13242108/GENERAL SVCS</v>
      </c>
      <c r="G361" s="2">
        <v>845.73</v>
      </c>
      <c r="H361" t="str">
        <f>"PAYER#13242108/GENERAL SVCS"</f>
        <v>PAYER#13242108/GENERAL SVCS</v>
      </c>
    </row>
    <row r="362" spans="1:8" x14ac:dyDescent="0.25">
      <c r="E362" t="str">
        <f>"201901046384"</f>
        <v>201901046384</v>
      </c>
      <c r="F362" t="str">
        <f>"PAYER#13242108/PCT#1"</f>
        <v>PAYER#13242108/PCT#1</v>
      </c>
      <c r="G362" s="2">
        <v>767.6</v>
      </c>
      <c r="H362" t="str">
        <f>"PAYER#13242108/PCT#1"</f>
        <v>PAYER#13242108/PCT#1</v>
      </c>
    </row>
    <row r="363" spans="1:8" x14ac:dyDescent="0.25">
      <c r="E363" t="str">
        <f>"201901046385"</f>
        <v>201901046385</v>
      </c>
      <c r="F363" t="str">
        <f>"PAYER#13242108/PRECINCT#2"</f>
        <v>PAYER#13242108/PRECINCT#2</v>
      </c>
      <c r="G363" s="2">
        <v>741.55</v>
      </c>
      <c r="H363" t="str">
        <f>"PAYER#13242108/PRECINCT#2"</f>
        <v>PAYER#13242108/PRECINCT#2</v>
      </c>
    </row>
    <row r="364" spans="1:8" x14ac:dyDescent="0.25">
      <c r="E364" t="str">
        <f>"201901046386"</f>
        <v>201901046386</v>
      </c>
      <c r="F364" t="str">
        <f>"PAYER#13242108/PRECINCT#4"</f>
        <v>PAYER#13242108/PRECINCT#4</v>
      </c>
      <c r="G364" s="2">
        <v>2577.56</v>
      </c>
      <c r="H364" t="str">
        <f>"PAYER#13242108/PRECINCT#4"</f>
        <v>PAYER#13242108/PRECINCT#4</v>
      </c>
    </row>
    <row r="365" spans="1:8" x14ac:dyDescent="0.25">
      <c r="A365" t="s">
        <v>107</v>
      </c>
      <c r="B365">
        <v>80303</v>
      </c>
      <c r="C365" s="2">
        <v>33946.75</v>
      </c>
      <c r="D365" s="1">
        <v>43473</v>
      </c>
      <c r="E365" t="str">
        <f>"201901086432"</f>
        <v>201901086432</v>
      </c>
      <c r="F365" t="str">
        <f>"ACCT#02-2083-04 / 12/29/2018"</f>
        <v>ACCT#02-2083-04 / 12/29/2018</v>
      </c>
      <c r="G365" s="2">
        <v>655.05999999999995</v>
      </c>
      <c r="H365" t="str">
        <f>"ACCT#02-2083-04 / 12/29/2018"</f>
        <v>ACCT#02-2083-04 / 12/29/2018</v>
      </c>
    </row>
    <row r="366" spans="1:8" x14ac:dyDescent="0.25">
      <c r="E366" t="str">
        <f>"201901086433"</f>
        <v>201901086433</v>
      </c>
      <c r="F366" t="str">
        <f>"CTY DEV CTR - 12/29/2018"</f>
        <v>CTY DEV CTR - 12/29/2018</v>
      </c>
      <c r="G366" s="2">
        <v>1687.71</v>
      </c>
      <c r="H366" t="str">
        <f>"CTY DEV CTR - 12/29/2018"</f>
        <v>CTY DEV CTR - 12/29/2018</v>
      </c>
    </row>
    <row r="367" spans="1:8" x14ac:dyDescent="0.25">
      <c r="E367" t="str">
        <f>"201901086434"</f>
        <v>201901086434</v>
      </c>
      <c r="F367" t="str">
        <f>"LAW CENTER - 12/29/2018"</f>
        <v>LAW CENTER - 12/29/2018</v>
      </c>
      <c r="G367" s="2">
        <v>19548.89</v>
      </c>
      <c r="H367" t="str">
        <f>"LAW CENTER - 12/29/2018"</f>
        <v>LAW CENTER - 12/29/2018</v>
      </c>
    </row>
    <row r="368" spans="1:8" x14ac:dyDescent="0.25">
      <c r="E368" t="str">
        <f>"201901086435"</f>
        <v>201901086435</v>
      </c>
      <c r="F368" t="str">
        <f>"COUNTY COURTHOUSE - 12/29/2018"</f>
        <v>COUNTY COURTHOUSE - 12/29/2018</v>
      </c>
      <c r="G368" s="2">
        <v>12055.09</v>
      </c>
      <c r="H368" t="str">
        <f>"COUNTY COURTHOUSE - 12/29/2018"</f>
        <v>COUNTY COURTHOUSE - 12/29/2018</v>
      </c>
    </row>
    <row r="369" spans="1:8" x14ac:dyDescent="0.25">
      <c r="A369" t="s">
        <v>107</v>
      </c>
      <c r="B369">
        <v>80668</v>
      </c>
      <c r="C369" s="2">
        <v>750</v>
      </c>
      <c r="D369" s="1">
        <v>43493</v>
      </c>
      <c r="E369" t="str">
        <f>"201901166589"</f>
        <v>201901166589</v>
      </c>
      <c r="F369" t="str">
        <f>"RENTAL-PARKING LOT"</f>
        <v>RENTAL-PARKING LOT</v>
      </c>
      <c r="G369" s="2">
        <v>750</v>
      </c>
      <c r="H369" t="str">
        <f>"RENTAL-PARKING LOT"</f>
        <v>RENTAL-PARKING LOT</v>
      </c>
    </row>
    <row r="370" spans="1:8" x14ac:dyDescent="0.25">
      <c r="A370" t="s">
        <v>108</v>
      </c>
      <c r="B370">
        <v>80804</v>
      </c>
      <c r="C370" s="2">
        <v>1035.1099999999999</v>
      </c>
      <c r="D370" s="1">
        <v>43495</v>
      </c>
      <c r="E370" t="str">
        <f>"201901306934"</f>
        <v>201901306934</v>
      </c>
      <c r="F370" t="str">
        <f>"ACCT#007-0000388-000/01242019"</f>
        <v>ACCT#007-0000388-000/01242019</v>
      </c>
      <c r="G370" s="2">
        <v>445.24</v>
      </c>
      <c r="H370" t="str">
        <f>"ACCT#007-0000388-000/01242019"</f>
        <v>ACCT#007-0000388-000/01242019</v>
      </c>
    </row>
    <row r="371" spans="1:8" x14ac:dyDescent="0.25">
      <c r="E371" t="str">
        <f>"201901306935"</f>
        <v>201901306935</v>
      </c>
      <c r="F371" t="str">
        <f>"ACCT#007-0000389-000/01242019"</f>
        <v>ACCT#007-0000389-000/01242019</v>
      </c>
      <c r="G371" s="2">
        <v>22.86</v>
      </c>
      <c r="H371" t="str">
        <f>"ACCT#007-0000389-000/01242019"</f>
        <v>ACCT#007-0000389-000/01242019</v>
      </c>
    </row>
    <row r="372" spans="1:8" x14ac:dyDescent="0.25">
      <c r="E372" t="str">
        <f>"201901306936"</f>
        <v>201901306936</v>
      </c>
      <c r="F372" t="str">
        <f>"ACCT#044-0001240-000/01242019"</f>
        <v>ACCT#044-0001240-000/01242019</v>
      </c>
      <c r="G372" s="2">
        <v>285.10000000000002</v>
      </c>
      <c r="H372" t="str">
        <f>"ACCT#044-0001240-000/01242019"</f>
        <v>ACCT#044-0001240-000/01242019</v>
      </c>
    </row>
    <row r="373" spans="1:8" x14ac:dyDescent="0.25">
      <c r="E373" t="str">
        <f>"201901306937"</f>
        <v>201901306937</v>
      </c>
      <c r="F373" t="str">
        <f>"ACCT#044-0001250-000/01242019"</f>
        <v>ACCT#044-0001250-000/01242019</v>
      </c>
      <c r="G373" s="2">
        <v>96.5</v>
      </c>
      <c r="H373" t="str">
        <f>"ACCT#044-0001250-000/01242019"</f>
        <v>ACCT#044-0001250-000/01242019</v>
      </c>
    </row>
    <row r="374" spans="1:8" x14ac:dyDescent="0.25">
      <c r="E374" t="str">
        <f>"201901306938"</f>
        <v>201901306938</v>
      </c>
      <c r="F374" t="str">
        <f>"ACCT#044-0001252-000/01242019"</f>
        <v>ACCT#044-0001252-000/01242019</v>
      </c>
      <c r="G374" s="2">
        <v>13.57</v>
      </c>
      <c r="H374" t="str">
        <f>"ACCT#044-0001252-000/01242019"</f>
        <v>ACCT#044-0001252-000/01242019</v>
      </c>
    </row>
    <row r="375" spans="1:8" x14ac:dyDescent="0.25">
      <c r="E375" t="str">
        <f>"201901306939"</f>
        <v>201901306939</v>
      </c>
      <c r="F375" t="str">
        <f>"ACCT#044-0001253-000/01242019"</f>
        <v>ACCT#044-0001253-000/01242019</v>
      </c>
      <c r="G375" s="2">
        <v>171.84</v>
      </c>
      <c r="H375" t="str">
        <f>"ACCT#044-0001253-000/01242019"</f>
        <v>ACCT#044-0001253-000/01242019</v>
      </c>
    </row>
    <row r="376" spans="1:8" x14ac:dyDescent="0.25">
      <c r="A376" t="s">
        <v>109</v>
      </c>
      <c r="B376">
        <v>80669</v>
      </c>
      <c r="C376" s="2">
        <v>85</v>
      </c>
      <c r="D376" s="1">
        <v>43493</v>
      </c>
      <c r="E376" t="str">
        <f>"201901176667"</f>
        <v>201901176667</v>
      </c>
      <c r="F376" t="str">
        <f>"FERAL HOGS"</f>
        <v>FERAL HOGS</v>
      </c>
      <c r="G376" s="2">
        <v>35</v>
      </c>
      <c r="H376" t="str">
        <f>"FERAL HOGS"</f>
        <v>FERAL HOGS</v>
      </c>
    </row>
    <row r="377" spans="1:8" x14ac:dyDescent="0.25">
      <c r="E377" t="str">
        <f>"201901176669"</f>
        <v>201901176669</v>
      </c>
      <c r="F377" t="str">
        <f>"FERAL HOGS"</f>
        <v>FERAL HOGS</v>
      </c>
      <c r="G377" s="2">
        <v>50</v>
      </c>
      <c r="H377" t="str">
        <f>"FERAL HOGS"</f>
        <v>FERAL HOGS</v>
      </c>
    </row>
    <row r="378" spans="1:8" x14ac:dyDescent="0.25">
      <c r="A378" t="s">
        <v>110</v>
      </c>
      <c r="B378">
        <v>289</v>
      </c>
      <c r="C378" s="2">
        <v>205.88</v>
      </c>
      <c r="D378" s="1">
        <v>43480</v>
      </c>
      <c r="E378" t="str">
        <f>"INV_PART-0146981"</f>
        <v>INV_PART-0146981</v>
      </c>
      <c r="F378" t="str">
        <f>"INV_PART-0146981"</f>
        <v>INV_PART-0146981</v>
      </c>
      <c r="G378" s="2">
        <v>205.88</v>
      </c>
      <c r="H378" t="str">
        <f>"INV_PART-0146981"</f>
        <v>INV_PART-0146981</v>
      </c>
    </row>
    <row r="379" spans="1:8" x14ac:dyDescent="0.25">
      <c r="A379" t="s">
        <v>110</v>
      </c>
      <c r="B379">
        <v>353</v>
      </c>
      <c r="C379" s="2">
        <v>1548.72</v>
      </c>
      <c r="D379" s="1">
        <v>43494</v>
      </c>
      <c r="E379" t="str">
        <f>"PMA-0046411"</f>
        <v>PMA-0046411</v>
      </c>
      <c r="F379" t="str">
        <f>"AGREEMENT#PMA-010647"</f>
        <v>AGREEMENT#PMA-010647</v>
      </c>
      <c r="G379" s="2">
        <v>151</v>
      </c>
      <c r="H379" t="str">
        <f>"AGREEMENT#PMA-010647"</f>
        <v>AGREEMENT#PMA-010647</v>
      </c>
    </row>
    <row r="380" spans="1:8" x14ac:dyDescent="0.25">
      <c r="E380" t="str">
        <f>"PMA-0046412"</f>
        <v>PMA-0046412</v>
      </c>
      <c r="F380" t="str">
        <f>"AGREEMENT#PMA-010644"</f>
        <v>AGREEMENT#PMA-010644</v>
      </c>
      <c r="G380" s="2">
        <v>151</v>
      </c>
      <c r="H380" t="str">
        <f>"AGREEMENT#PMA-010644"</f>
        <v>AGREEMENT#PMA-010644</v>
      </c>
    </row>
    <row r="381" spans="1:8" x14ac:dyDescent="0.25">
      <c r="E381" t="str">
        <f>"PMA-0046413"</f>
        <v>PMA-0046413</v>
      </c>
      <c r="F381" t="str">
        <f>"AGREEMENT#PMA-010648"</f>
        <v>AGREEMENT#PMA-010648</v>
      </c>
      <c r="G381" s="2">
        <v>162</v>
      </c>
      <c r="H381" t="str">
        <f>"AGREEMENT#PMA-010648"</f>
        <v>AGREEMENT#PMA-010648</v>
      </c>
    </row>
    <row r="382" spans="1:8" x14ac:dyDescent="0.25">
      <c r="E382" t="str">
        <f>"SVC-0079987"</f>
        <v>SVC-0079987</v>
      </c>
      <c r="F382" t="str">
        <f>"INV SVC-0079987"</f>
        <v>INV SVC-0079987</v>
      </c>
      <c r="G382" s="2">
        <v>446.27</v>
      </c>
      <c r="H382" t="str">
        <f>"INV SVC-0079987"</f>
        <v>INV SVC-0079987</v>
      </c>
    </row>
    <row r="383" spans="1:8" x14ac:dyDescent="0.25">
      <c r="E383" t="str">
        <f>"SVC-0080220"</f>
        <v>SVC-0080220</v>
      </c>
      <c r="F383" t="str">
        <f>"CUST#0020272"</f>
        <v>CUST#0020272</v>
      </c>
      <c r="G383" s="2">
        <v>638.45000000000005</v>
      </c>
      <c r="H383" t="str">
        <f>"CUST#0020272"</f>
        <v>CUST#0020272</v>
      </c>
    </row>
    <row r="384" spans="1:8" x14ac:dyDescent="0.25">
      <c r="A384" t="s">
        <v>111</v>
      </c>
      <c r="B384">
        <v>315</v>
      </c>
      <c r="C384" s="2">
        <v>322.04000000000002</v>
      </c>
      <c r="D384" s="1">
        <v>43480</v>
      </c>
      <c r="E384" t="str">
        <f>"201901096494"</f>
        <v>201901096494</v>
      </c>
      <c r="F384" t="str">
        <f>"INDIGENT HEALTH"</f>
        <v>INDIGENT HEALTH</v>
      </c>
      <c r="G384" s="2">
        <v>322.04000000000002</v>
      </c>
      <c r="H384" t="str">
        <f>"INDIGENT HEALTH"</f>
        <v>INDIGENT HEALTH</v>
      </c>
    </row>
    <row r="385" spans="1:8" x14ac:dyDescent="0.25">
      <c r="A385" t="s">
        <v>111</v>
      </c>
      <c r="B385">
        <v>374</v>
      </c>
      <c r="C385" s="2">
        <v>641.91</v>
      </c>
      <c r="D385" s="1">
        <v>43494</v>
      </c>
      <c r="E385" t="str">
        <f>"201812-0"</f>
        <v>201812-0</v>
      </c>
      <c r="F385" t="str">
        <f>"INV 201812-0"</f>
        <v>INV 201812-0</v>
      </c>
      <c r="G385" s="2">
        <v>234.7</v>
      </c>
      <c r="H385" t="str">
        <f>"INV 201812-0"</f>
        <v>INV 201812-0</v>
      </c>
    </row>
    <row r="386" spans="1:8" x14ac:dyDescent="0.25">
      <c r="E386" t="str">
        <f>"201901226732"</f>
        <v>201901226732</v>
      </c>
      <c r="F386" t="str">
        <f>"INDIGENT HEALTH"</f>
        <v>INDIGENT HEALTH</v>
      </c>
      <c r="G386" s="2">
        <v>407.21</v>
      </c>
      <c r="H386" t="str">
        <f>"INDIGENT HEALTH"</f>
        <v>INDIGENT HEALTH</v>
      </c>
    </row>
    <row r="387" spans="1:8" x14ac:dyDescent="0.25">
      <c r="A387" t="s">
        <v>112</v>
      </c>
      <c r="B387">
        <v>80670</v>
      </c>
      <c r="C387" s="2">
        <v>3.47</v>
      </c>
      <c r="D387" s="1">
        <v>43493</v>
      </c>
      <c r="E387" t="str">
        <f>"201901226731"</f>
        <v>201901226731</v>
      </c>
      <c r="F387" t="str">
        <f>"INDIGENT HEALTH"</f>
        <v>INDIGENT HEALTH</v>
      </c>
      <c r="G387" s="2">
        <v>3.47</v>
      </c>
      <c r="H387" t="str">
        <f>"INDIGENT HEALTH"</f>
        <v>INDIGENT HEALTH</v>
      </c>
    </row>
    <row r="388" spans="1:8" x14ac:dyDescent="0.25">
      <c r="A388" t="s">
        <v>113</v>
      </c>
      <c r="B388">
        <v>80355</v>
      </c>
      <c r="C388" s="2">
        <v>150</v>
      </c>
      <c r="D388" s="1">
        <v>43479</v>
      </c>
      <c r="E388" t="str">
        <f>"01841496-TX"</f>
        <v>01841496-TX</v>
      </c>
      <c r="F388" t="str">
        <f>"BOND#01841496TX/TX OVER WT TOL"</f>
        <v>BOND#01841496TX/TX OVER WT TOL</v>
      </c>
      <c r="G388" s="2">
        <v>150</v>
      </c>
      <c r="H388" t="str">
        <f>"BOND#01841496TX/TX OVER WT TOL"</f>
        <v>BOND#01841496TX/TX OVER WT TOL</v>
      </c>
    </row>
    <row r="389" spans="1:8" x14ac:dyDescent="0.25">
      <c r="E389" t="str">
        <f>""</f>
        <v/>
      </c>
      <c r="F389" t="str">
        <f>""</f>
        <v/>
      </c>
      <c r="H389" t="str">
        <f>"BOND#01841496TX/TX OVER WT TOL"</f>
        <v>BOND#01841496TX/TX OVER WT TOL</v>
      </c>
    </row>
    <row r="390" spans="1:8" x14ac:dyDescent="0.25">
      <c r="E390" t="str">
        <f>""</f>
        <v/>
      </c>
      <c r="F390" t="str">
        <f>""</f>
        <v/>
      </c>
      <c r="H390" t="str">
        <f>"BOND#01841496TX/TX OVER WT TOL"</f>
        <v>BOND#01841496TX/TX OVER WT TOL</v>
      </c>
    </row>
    <row r="391" spans="1:8" x14ac:dyDescent="0.25">
      <c r="E391" t="str">
        <f>""</f>
        <v/>
      </c>
      <c r="F391" t="str">
        <f>""</f>
        <v/>
      </c>
      <c r="H391" t="str">
        <f>"BOND#01841496TX/TX OVER WT TOL"</f>
        <v>BOND#01841496TX/TX OVER WT TOL</v>
      </c>
    </row>
    <row r="392" spans="1:8" x14ac:dyDescent="0.25">
      <c r="A392" t="s">
        <v>113</v>
      </c>
      <c r="B392">
        <v>80671</v>
      </c>
      <c r="C392" s="2">
        <v>92.5</v>
      </c>
      <c r="D392" s="1">
        <v>43493</v>
      </c>
      <c r="E392" t="str">
        <f>"64481610"</f>
        <v>64481610</v>
      </c>
      <c r="F392" t="str">
        <f>"BOND#64481610/DONNA LUNDGREN"</f>
        <v>BOND#64481610/DONNA LUNDGREN</v>
      </c>
      <c r="G392" s="2">
        <v>92.5</v>
      </c>
      <c r="H392" t="str">
        <f>"BOND#64481610/DONNA LUNDGREN"</f>
        <v>BOND#64481610/DONNA LUNDGREN</v>
      </c>
    </row>
    <row r="393" spans="1:8" x14ac:dyDescent="0.25">
      <c r="A393" t="s">
        <v>114</v>
      </c>
      <c r="B393">
        <v>80672</v>
      </c>
      <c r="C393" s="2">
        <v>455</v>
      </c>
      <c r="D393" s="1">
        <v>43493</v>
      </c>
      <c r="E393" t="str">
        <f>"201901176670"</f>
        <v>201901176670</v>
      </c>
      <c r="F393" t="str">
        <f>"FERAL HOGS"</f>
        <v>FERAL HOGS</v>
      </c>
      <c r="G393" s="2">
        <v>455</v>
      </c>
      <c r="H393" t="str">
        <f>"FERAL HOGS"</f>
        <v>FERAL HOGS</v>
      </c>
    </row>
    <row r="394" spans="1:8" x14ac:dyDescent="0.25">
      <c r="A394" t="s">
        <v>115</v>
      </c>
      <c r="B394">
        <v>80673</v>
      </c>
      <c r="C394" s="2">
        <v>245</v>
      </c>
      <c r="D394" s="1">
        <v>43493</v>
      </c>
      <c r="E394" t="str">
        <f>"201901176672"</f>
        <v>201901176672</v>
      </c>
      <c r="F394" t="str">
        <f>"FERAL HOGS"</f>
        <v>FERAL HOGS</v>
      </c>
      <c r="G394" s="2">
        <v>245</v>
      </c>
      <c r="H394" t="str">
        <f>"FERAL HOGS"</f>
        <v>FERAL HOGS</v>
      </c>
    </row>
    <row r="395" spans="1:8" x14ac:dyDescent="0.25">
      <c r="A395" t="s">
        <v>116</v>
      </c>
      <c r="B395">
        <v>80674</v>
      </c>
      <c r="C395" s="2">
        <v>80</v>
      </c>
      <c r="D395" s="1">
        <v>43493</v>
      </c>
      <c r="E395" t="str">
        <f>"201901176673"</f>
        <v>201901176673</v>
      </c>
      <c r="F395" t="str">
        <f>"FERAL HOGS"</f>
        <v>FERAL HOGS</v>
      </c>
      <c r="G395" s="2">
        <v>80</v>
      </c>
      <c r="H395" t="str">
        <f>"FERAL HOGS"</f>
        <v>FERAL HOGS</v>
      </c>
    </row>
    <row r="396" spans="1:8" x14ac:dyDescent="0.25">
      <c r="A396" t="s">
        <v>117</v>
      </c>
      <c r="B396">
        <v>80675</v>
      </c>
      <c r="C396" s="2">
        <v>65.22</v>
      </c>
      <c r="D396" s="1">
        <v>43493</v>
      </c>
      <c r="E396" t="str">
        <f>"201901236757"</f>
        <v>201901236757</v>
      </c>
      <c r="F396" t="str">
        <f>"JAIL MEDICAL"</f>
        <v>JAIL MEDICAL</v>
      </c>
      <c r="G396" s="2">
        <v>65.22</v>
      </c>
      <c r="H396" t="str">
        <f>"JAIL MEDICAL"</f>
        <v>JAIL MEDICAL</v>
      </c>
    </row>
    <row r="397" spans="1:8" x14ac:dyDescent="0.25">
      <c r="A397" t="s">
        <v>118</v>
      </c>
      <c r="B397">
        <v>80356</v>
      </c>
      <c r="C397" s="2">
        <v>10000</v>
      </c>
      <c r="D397" s="1">
        <v>43479</v>
      </c>
      <c r="E397" t="str">
        <f>"201812286057"</f>
        <v>201812286057</v>
      </c>
      <c r="F397" t="str">
        <f>"FUNDS FOR 2019 BUDGET"</f>
        <v>FUNDS FOR 2019 BUDGET</v>
      </c>
      <c r="G397" s="2">
        <v>10000</v>
      </c>
      <c r="H397" t="str">
        <f>"FUNDS FOR 2019 BUDGET"</f>
        <v>FUNDS FOR 2019 BUDGET</v>
      </c>
    </row>
    <row r="398" spans="1:8" x14ac:dyDescent="0.25">
      <c r="A398" t="s">
        <v>119</v>
      </c>
      <c r="B398">
        <v>290</v>
      </c>
      <c r="C398" s="2">
        <v>126</v>
      </c>
      <c r="D398" s="1">
        <v>43480</v>
      </c>
      <c r="E398" t="str">
        <f>"12457835395"</f>
        <v>12457835395</v>
      </c>
      <c r="F398" t="str">
        <f>"INV 12457835395"</f>
        <v>INV 12457835395</v>
      </c>
      <c r="G398" s="2">
        <v>126</v>
      </c>
      <c r="H398" t="str">
        <f>"INV 12457835395"</f>
        <v>INV 12457835395</v>
      </c>
    </row>
    <row r="399" spans="1:8" x14ac:dyDescent="0.25">
      <c r="A399" t="s">
        <v>119</v>
      </c>
      <c r="B399">
        <v>355</v>
      </c>
      <c r="C399" s="2">
        <v>362</v>
      </c>
      <c r="D399" s="1">
        <v>43494</v>
      </c>
      <c r="E399" t="str">
        <f>"12457900947"</f>
        <v>12457900947</v>
      </c>
      <c r="F399" t="str">
        <f>"INV 12457900947"</f>
        <v>INV 12457900947</v>
      </c>
      <c r="G399" s="2">
        <v>362</v>
      </c>
      <c r="H399" t="str">
        <f>"INV 12457900947"</f>
        <v>INV 12457900947</v>
      </c>
    </row>
    <row r="400" spans="1:8" x14ac:dyDescent="0.25">
      <c r="A400" t="s">
        <v>120</v>
      </c>
      <c r="B400">
        <v>297</v>
      </c>
      <c r="C400" s="2">
        <v>299.10000000000002</v>
      </c>
      <c r="D400" s="1">
        <v>43480</v>
      </c>
      <c r="E400" t="str">
        <f>"201901096495"</f>
        <v>201901096495</v>
      </c>
      <c r="F400" t="str">
        <f>"INDIGENT HEALTH"</f>
        <v>INDIGENT HEALTH</v>
      </c>
      <c r="G400" s="2">
        <v>299.10000000000002</v>
      </c>
      <c r="H400" t="str">
        <f>"INDIGENT HEALTH"</f>
        <v>INDIGENT HEALTH</v>
      </c>
    </row>
    <row r="401" spans="1:9" x14ac:dyDescent="0.25">
      <c r="E401" t="str">
        <f>""</f>
        <v/>
      </c>
      <c r="F401" t="str">
        <f>""</f>
        <v/>
      </c>
      <c r="H401" t="str">
        <f>"INDIGENT HEALTH"</f>
        <v>INDIGENT HEALTH</v>
      </c>
    </row>
    <row r="402" spans="1:9" x14ac:dyDescent="0.25">
      <c r="A402" t="s">
        <v>121</v>
      </c>
      <c r="B402">
        <v>80676</v>
      </c>
      <c r="C402" s="2">
        <v>150</v>
      </c>
      <c r="D402" s="1">
        <v>43493</v>
      </c>
      <c r="E402" t="str">
        <f>"201901166595"</f>
        <v>201901166595</v>
      </c>
      <c r="F402" t="str">
        <f>"TRAVEL ADVANCE - PER DIEM"</f>
        <v>TRAVEL ADVANCE - PER DIEM</v>
      </c>
      <c r="G402" s="2">
        <v>150</v>
      </c>
      <c r="H402" t="str">
        <f>"TRAVEL ADVANCE - PER DIEM"</f>
        <v>TRAVEL ADVANCE - PER DIEM</v>
      </c>
    </row>
    <row r="403" spans="1:9" x14ac:dyDescent="0.25">
      <c r="A403" t="s">
        <v>122</v>
      </c>
      <c r="B403">
        <v>80357</v>
      </c>
      <c r="C403" s="2">
        <v>12.5</v>
      </c>
      <c r="D403" s="1">
        <v>43479</v>
      </c>
      <c r="E403" t="s">
        <v>123</v>
      </c>
      <c r="F403" t="s">
        <v>124</v>
      </c>
      <c r="G403" s="2" t="str">
        <f>"RESTITUTION-KATHY PURCELL"</f>
        <v>RESTITUTION-KATHY PURCELL</v>
      </c>
      <c r="H403" t="str">
        <f>"210-0000"</f>
        <v>210-0000</v>
      </c>
      <c r="I403" t="str">
        <f>""</f>
        <v/>
      </c>
    </row>
    <row r="404" spans="1:9" x14ac:dyDescent="0.25">
      <c r="A404" t="s">
        <v>125</v>
      </c>
      <c r="B404">
        <v>80358</v>
      </c>
      <c r="C404" s="2">
        <v>13607</v>
      </c>
      <c r="D404" s="1">
        <v>43479</v>
      </c>
      <c r="E404" t="str">
        <f>"17739718"</f>
        <v>17739718</v>
      </c>
      <c r="F404" t="str">
        <f>"ACCT#434304/PCT#3"</f>
        <v>ACCT#434304/PCT#3</v>
      </c>
      <c r="G404" s="2">
        <v>13607</v>
      </c>
      <c r="H404" t="str">
        <f>"ACCT#434304/PCT#3"</f>
        <v>ACCT#434304/PCT#3</v>
      </c>
    </row>
    <row r="405" spans="1:9" x14ac:dyDescent="0.25">
      <c r="A405" t="s">
        <v>126</v>
      </c>
      <c r="B405">
        <v>80359</v>
      </c>
      <c r="C405" s="2">
        <v>968</v>
      </c>
      <c r="D405" s="1">
        <v>43479</v>
      </c>
      <c r="E405" t="str">
        <f>"19638"</f>
        <v>19638</v>
      </c>
      <c r="F405" t="str">
        <f>"MATERIAL/LABOR"</f>
        <v>MATERIAL/LABOR</v>
      </c>
      <c r="G405" s="2">
        <v>968</v>
      </c>
      <c r="H405" t="str">
        <f>"MATERIAL/LABOR"</f>
        <v>MATERIAL/LABOR</v>
      </c>
    </row>
    <row r="406" spans="1:9" x14ac:dyDescent="0.25">
      <c r="A406" t="s">
        <v>127</v>
      </c>
      <c r="B406">
        <v>80677</v>
      </c>
      <c r="C406" s="2">
        <v>38.92</v>
      </c>
      <c r="D406" s="1">
        <v>43493</v>
      </c>
      <c r="E406" t="str">
        <f>"N581906"</f>
        <v>N581906</v>
      </c>
      <c r="F406" t="str">
        <f>"INV N581906"</f>
        <v>INV N581906</v>
      </c>
      <c r="G406" s="2">
        <v>38.92</v>
      </c>
      <c r="H406" t="str">
        <f>"INV N581906"</f>
        <v>INV N581906</v>
      </c>
    </row>
    <row r="407" spans="1:9" x14ac:dyDescent="0.25">
      <c r="A407" t="s">
        <v>128</v>
      </c>
      <c r="B407">
        <v>80340</v>
      </c>
      <c r="C407" s="2">
        <v>75</v>
      </c>
      <c r="D407" s="1">
        <v>43479</v>
      </c>
      <c r="E407" t="str">
        <f>"13078"</f>
        <v>13078</v>
      </c>
      <c r="F407" t="str">
        <f>"SERVICE"</f>
        <v>SERVICE</v>
      </c>
      <c r="G407" s="2">
        <v>75</v>
      </c>
      <c r="H407" t="str">
        <f>"SERVICE"</f>
        <v>SERVICE</v>
      </c>
    </row>
    <row r="408" spans="1:9" x14ac:dyDescent="0.25">
      <c r="A408" t="s">
        <v>128</v>
      </c>
      <c r="B408">
        <v>80656</v>
      </c>
      <c r="C408" s="2">
        <v>225</v>
      </c>
      <c r="D408" s="1">
        <v>43493</v>
      </c>
      <c r="E408" t="str">
        <f>"12515"</f>
        <v>12515</v>
      </c>
      <c r="F408" t="str">
        <f>"SERVICE"</f>
        <v>SERVICE</v>
      </c>
      <c r="G408" s="2">
        <v>225</v>
      </c>
      <c r="H408" t="str">
        <f>"SERVICE"</f>
        <v>SERVICE</v>
      </c>
    </row>
    <row r="409" spans="1:9" x14ac:dyDescent="0.25">
      <c r="A409" t="s">
        <v>129</v>
      </c>
      <c r="B409">
        <v>371</v>
      </c>
      <c r="C409" s="2">
        <v>1653</v>
      </c>
      <c r="D409" s="1">
        <v>43494</v>
      </c>
      <c r="E409" t="str">
        <f>"1301"</f>
        <v>1301</v>
      </c>
      <c r="F409" t="str">
        <f>"Final Pmt for Furniture"</f>
        <v>Final Pmt for Furniture</v>
      </c>
      <c r="G409" s="2">
        <v>1653</v>
      </c>
      <c r="H409" t="str">
        <f>"Final Pymt for Furniture"</f>
        <v>Final Pymt for Furniture</v>
      </c>
    </row>
    <row r="410" spans="1:9" x14ac:dyDescent="0.25">
      <c r="A410" t="s">
        <v>130</v>
      </c>
      <c r="B410">
        <v>80678</v>
      </c>
      <c r="C410" s="2">
        <v>700.5</v>
      </c>
      <c r="D410" s="1">
        <v>43493</v>
      </c>
      <c r="E410" t="str">
        <f>"312836"</f>
        <v>312836</v>
      </c>
      <c r="F410" t="str">
        <f>"inv# 312836"</f>
        <v>inv# 312836</v>
      </c>
      <c r="G410" s="2">
        <v>700.5</v>
      </c>
      <c r="H410" t="str">
        <f>"RDGRD5672WH"</f>
        <v>RDGRD5672WH</v>
      </c>
    </row>
    <row r="411" spans="1:9" x14ac:dyDescent="0.25">
      <c r="E411" t="str">
        <f>""</f>
        <v/>
      </c>
      <c r="F411" t="str">
        <f>""</f>
        <v/>
      </c>
      <c r="H411" t="str">
        <f>"RDGRD7172WH"</f>
        <v>RDGRD7172WH</v>
      </c>
    </row>
    <row r="412" spans="1:9" x14ac:dyDescent="0.25">
      <c r="E412" t="str">
        <f>""</f>
        <v/>
      </c>
      <c r="F412" t="str">
        <f>""</f>
        <v/>
      </c>
      <c r="H412" t="str">
        <f>"Freight"</f>
        <v>Freight</v>
      </c>
    </row>
    <row r="413" spans="1:9" x14ac:dyDescent="0.25">
      <c r="E413" t="str">
        <f>""</f>
        <v/>
      </c>
      <c r="F413" t="str">
        <f>""</f>
        <v/>
      </c>
      <c r="H413" t="str">
        <f>"return of item 7172"</f>
        <v>return of item 7172</v>
      </c>
    </row>
    <row r="414" spans="1:9" x14ac:dyDescent="0.25">
      <c r="E414" t="str">
        <f>""</f>
        <v/>
      </c>
      <c r="F414" t="str">
        <f>""</f>
        <v/>
      </c>
      <c r="H414" t="str">
        <f>"restocking fee"</f>
        <v>restocking fee</v>
      </c>
    </row>
    <row r="415" spans="1:9" x14ac:dyDescent="0.25">
      <c r="A415" t="s">
        <v>131</v>
      </c>
      <c r="B415">
        <v>80679</v>
      </c>
      <c r="C415" s="2">
        <v>90</v>
      </c>
      <c r="D415" s="1">
        <v>43493</v>
      </c>
      <c r="E415" t="str">
        <f>"201901176674"</f>
        <v>201901176674</v>
      </c>
      <c r="F415" t="str">
        <f>"FERAL HOGS"</f>
        <v>FERAL HOGS</v>
      </c>
      <c r="G415" s="2">
        <v>45</v>
      </c>
      <c r="H415" t="str">
        <f>"FERAL HOGS"</f>
        <v>FERAL HOGS</v>
      </c>
    </row>
    <row r="416" spans="1:9" x14ac:dyDescent="0.25">
      <c r="E416" t="str">
        <f>"201901176675"</f>
        <v>201901176675</v>
      </c>
      <c r="F416" t="str">
        <f>"FERAL HOGS"</f>
        <v>FERAL HOGS</v>
      </c>
      <c r="G416" s="2">
        <v>5</v>
      </c>
      <c r="H416" t="str">
        <f>"FERAL HOGS"</f>
        <v>FERAL HOGS</v>
      </c>
    </row>
    <row r="417" spans="1:8" x14ac:dyDescent="0.25">
      <c r="E417" t="str">
        <f>"201901176676"</f>
        <v>201901176676</v>
      </c>
      <c r="F417" t="str">
        <f>"FERAL HOGS"</f>
        <v>FERAL HOGS</v>
      </c>
      <c r="G417" s="2">
        <v>40</v>
      </c>
      <c r="H417" t="str">
        <f>"FERAL HOGS"</f>
        <v>FERAL HOGS</v>
      </c>
    </row>
    <row r="418" spans="1:8" x14ac:dyDescent="0.25">
      <c r="A418" t="s">
        <v>132</v>
      </c>
      <c r="B418">
        <v>80680</v>
      </c>
      <c r="C418" s="2">
        <v>431.75</v>
      </c>
      <c r="D418" s="1">
        <v>43493</v>
      </c>
      <c r="E418" t="str">
        <f>"076005"</f>
        <v>076005</v>
      </c>
      <c r="F418" t="str">
        <f>"CUST#BCO001/PCT#2"</f>
        <v>CUST#BCO001/PCT#2</v>
      </c>
      <c r="G418" s="2">
        <v>431.75</v>
      </c>
      <c r="H418" t="str">
        <f>"CUST#BCO001/PCT#2"</f>
        <v>CUST#BCO001/PCT#2</v>
      </c>
    </row>
    <row r="419" spans="1:8" x14ac:dyDescent="0.25">
      <c r="A419" t="s">
        <v>133</v>
      </c>
      <c r="B419">
        <v>80681</v>
      </c>
      <c r="C419" s="2">
        <v>80</v>
      </c>
      <c r="D419" s="1">
        <v>43493</v>
      </c>
      <c r="E419" t="str">
        <f>"13074"</f>
        <v>13074</v>
      </c>
      <c r="F419" t="str">
        <f>"SERVICE"</f>
        <v>SERVICE</v>
      </c>
      <c r="G419" s="2">
        <v>80</v>
      </c>
      <c r="H419" t="str">
        <f>"SERVICE"</f>
        <v>SERVICE</v>
      </c>
    </row>
    <row r="420" spans="1:8" x14ac:dyDescent="0.25">
      <c r="A420" t="s">
        <v>134</v>
      </c>
      <c r="B420">
        <v>80682</v>
      </c>
      <c r="C420" s="2">
        <v>141.69999999999999</v>
      </c>
      <c r="D420" s="1">
        <v>43493</v>
      </c>
      <c r="E420" t="str">
        <f>"201901166602"</f>
        <v>201901166602</v>
      </c>
      <c r="F420" t="str">
        <f>"MILEAGE REIMBURSEMENT"</f>
        <v>MILEAGE REIMBURSEMENT</v>
      </c>
      <c r="G420" s="2">
        <v>141.69999999999999</v>
      </c>
      <c r="H420" t="str">
        <f>"MILEAGE REIMBURSEMENT"</f>
        <v>MILEAGE REIMBURSEMENT</v>
      </c>
    </row>
    <row r="421" spans="1:8" x14ac:dyDescent="0.25">
      <c r="A421" t="s">
        <v>135</v>
      </c>
      <c r="B421">
        <v>80360</v>
      </c>
      <c r="C421" s="2">
        <v>132.29</v>
      </c>
      <c r="D421" s="1">
        <v>43479</v>
      </c>
      <c r="E421" t="str">
        <f>"547901"</f>
        <v>547901</v>
      </c>
      <c r="F421" t="str">
        <f>"INV 547901"</f>
        <v>INV 547901</v>
      </c>
      <c r="G421" s="2">
        <v>132.29</v>
      </c>
      <c r="H421" t="str">
        <f>"INV 547901"</f>
        <v>INV 547901</v>
      </c>
    </row>
    <row r="422" spans="1:8" x14ac:dyDescent="0.25">
      <c r="A422" t="s">
        <v>136</v>
      </c>
      <c r="B422">
        <v>80683</v>
      </c>
      <c r="C422" s="2">
        <v>10</v>
      </c>
      <c r="D422" s="1">
        <v>43493</v>
      </c>
      <c r="E422" t="str">
        <f>"201901176677"</f>
        <v>201901176677</v>
      </c>
      <c r="F422" t="str">
        <f>"FERAL HOGS"</f>
        <v>FERAL HOGS</v>
      </c>
      <c r="G422" s="2">
        <v>10</v>
      </c>
      <c r="H422" t="str">
        <f>"FERAL HOGS"</f>
        <v>FERAL HOGS</v>
      </c>
    </row>
    <row r="423" spans="1:8" x14ac:dyDescent="0.25">
      <c r="A423" t="s">
        <v>137</v>
      </c>
      <c r="B423">
        <v>80684</v>
      </c>
      <c r="C423" s="2">
        <v>180</v>
      </c>
      <c r="D423" s="1">
        <v>43493</v>
      </c>
      <c r="E423" t="str">
        <f>"201901176678"</f>
        <v>201901176678</v>
      </c>
      <c r="F423" t="str">
        <f>"FERAL HOGS"</f>
        <v>FERAL HOGS</v>
      </c>
      <c r="G423" s="2">
        <v>180</v>
      </c>
      <c r="H423" t="str">
        <f>"FERAL HOGS"</f>
        <v>FERAL HOGS</v>
      </c>
    </row>
    <row r="424" spans="1:8" x14ac:dyDescent="0.25">
      <c r="A424" t="s">
        <v>138</v>
      </c>
      <c r="B424">
        <v>80361</v>
      </c>
      <c r="C424" s="2">
        <v>100</v>
      </c>
      <c r="D424" s="1">
        <v>43479</v>
      </c>
      <c r="E424" t="str">
        <f>"201901046367"</f>
        <v>201901046367</v>
      </c>
      <c r="F424" t="str">
        <f>"LEGAL CONSULTATION SVCS-DEC"</f>
        <v>LEGAL CONSULTATION SVCS-DEC</v>
      </c>
      <c r="G424" s="2">
        <v>100</v>
      </c>
      <c r="H424" t="str">
        <f>"LEGAL CONSULTATION SVCS-DEC"</f>
        <v>LEGAL CONSULTATION SVCS-DEC</v>
      </c>
    </row>
    <row r="425" spans="1:8" x14ac:dyDescent="0.25">
      <c r="A425" t="s">
        <v>139</v>
      </c>
      <c r="B425">
        <v>80685</v>
      </c>
      <c r="C425" s="2">
        <v>210</v>
      </c>
      <c r="D425" s="1">
        <v>43493</v>
      </c>
      <c r="E425" t="str">
        <f>"201901176679"</f>
        <v>201901176679</v>
      </c>
      <c r="F425" t="str">
        <f>"FERAL HOGS"</f>
        <v>FERAL HOGS</v>
      </c>
      <c r="G425" s="2">
        <v>10</v>
      </c>
      <c r="H425" t="str">
        <f>"FERAL HOGS"</f>
        <v>FERAL HOGS</v>
      </c>
    </row>
    <row r="426" spans="1:8" x14ac:dyDescent="0.25">
      <c r="E426" t="str">
        <f>"201901176680"</f>
        <v>201901176680</v>
      </c>
      <c r="F426" t="str">
        <f>"FERAL HOGS"</f>
        <v>FERAL HOGS</v>
      </c>
      <c r="G426" s="2">
        <v>10</v>
      </c>
      <c r="H426" t="str">
        <f>"FERAL HOGS"</f>
        <v>FERAL HOGS</v>
      </c>
    </row>
    <row r="427" spans="1:8" x14ac:dyDescent="0.25">
      <c r="E427" t="str">
        <f>"201901176681"</f>
        <v>201901176681</v>
      </c>
      <c r="F427" t="str">
        <f>"FERAL HOGS"</f>
        <v>FERAL HOGS</v>
      </c>
      <c r="G427" s="2">
        <v>190</v>
      </c>
      <c r="H427" t="str">
        <f>"FERAL HOGS"</f>
        <v>FERAL HOGS</v>
      </c>
    </row>
    <row r="428" spans="1:8" x14ac:dyDescent="0.25">
      <c r="A428" t="s">
        <v>140</v>
      </c>
      <c r="B428">
        <v>80686</v>
      </c>
      <c r="C428" s="2">
        <v>120</v>
      </c>
      <c r="D428" s="1">
        <v>43493</v>
      </c>
      <c r="E428" t="str">
        <f>"201901166594"</f>
        <v>201901166594</v>
      </c>
      <c r="F428" t="str">
        <f>"TRAVEL ADVANCE - PER DIEM"</f>
        <v>TRAVEL ADVANCE - PER DIEM</v>
      </c>
      <c r="G428" s="2">
        <v>120</v>
      </c>
      <c r="H428" t="str">
        <f>"TRAVEL ADVANCE - PER DIEM"</f>
        <v>TRAVEL ADVANCE - PER DIEM</v>
      </c>
    </row>
    <row r="429" spans="1:8" x14ac:dyDescent="0.25">
      <c r="A429" t="s">
        <v>141</v>
      </c>
      <c r="B429">
        <v>80362</v>
      </c>
      <c r="C429" s="2">
        <v>848.45</v>
      </c>
      <c r="D429" s="1">
        <v>43479</v>
      </c>
      <c r="E429" t="str">
        <f>"10288966350"</f>
        <v>10288966350</v>
      </c>
      <c r="F429" t="str">
        <f>"Dell Latitude 5590 Laptop"</f>
        <v>Dell Latitude 5590 Laptop</v>
      </c>
      <c r="G429" s="2">
        <v>848.45</v>
      </c>
      <c r="H429" t="str">
        <f>"Dell Latitude 5590 Laptop"</f>
        <v>Dell Latitude 5590 Laptop</v>
      </c>
    </row>
    <row r="430" spans="1:8" x14ac:dyDescent="0.25">
      <c r="E430" t="str">
        <f>""</f>
        <v/>
      </c>
      <c r="F430" t="str">
        <f>""</f>
        <v/>
      </c>
      <c r="H430" t="str">
        <f>"Discount"</f>
        <v>Discount</v>
      </c>
    </row>
    <row r="431" spans="1:8" x14ac:dyDescent="0.25">
      <c r="A431" t="s">
        <v>142</v>
      </c>
      <c r="B431">
        <v>376</v>
      </c>
      <c r="C431" s="2">
        <v>2470</v>
      </c>
      <c r="D431" s="1">
        <v>43494</v>
      </c>
      <c r="E431" t="str">
        <f>"BATX015843"</f>
        <v>BATX015843</v>
      </c>
      <c r="F431" t="str">
        <f>"INV BATX015843"</f>
        <v>INV BATX015843</v>
      </c>
      <c r="G431" s="2">
        <v>2470</v>
      </c>
      <c r="H431" t="str">
        <f>"INV BATX015843"</f>
        <v>INV BATX015843</v>
      </c>
    </row>
    <row r="432" spans="1:8" x14ac:dyDescent="0.25">
      <c r="A432" t="s">
        <v>143</v>
      </c>
      <c r="B432">
        <v>80363</v>
      </c>
      <c r="C432" s="2">
        <v>856.06</v>
      </c>
      <c r="D432" s="1">
        <v>43479</v>
      </c>
      <c r="E432" t="str">
        <f>"25069"</f>
        <v>25069</v>
      </c>
      <c r="F432" t="str">
        <f>"KEY RINGS/GEN SVCS"</f>
        <v>KEY RINGS/GEN SVCS</v>
      </c>
      <c r="G432" s="2">
        <v>5.05</v>
      </c>
    </row>
    <row r="433" spans="1:8" x14ac:dyDescent="0.25">
      <c r="E433" t="str">
        <f>"25095"</f>
        <v>25095</v>
      </c>
      <c r="F433" t="str">
        <f>"DUPLICATE KEYS/ANIMAL SVCS"</f>
        <v>DUPLICATE KEYS/ANIMAL SVCS</v>
      </c>
      <c r="G433" s="2">
        <v>75</v>
      </c>
    </row>
    <row r="434" spans="1:8" x14ac:dyDescent="0.25">
      <c r="E434" t="str">
        <f>"25106"</f>
        <v>25106</v>
      </c>
      <c r="F434" t="str">
        <f>"KEY RINGS/TAGS/GEN SVCS"</f>
        <v>KEY RINGS/TAGS/GEN SVCS</v>
      </c>
      <c r="G434" s="2">
        <v>26.03</v>
      </c>
    </row>
    <row r="435" spans="1:8" x14ac:dyDescent="0.25">
      <c r="E435" t="str">
        <f>"25119"</f>
        <v>25119</v>
      </c>
      <c r="F435" t="str">
        <f>"SERVICE CALL/REKEY LOCK/DUPES"</f>
        <v>SERVICE CALL/REKEY LOCK/DUPES</v>
      </c>
      <c r="G435" s="2">
        <v>749.98</v>
      </c>
    </row>
    <row r="436" spans="1:8" x14ac:dyDescent="0.25">
      <c r="A436" t="s">
        <v>143</v>
      </c>
      <c r="B436">
        <v>80363</v>
      </c>
      <c r="C436" s="2">
        <v>856.06</v>
      </c>
      <c r="D436" s="1">
        <v>43479</v>
      </c>
      <c r="E436" t="str">
        <f>"CHECK"</f>
        <v>CHECK</v>
      </c>
      <c r="F436" t="str">
        <f>""</f>
        <v/>
      </c>
      <c r="G436" s="2">
        <v>856.06</v>
      </c>
    </row>
    <row r="437" spans="1:8" x14ac:dyDescent="0.25">
      <c r="A437" t="s">
        <v>143</v>
      </c>
      <c r="B437">
        <v>80578</v>
      </c>
      <c r="C437" s="2">
        <v>356.06</v>
      </c>
      <c r="D437" s="1">
        <v>43483</v>
      </c>
      <c r="E437" t="str">
        <f>"25069 Reissue"</f>
        <v>25069 Reissue</v>
      </c>
      <c r="F437" t="str">
        <f>"KEY RIGNS/GENERAL SERVICES"</f>
        <v>KEY RIGNS/GENERAL SERVICES</v>
      </c>
      <c r="G437" s="2">
        <v>5.05</v>
      </c>
      <c r="H437" t="str">
        <f>"KEY RIGNS/GENERAL SERVICES"</f>
        <v>KEY RIGNS/GENERAL SERVICES</v>
      </c>
    </row>
    <row r="438" spans="1:8" x14ac:dyDescent="0.25">
      <c r="E438" t="str">
        <f>"25095 Reissue"</f>
        <v>25095 Reissue</v>
      </c>
      <c r="F438" t="str">
        <f>"DUPLICATE KEYS/ANIMAL SERVICES"</f>
        <v>DUPLICATE KEYS/ANIMAL SERVICES</v>
      </c>
      <c r="G438" s="2">
        <v>75</v>
      </c>
      <c r="H438" t="str">
        <f>"DUPLICATE KEYS/ANIMAL SERVICES"</f>
        <v>DUPLICATE KEYS/ANIMAL SERVICES</v>
      </c>
    </row>
    <row r="439" spans="1:8" x14ac:dyDescent="0.25">
      <c r="E439" t="str">
        <f>"25106 Reissue"</f>
        <v>25106 Reissue</v>
      </c>
      <c r="F439" t="str">
        <f>"KEY RINGS/TAGS/GENERAL SVCS"</f>
        <v>KEY RINGS/TAGS/GENERAL SVCS</v>
      </c>
      <c r="G439" s="2">
        <v>26.03</v>
      </c>
      <c r="H439" t="str">
        <f>"KEY RINGS/TAGS/GENERAL SVCS"</f>
        <v>KEY RINGS/TAGS/GENERAL SVCS</v>
      </c>
    </row>
    <row r="440" spans="1:8" x14ac:dyDescent="0.25">
      <c r="E440" t="str">
        <f>"25119 Reissue"</f>
        <v>25119 Reissue</v>
      </c>
      <c r="F440" t="str">
        <f>"SERVICE CALL/REKEY LOCK/DUP"</f>
        <v>SERVICE CALL/REKEY LOCK/DUP</v>
      </c>
      <c r="G440" s="2">
        <v>249.98</v>
      </c>
      <c r="H440" t="str">
        <f>"SERVICE CALL/REKEY LOCK/DUP"</f>
        <v>SERVICE CALL/REKEY LOCK/DUP</v>
      </c>
    </row>
    <row r="441" spans="1:8" x14ac:dyDescent="0.25">
      <c r="A441" t="s">
        <v>144</v>
      </c>
      <c r="B441">
        <v>80364</v>
      </c>
      <c r="C441" s="2">
        <v>2134.75</v>
      </c>
      <c r="D441" s="1">
        <v>43479</v>
      </c>
      <c r="E441" t="str">
        <f>"19111120N"</f>
        <v>19111120N</v>
      </c>
      <c r="F441" t="str">
        <f>"CUST#PKE5000/11/01-11/30"</f>
        <v>CUST#PKE5000/11/01-11/30</v>
      </c>
      <c r="G441" s="2">
        <v>2134.75</v>
      </c>
      <c r="H441" t="str">
        <f>"CUST#PKE5000/11/01-11/30"</f>
        <v>CUST#PKE5000/11/01-11/30</v>
      </c>
    </row>
    <row r="442" spans="1:8" x14ac:dyDescent="0.25">
      <c r="E442" t="str">
        <f>""</f>
        <v/>
      </c>
      <c r="F442" t="str">
        <f>""</f>
        <v/>
      </c>
      <c r="H442" t="str">
        <f>"CUST#PKE5000/11/01-11/30"</f>
        <v>CUST#PKE5000/11/01-11/30</v>
      </c>
    </row>
    <row r="443" spans="1:8" x14ac:dyDescent="0.25">
      <c r="A443" t="s">
        <v>144</v>
      </c>
      <c r="B443">
        <v>80687</v>
      </c>
      <c r="C443" s="2">
        <v>2275.2600000000002</v>
      </c>
      <c r="D443" s="1">
        <v>43493</v>
      </c>
      <c r="E443" t="str">
        <f>"19121121N"</f>
        <v>19121121N</v>
      </c>
      <c r="F443" t="str">
        <f>"CUST#PKE5000/12/01-12/31"</f>
        <v>CUST#PKE5000/12/01-12/31</v>
      </c>
      <c r="G443" s="2">
        <v>2275.2600000000002</v>
      </c>
      <c r="H443" t="str">
        <f>"CUST#PKE5000/12/01-12/31"</f>
        <v>CUST#PKE5000/12/01-12/31</v>
      </c>
    </row>
    <row r="444" spans="1:8" x14ac:dyDescent="0.25">
      <c r="E444" t="str">
        <f>""</f>
        <v/>
      </c>
      <c r="F444" t="str">
        <f>""</f>
        <v/>
      </c>
      <c r="H444" t="str">
        <f>"CUST#PKE5000/12/01-12/31"</f>
        <v>CUST#PKE5000/12/01-12/31</v>
      </c>
    </row>
    <row r="445" spans="1:8" x14ac:dyDescent="0.25">
      <c r="A445" t="s">
        <v>145</v>
      </c>
      <c r="B445">
        <v>80365</v>
      </c>
      <c r="C445" s="2">
        <v>21.23</v>
      </c>
      <c r="D445" s="1">
        <v>43479</v>
      </c>
      <c r="E445" t="str">
        <f>"105363"</f>
        <v>105363</v>
      </c>
      <c r="F445" t="str">
        <f>"SOLID ROD/SQUARE CAP CAST IRON"</f>
        <v>SOLID ROD/SQUARE CAP CAST IRON</v>
      </c>
      <c r="G445" s="2">
        <v>21.23</v>
      </c>
      <c r="H445" t="str">
        <f>"SOLID ROD/SQUARE CAP CAST IRON"</f>
        <v>SOLID ROD/SQUARE CAP CAST IRON</v>
      </c>
    </row>
    <row r="446" spans="1:8" x14ac:dyDescent="0.25">
      <c r="A446" t="s">
        <v>145</v>
      </c>
      <c r="B446">
        <v>80688</v>
      </c>
      <c r="C446" s="2">
        <v>503.38</v>
      </c>
      <c r="D446" s="1">
        <v>43493</v>
      </c>
      <c r="E446" t="str">
        <f>"98238"</f>
        <v>98238</v>
      </c>
      <c r="F446" t="str">
        <f>"SUPPLIES/GENERAL SVCS"</f>
        <v>SUPPLIES/GENERAL SVCS</v>
      </c>
      <c r="G446" s="2">
        <v>503.38</v>
      </c>
      <c r="H446" t="str">
        <f>"SUPPLIES/GENERAL SVCS"</f>
        <v>SUPPLIES/GENERAL SVCS</v>
      </c>
    </row>
    <row r="447" spans="1:8" x14ac:dyDescent="0.25">
      <c r="A447" t="s">
        <v>146</v>
      </c>
      <c r="B447">
        <v>80366</v>
      </c>
      <c r="C447" s="2">
        <v>247.25</v>
      </c>
      <c r="D447" s="1">
        <v>43479</v>
      </c>
      <c r="E447" t="str">
        <f>"1594"</f>
        <v>1594</v>
      </c>
      <c r="F447" t="str">
        <f>"INV 1594"</f>
        <v>INV 1594</v>
      </c>
      <c r="G447" s="2">
        <v>247.25</v>
      </c>
      <c r="H447" t="str">
        <f>"INV 1594"</f>
        <v>INV 1594</v>
      </c>
    </row>
    <row r="448" spans="1:8" x14ac:dyDescent="0.25">
      <c r="A448" t="s">
        <v>147</v>
      </c>
      <c r="B448">
        <v>80689</v>
      </c>
      <c r="C448" s="2">
        <v>160</v>
      </c>
      <c r="D448" s="1">
        <v>43493</v>
      </c>
      <c r="E448" t="str">
        <f>"20768"</f>
        <v>20768</v>
      </c>
      <c r="F448" t="str">
        <f>"PURPLE HEART SIGNS"</f>
        <v>PURPLE HEART SIGNS</v>
      </c>
      <c r="G448" s="2">
        <v>160</v>
      </c>
      <c r="H448" t="str">
        <f>"PURPLE HEART SIGNS"</f>
        <v>PURPLE HEART SIGNS</v>
      </c>
    </row>
    <row r="449" spans="1:8" x14ac:dyDescent="0.25">
      <c r="A449" t="s">
        <v>148</v>
      </c>
      <c r="B449">
        <v>80580</v>
      </c>
      <c r="C449" s="2">
        <v>749.4</v>
      </c>
      <c r="D449" s="1">
        <v>43489</v>
      </c>
      <c r="E449" t="str">
        <f>"201901246764"</f>
        <v>201901246764</v>
      </c>
      <c r="F449" t="str">
        <f>"ACCT#405900029213/02012019"</f>
        <v>ACCT#405900029213/02012019</v>
      </c>
      <c r="G449" s="2">
        <v>374.7</v>
      </c>
      <c r="H449" t="str">
        <f>"ACCT#405900029213/02012019"</f>
        <v>ACCT#405900029213/02012019</v>
      </c>
    </row>
    <row r="450" spans="1:8" x14ac:dyDescent="0.25">
      <c r="E450" t="str">
        <f>"201901246765"</f>
        <v>201901246765</v>
      </c>
      <c r="F450" t="str">
        <f>"ACCT#405900029225/02012019"</f>
        <v>ACCT#405900029225/02012019</v>
      </c>
      <c r="G450" s="2">
        <v>187.35</v>
      </c>
      <c r="H450" t="str">
        <f>"ACCT#405900029225/02012019"</f>
        <v>ACCT#405900029225/02012019</v>
      </c>
    </row>
    <row r="451" spans="1:8" x14ac:dyDescent="0.25">
      <c r="E451" t="str">
        <f>"201901246766"</f>
        <v>201901246766</v>
      </c>
      <c r="F451" t="str">
        <f>"ACCT#405900028789/02012019"</f>
        <v>ACCT#405900028789/02012019</v>
      </c>
      <c r="G451" s="2">
        <v>187.35</v>
      </c>
      <c r="H451" t="str">
        <f>"ACCT#405900028789/02012019"</f>
        <v>ACCT#405900028789/02012019</v>
      </c>
    </row>
    <row r="452" spans="1:8" x14ac:dyDescent="0.25">
      <c r="A452" t="s">
        <v>149</v>
      </c>
      <c r="B452">
        <v>80367</v>
      </c>
      <c r="C452" s="2">
        <v>1207.45</v>
      </c>
      <c r="D452" s="1">
        <v>43479</v>
      </c>
      <c r="E452" t="str">
        <f>"28727A"</f>
        <v>28727A</v>
      </c>
      <c r="F452" t="str">
        <f>"INV 28727A"</f>
        <v>INV 28727A</v>
      </c>
      <c r="G452" s="2">
        <v>1207.45</v>
      </c>
      <c r="H452" t="str">
        <f>"INV 28727A"</f>
        <v>INV 28727A</v>
      </c>
    </row>
    <row r="453" spans="1:8" x14ac:dyDescent="0.25">
      <c r="A453" t="s">
        <v>150</v>
      </c>
      <c r="B453">
        <v>80690</v>
      </c>
      <c r="C453" s="2">
        <v>1693</v>
      </c>
      <c r="D453" s="1">
        <v>43493</v>
      </c>
      <c r="E453" t="str">
        <f>"33806"</f>
        <v>33806</v>
      </c>
      <c r="F453" t="str">
        <f>"MANUAL CRANK ARM SYST/P4"</f>
        <v>MANUAL CRANK ARM SYST/P4</v>
      </c>
      <c r="G453" s="2">
        <v>1693</v>
      </c>
      <c r="H453" t="str">
        <f>"MANUAL CRANK ARM SYST/P4"</f>
        <v>MANUAL CRANK ARM SYST/P4</v>
      </c>
    </row>
    <row r="454" spans="1:8" x14ac:dyDescent="0.25">
      <c r="A454" t="s">
        <v>151</v>
      </c>
      <c r="B454">
        <v>342</v>
      </c>
      <c r="C454" s="2">
        <v>2269.25</v>
      </c>
      <c r="D454" s="1">
        <v>43480</v>
      </c>
      <c r="E454" t="str">
        <f>"201812286011"</f>
        <v>201812286011</v>
      </c>
      <c r="F454" t="str">
        <f>"AC-2018-1008C"</f>
        <v>AC-2018-1008C</v>
      </c>
      <c r="G454" s="2">
        <v>400</v>
      </c>
      <c r="H454" t="str">
        <f>"AC-2018-1008C"</f>
        <v>AC-2018-1008C</v>
      </c>
    </row>
    <row r="455" spans="1:8" x14ac:dyDescent="0.25">
      <c r="E455" t="str">
        <f>"201812286012"</f>
        <v>201812286012</v>
      </c>
      <c r="F455" t="str">
        <f>"1016-335"</f>
        <v>1016-335</v>
      </c>
      <c r="G455" s="2">
        <v>100</v>
      </c>
      <c r="H455" t="str">
        <f>"1016-335"</f>
        <v>1016-335</v>
      </c>
    </row>
    <row r="456" spans="1:8" x14ac:dyDescent="0.25">
      <c r="E456" t="str">
        <f>"201812286013"</f>
        <v>201812286013</v>
      </c>
      <c r="F456" t="str">
        <f>"423-6224"</f>
        <v>423-6224</v>
      </c>
      <c r="G456" s="2">
        <v>100</v>
      </c>
      <c r="H456" t="str">
        <f>"423-6224"</f>
        <v>423-6224</v>
      </c>
    </row>
    <row r="457" spans="1:8" x14ac:dyDescent="0.25">
      <c r="E457" t="str">
        <f>"201901036093"</f>
        <v>201901036093</v>
      </c>
      <c r="F457" t="str">
        <f>"12-15104"</f>
        <v>12-15104</v>
      </c>
      <c r="G457" s="2">
        <v>100</v>
      </c>
      <c r="H457" t="str">
        <f>"12-15104"</f>
        <v>12-15104</v>
      </c>
    </row>
    <row r="458" spans="1:8" x14ac:dyDescent="0.25">
      <c r="E458" t="str">
        <f>"201901036094"</f>
        <v>201901036094</v>
      </c>
      <c r="F458" t="str">
        <f>"07-12097"</f>
        <v>07-12097</v>
      </c>
      <c r="G458" s="2">
        <v>100</v>
      </c>
      <c r="H458" t="str">
        <f>"07-12097"</f>
        <v>07-12097</v>
      </c>
    </row>
    <row r="459" spans="1:8" x14ac:dyDescent="0.25">
      <c r="E459" t="str">
        <f>"201901036095"</f>
        <v>201901036095</v>
      </c>
      <c r="F459" t="str">
        <f>"04-8662"</f>
        <v>04-8662</v>
      </c>
      <c r="G459" s="2">
        <v>137.5</v>
      </c>
      <c r="H459" t="str">
        <f>"04-8662"</f>
        <v>04-8662</v>
      </c>
    </row>
    <row r="460" spans="1:8" x14ac:dyDescent="0.25">
      <c r="E460" t="str">
        <f>"201901036096"</f>
        <v>201901036096</v>
      </c>
      <c r="F460" t="str">
        <f>"02-1205-6  18-19404"</f>
        <v>02-1205-6  18-19404</v>
      </c>
      <c r="G460" s="2">
        <v>100</v>
      </c>
      <c r="H460" t="str">
        <f>"02-1205-6  18-19404"</f>
        <v>02-1205-6  18-19404</v>
      </c>
    </row>
    <row r="461" spans="1:8" x14ac:dyDescent="0.25">
      <c r="E461" t="str">
        <f>"201901036097"</f>
        <v>201901036097</v>
      </c>
      <c r="F461" t="str">
        <f>"18-19299"</f>
        <v>18-19299</v>
      </c>
      <c r="G461" s="2">
        <v>212.5</v>
      </c>
      <c r="H461" t="str">
        <f>"18-19299"</f>
        <v>18-19299</v>
      </c>
    </row>
    <row r="462" spans="1:8" x14ac:dyDescent="0.25">
      <c r="E462" t="str">
        <f>"201901036098"</f>
        <v>201901036098</v>
      </c>
      <c r="F462" t="str">
        <f>"18-18924"</f>
        <v>18-18924</v>
      </c>
      <c r="G462" s="2">
        <v>137.5</v>
      </c>
      <c r="H462" t="str">
        <f>"18-18924"</f>
        <v>18-18924</v>
      </c>
    </row>
    <row r="463" spans="1:8" x14ac:dyDescent="0.25">
      <c r="E463" t="str">
        <f>"201901036099"</f>
        <v>201901036099</v>
      </c>
      <c r="F463" t="str">
        <f>"18-19166"</f>
        <v>18-19166</v>
      </c>
      <c r="G463" s="2">
        <v>381.75</v>
      </c>
      <c r="H463" t="str">
        <f>"18-19166"</f>
        <v>18-19166</v>
      </c>
    </row>
    <row r="464" spans="1:8" x14ac:dyDescent="0.25">
      <c r="E464" t="str">
        <f>"201901036106"</f>
        <v>201901036106</v>
      </c>
      <c r="F464" t="str">
        <f>"56663"</f>
        <v>56663</v>
      </c>
      <c r="G464" s="2">
        <v>250</v>
      </c>
      <c r="H464" t="str">
        <f>"56663"</f>
        <v>56663</v>
      </c>
    </row>
    <row r="465" spans="1:8" x14ac:dyDescent="0.25">
      <c r="E465" t="str">
        <f>"201901036108"</f>
        <v>201901036108</v>
      </c>
      <c r="F465" t="str">
        <f>"51446"</f>
        <v>51446</v>
      </c>
      <c r="G465" s="2">
        <v>250</v>
      </c>
      <c r="H465" t="str">
        <f>"51446"</f>
        <v>51446</v>
      </c>
    </row>
    <row r="466" spans="1:8" x14ac:dyDescent="0.25">
      <c r="A466" t="s">
        <v>151</v>
      </c>
      <c r="B466">
        <v>403</v>
      </c>
      <c r="C466" s="2">
        <v>2450</v>
      </c>
      <c r="D466" s="1">
        <v>43494</v>
      </c>
      <c r="E466" t="str">
        <f>"201901156580"</f>
        <v>201901156580</v>
      </c>
      <c r="F466" t="str">
        <f>"AC20161011W"</f>
        <v>AC20161011W</v>
      </c>
      <c r="G466" s="2">
        <v>800</v>
      </c>
      <c r="H466" t="str">
        <f>"AC20161011W"</f>
        <v>AC20161011W</v>
      </c>
    </row>
    <row r="467" spans="1:8" x14ac:dyDescent="0.25">
      <c r="E467" t="str">
        <f>"201901166582"</f>
        <v>201901166582</v>
      </c>
      <c r="F467" t="str">
        <f>"DCPC-18-125"</f>
        <v>DCPC-18-125</v>
      </c>
      <c r="G467" s="2">
        <v>400</v>
      </c>
      <c r="H467" t="str">
        <f>"DCPC-18-125"</f>
        <v>DCPC-18-125</v>
      </c>
    </row>
    <row r="468" spans="1:8" x14ac:dyDescent="0.25">
      <c r="E468" t="str">
        <f>"201901176645"</f>
        <v>201901176645</v>
      </c>
      <c r="F468" t="str">
        <f>"56706"</f>
        <v>56706</v>
      </c>
      <c r="G468" s="2">
        <v>250</v>
      </c>
      <c r="H468" t="str">
        <f>"56706"</f>
        <v>56706</v>
      </c>
    </row>
    <row r="469" spans="1:8" x14ac:dyDescent="0.25">
      <c r="E469" t="str">
        <f>"201901176646"</f>
        <v>201901176646</v>
      </c>
      <c r="F469" t="str">
        <f>"56484"</f>
        <v>56484</v>
      </c>
      <c r="G469" s="2">
        <v>250</v>
      </c>
      <c r="H469" t="str">
        <f>"56484"</f>
        <v>56484</v>
      </c>
    </row>
    <row r="470" spans="1:8" x14ac:dyDescent="0.25">
      <c r="E470" t="str">
        <f>"201901176647"</f>
        <v>201901176647</v>
      </c>
      <c r="F470" t="str">
        <f>"56532"</f>
        <v>56532</v>
      </c>
      <c r="G470" s="2">
        <v>250</v>
      </c>
      <c r="H470" t="str">
        <f>"56532"</f>
        <v>56532</v>
      </c>
    </row>
    <row r="471" spans="1:8" x14ac:dyDescent="0.25">
      <c r="E471" t="str">
        <f>"201901176648"</f>
        <v>201901176648</v>
      </c>
      <c r="F471" t="str">
        <f>"56535"</f>
        <v>56535</v>
      </c>
      <c r="G471" s="2">
        <v>250</v>
      </c>
      <c r="H471" t="str">
        <f>"56535"</f>
        <v>56535</v>
      </c>
    </row>
    <row r="472" spans="1:8" x14ac:dyDescent="0.25">
      <c r="E472" t="str">
        <f>"201901176652"</f>
        <v>201901176652</v>
      </c>
      <c r="F472" t="str">
        <f>"55899"</f>
        <v>55899</v>
      </c>
      <c r="G472" s="2">
        <v>250</v>
      </c>
      <c r="H472" t="str">
        <f>"55899"</f>
        <v>55899</v>
      </c>
    </row>
    <row r="473" spans="1:8" x14ac:dyDescent="0.25">
      <c r="A473" t="s">
        <v>152</v>
      </c>
      <c r="B473">
        <v>80368</v>
      </c>
      <c r="C473" s="2">
        <v>1296</v>
      </c>
      <c r="D473" s="1">
        <v>43479</v>
      </c>
      <c r="E473" t="str">
        <f>"15-1503"</f>
        <v>15-1503</v>
      </c>
      <c r="F473" t="str">
        <f>"SCREENED BASE/PCT#3"</f>
        <v>SCREENED BASE/PCT#3</v>
      </c>
      <c r="G473" s="2">
        <v>1296</v>
      </c>
      <c r="H473" t="str">
        <f>"SCREENED BASE/PCT#3"</f>
        <v>SCREENED BASE/PCT#3</v>
      </c>
    </row>
    <row r="474" spans="1:8" x14ac:dyDescent="0.25">
      <c r="A474" t="s">
        <v>153</v>
      </c>
      <c r="B474">
        <v>80691</v>
      </c>
      <c r="C474" s="2">
        <v>45</v>
      </c>
      <c r="D474" s="1">
        <v>43493</v>
      </c>
      <c r="E474" t="str">
        <f>"201901176682"</f>
        <v>201901176682</v>
      </c>
      <c r="F474" t="str">
        <f>"FERAL HOGS"</f>
        <v>FERAL HOGS</v>
      </c>
      <c r="G474" s="2">
        <v>45</v>
      </c>
      <c r="H474" t="str">
        <f>"FERAL HOGS"</f>
        <v>FERAL HOGS</v>
      </c>
    </row>
    <row r="475" spans="1:8" x14ac:dyDescent="0.25">
      <c r="A475" t="s">
        <v>154</v>
      </c>
      <c r="B475">
        <v>378</v>
      </c>
      <c r="C475" s="2">
        <v>2247.21</v>
      </c>
      <c r="D475" s="1">
        <v>43494</v>
      </c>
      <c r="E475" t="str">
        <f>"2164112"</f>
        <v>2164112</v>
      </c>
      <c r="F475" t="str">
        <f>"INV 2164112"</f>
        <v>INV 2164112</v>
      </c>
      <c r="G475" s="2">
        <v>785.93</v>
      </c>
      <c r="H475" t="str">
        <f>"INV 2164112"</f>
        <v>INV 2164112</v>
      </c>
    </row>
    <row r="476" spans="1:8" x14ac:dyDescent="0.25">
      <c r="E476" t="str">
        <f>"2164114"</f>
        <v>2164114</v>
      </c>
      <c r="F476" t="str">
        <f>"INV 2164114"</f>
        <v>INV 2164114</v>
      </c>
      <c r="G476" s="2">
        <v>1461.28</v>
      </c>
      <c r="H476" t="str">
        <f>"INV 2164114"</f>
        <v>INV 2164114</v>
      </c>
    </row>
    <row r="477" spans="1:8" x14ac:dyDescent="0.25">
      <c r="A477" t="s">
        <v>155</v>
      </c>
      <c r="B477">
        <v>377</v>
      </c>
      <c r="C477" s="2">
        <v>41</v>
      </c>
      <c r="D477" s="1">
        <v>43494</v>
      </c>
      <c r="E477" t="str">
        <f>"201901166590"</f>
        <v>201901166590</v>
      </c>
      <c r="F477" t="str">
        <f>"SUBSCRIPTION/EXTENSION OFFICE"</f>
        <v>SUBSCRIPTION/EXTENSION OFFICE</v>
      </c>
      <c r="G477" s="2">
        <v>41</v>
      </c>
      <c r="H477" t="str">
        <f>"SUBSCRIPTION/EXTENSION OFFICE"</f>
        <v>SUBSCRIPTION/EXTENSION OFFICE</v>
      </c>
    </row>
    <row r="478" spans="1:8" x14ac:dyDescent="0.25">
      <c r="A478" t="s">
        <v>156</v>
      </c>
      <c r="B478">
        <v>80369</v>
      </c>
      <c r="C478" s="2">
        <v>1750</v>
      </c>
      <c r="D478" s="1">
        <v>43479</v>
      </c>
      <c r="E478" t="str">
        <f>"201901096510"</f>
        <v>201901096510</v>
      </c>
      <c r="F478" t="str">
        <f>"TRANSPORT-S.CASARRUBIA/Y.PARED"</f>
        <v>TRANSPORT-S.CASARRUBIA/Y.PARED</v>
      </c>
      <c r="G478" s="2">
        <v>700</v>
      </c>
      <c r="H478" t="str">
        <f>"TRANSPORT-S.CASARRUBIA/Y.PARED"</f>
        <v>TRANSPORT-S.CASARRUBIA/Y.PARED</v>
      </c>
    </row>
    <row r="479" spans="1:8" x14ac:dyDescent="0.25">
      <c r="E479" t="str">
        <f>"201901096511"</f>
        <v>201901096511</v>
      </c>
      <c r="F479" t="str">
        <f>"TRANSPORT-C.MURRAY/D.PAHLOW"</f>
        <v>TRANSPORT-C.MURRAY/D.PAHLOW</v>
      </c>
      <c r="G479" s="2">
        <v>1050</v>
      </c>
      <c r="H479" t="str">
        <f>"TRANSPORT-C.MURRAY/D.PAHLOW"</f>
        <v>TRANSPORT-C.MURRAY/D.PAHLOW</v>
      </c>
    </row>
    <row r="480" spans="1:8" x14ac:dyDescent="0.25">
      <c r="A480" t="s">
        <v>157</v>
      </c>
      <c r="B480">
        <v>80300</v>
      </c>
      <c r="C480" s="2">
        <v>1308.5</v>
      </c>
      <c r="D480" s="1">
        <v>43469</v>
      </c>
      <c r="E480" t="str">
        <f>"201901046387"</f>
        <v>201901046387</v>
      </c>
      <c r="F480" t="str">
        <f>"ACCT#007-0008410-002 / 123118"</f>
        <v>ACCT#007-0008410-002 / 123118</v>
      </c>
      <c r="G480" s="2">
        <v>497.13</v>
      </c>
      <c r="H480" t="str">
        <f>"ACCT#007-0008410-002 / 123118"</f>
        <v>ACCT#007-0008410-002 / 123118</v>
      </c>
    </row>
    <row r="481" spans="1:8" x14ac:dyDescent="0.25">
      <c r="E481" t="str">
        <f>"201901046388"</f>
        <v>201901046388</v>
      </c>
      <c r="F481" t="str">
        <f>"ACCT#007-0011501-000 / 123118"</f>
        <v>ACCT#007-0011501-000 / 123118</v>
      </c>
      <c r="G481" s="2">
        <v>98.2</v>
      </c>
      <c r="H481" t="str">
        <f>"ACCT#007-0011501-000 / 123118"</f>
        <v>ACCT#007-0011501-000 / 123118</v>
      </c>
    </row>
    <row r="482" spans="1:8" x14ac:dyDescent="0.25">
      <c r="E482" t="str">
        <f>"201901046389"</f>
        <v>201901046389</v>
      </c>
      <c r="F482" t="str">
        <f>"ACCT#007-0011510-000 / 123118"</f>
        <v>ACCT#007-0011510-000 / 123118</v>
      </c>
      <c r="G482" s="2">
        <v>235.91</v>
      </c>
      <c r="H482" t="str">
        <f>"ACCT#007-0011510-000 / 123118"</f>
        <v>ACCT#007-0011510-000 / 123118</v>
      </c>
    </row>
    <row r="483" spans="1:8" x14ac:dyDescent="0.25">
      <c r="E483" t="str">
        <f>"201901046390"</f>
        <v>201901046390</v>
      </c>
      <c r="F483" t="str">
        <f>"ACCT#007-0011530-000 / 123118"</f>
        <v>ACCT#007-0011530-000 / 123118</v>
      </c>
      <c r="G483" s="2">
        <v>97.4</v>
      </c>
      <c r="H483" t="str">
        <f>"ACCT#007-0011530-000 / 123118"</f>
        <v>ACCT#007-0011530-000 / 123118</v>
      </c>
    </row>
    <row r="484" spans="1:8" x14ac:dyDescent="0.25">
      <c r="E484" t="str">
        <f>"201901046391"</f>
        <v>201901046391</v>
      </c>
      <c r="F484" t="str">
        <f>"ACCT#007-0011534-001 / 123118"</f>
        <v>ACCT#007-0011534-001 / 123118</v>
      </c>
      <c r="G484" s="2">
        <v>156.88</v>
      </c>
      <c r="H484" t="str">
        <f>"ACCT#007-0011534-001 / 123118"</f>
        <v>ACCT#007-0011534-001 / 123118</v>
      </c>
    </row>
    <row r="485" spans="1:8" x14ac:dyDescent="0.25">
      <c r="E485" t="str">
        <f>"201901046392"</f>
        <v>201901046392</v>
      </c>
      <c r="F485" t="str">
        <f>"ACCT#007-0011535-000 / 123118"</f>
        <v>ACCT#007-0011535-000 / 123118</v>
      </c>
      <c r="G485" s="2">
        <v>111.49</v>
      </c>
      <c r="H485" t="str">
        <f>"ACCT#007-0011535-000 / 123118"</f>
        <v>ACCT#007-0011535-000 / 123118</v>
      </c>
    </row>
    <row r="486" spans="1:8" x14ac:dyDescent="0.25">
      <c r="E486" t="str">
        <f>"201901046393"</f>
        <v>201901046393</v>
      </c>
      <c r="F486" t="str">
        <f>"ACCT#007-0011544-001 / 123118"</f>
        <v>ACCT#007-0011544-001 / 123118</v>
      </c>
      <c r="G486" s="2">
        <v>111.49</v>
      </c>
      <c r="H486" t="str">
        <f>"ACCT#007-0011544-001 / 123118"</f>
        <v>ACCT#007-0011544-001 / 123118</v>
      </c>
    </row>
    <row r="487" spans="1:8" x14ac:dyDescent="0.25">
      <c r="A487" t="s">
        <v>158</v>
      </c>
      <c r="B487">
        <v>80370</v>
      </c>
      <c r="C487" s="2">
        <v>308.43</v>
      </c>
      <c r="D487" s="1">
        <v>43479</v>
      </c>
      <c r="E487" t="str">
        <f>"00-54604-01 CREDIT"</f>
        <v>00-54604-01 CREDIT</v>
      </c>
      <c r="F487" t="str">
        <f>"CUST#0888336"</f>
        <v>CUST#0888336</v>
      </c>
      <c r="G487" s="2">
        <v>-100.52</v>
      </c>
      <c r="H487" t="str">
        <f>"CUST#0888336"</f>
        <v>CUST#0888336</v>
      </c>
    </row>
    <row r="488" spans="1:8" x14ac:dyDescent="0.25">
      <c r="E488" t="str">
        <f>"145-24399-02"</f>
        <v>145-24399-02</v>
      </c>
      <c r="F488" t="str">
        <f>"CUST#0888336/ANIMAL SHELTER"</f>
        <v>CUST#0888336/ANIMAL SHELTER</v>
      </c>
      <c r="G488" s="2">
        <v>2.52</v>
      </c>
      <c r="H488" t="str">
        <f>"CUST#0888336/ANIMAL SHELTER"</f>
        <v>CUST#0888336/ANIMAL SHELTER</v>
      </c>
    </row>
    <row r="489" spans="1:8" x14ac:dyDescent="0.25">
      <c r="E489" t="str">
        <f>"145-24409-01"</f>
        <v>145-24409-01</v>
      </c>
      <c r="F489" t="str">
        <f>"CUST#0888336/ANNEX"</f>
        <v>CUST#0888336/ANNEX</v>
      </c>
      <c r="G489" s="2">
        <v>47.11</v>
      </c>
      <c r="H489" t="str">
        <f>"CUST#0888336/ANNEX"</f>
        <v>CUST#0888336/ANNEX</v>
      </c>
    </row>
    <row r="490" spans="1:8" x14ac:dyDescent="0.25">
      <c r="E490" t="str">
        <f>"145-24429-01"</f>
        <v>145-24429-01</v>
      </c>
      <c r="F490" t="str">
        <f>"ACCT#0888336/IT DEPARTMENT"</f>
        <v>ACCT#0888336/IT DEPARTMENT</v>
      </c>
      <c r="G490" s="2">
        <v>12.05</v>
      </c>
      <c r="H490" t="str">
        <f>"ACCT#0888336/IT DEPARTMENT"</f>
        <v>ACCT#0888336/IT DEPARTMENT</v>
      </c>
    </row>
    <row r="491" spans="1:8" x14ac:dyDescent="0.25">
      <c r="E491" t="str">
        <f>"145-24477-01"</f>
        <v>145-24477-01</v>
      </c>
      <c r="F491" t="str">
        <f>"CUST#0888336/ANIMAL SHELTER"</f>
        <v>CUST#0888336/ANIMAL SHELTER</v>
      </c>
      <c r="G491" s="2">
        <v>50.27</v>
      </c>
      <c r="H491" t="str">
        <f>"CUST#0888336/ANIMAL SHELTER"</f>
        <v>CUST#0888336/ANIMAL SHELTER</v>
      </c>
    </row>
    <row r="492" spans="1:8" x14ac:dyDescent="0.25">
      <c r="E492" t="str">
        <f>"145-254399-01"</f>
        <v>145-254399-01</v>
      </c>
      <c r="F492" t="str">
        <f>"CUST#0888336/ANIMAL SHELTER"</f>
        <v>CUST#0888336/ANIMAL SHELTER</v>
      </c>
      <c r="G492" s="2">
        <v>297</v>
      </c>
      <c r="H492" t="str">
        <f>"CUST#0888336/ANIMAL SHELTER"</f>
        <v>CUST#0888336/ANIMAL SHELTER</v>
      </c>
    </row>
    <row r="493" spans="1:8" x14ac:dyDescent="0.25">
      <c r="A493" t="s">
        <v>158</v>
      </c>
      <c r="B493">
        <v>80692</v>
      </c>
      <c r="C493" s="2">
        <v>91.52</v>
      </c>
      <c r="D493" s="1">
        <v>43493</v>
      </c>
      <c r="E493" t="str">
        <f>"145-24499-01"</f>
        <v>145-24499-01</v>
      </c>
      <c r="F493" t="str">
        <f>"CUST#0888336/ANIMAL SHELTER"</f>
        <v>CUST#0888336/ANIMAL SHELTER</v>
      </c>
      <c r="G493" s="2">
        <v>86.31</v>
      </c>
      <c r="H493" t="str">
        <f>"CUST#0888336/ANIMAL SHELTER"</f>
        <v>CUST#0888336/ANIMAL SHELTER</v>
      </c>
    </row>
    <row r="494" spans="1:8" x14ac:dyDescent="0.25">
      <c r="E494" t="str">
        <f>"145-24713-01"</f>
        <v>145-24713-01</v>
      </c>
      <c r="F494" t="str">
        <f>"CUST#0888336/PCT3 LIGHTS"</f>
        <v>CUST#0888336/PCT3 LIGHTS</v>
      </c>
      <c r="G494" s="2">
        <v>5.21</v>
      </c>
      <c r="H494" t="str">
        <f>"CUST#0888336/PCT3 LIGHTS"</f>
        <v>CUST#0888336/PCT3 LIGHTS</v>
      </c>
    </row>
    <row r="495" spans="1:8" x14ac:dyDescent="0.25">
      <c r="A495" t="s">
        <v>159</v>
      </c>
      <c r="B495">
        <v>80693</v>
      </c>
      <c r="C495" s="2">
        <v>25</v>
      </c>
      <c r="D495" s="1">
        <v>43493</v>
      </c>
      <c r="E495" t="str">
        <f>"201901166596"</f>
        <v>201901166596</v>
      </c>
      <c r="F495" t="str">
        <f>"REFUND DRIVEWAY PERMIT"</f>
        <v>REFUND DRIVEWAY PERMIT</v>
      </c>
      <c r="G495" s="2">
        <v>25</v>
      </c>
      <c r="H495" t="str">
        <f>"REFUND DRIVEWAY PERMIT"</f>
        <v>REFUND DRIVEWAY PERMIT</v>
      </c>
    </row>
    <row r="496" spans="1:8" x14ac:dyDescent="0.25">
      <c r="A496" t="s">
        <v>160</v>
      </c>
      <c r="B496">
        <v>80371</v>
      </c>
      <c r="C496" s="2">
        <v>34744.79</v>
      </c>
      <c r="D496" s="1">
        <v>43479</v>
      </c>
      <c r="E496" t="str">
        <f>"93566945"</f>
        <v>93566945</v>
      </c>
      <c r="F496" t="str">
        <f>"Esri ArcGIS Desktop"</f>
        <v>Esri ArcGIS Desktop</v>
      </c>
      <c r="G496" s="2">
        <v>5813.28</v>
      </c>
      <c r="H496" t="str">
        <f>"material# 86353"</f>
        <v>material# 86353</v>
      </c>
    </row>
    <row r="497" spans="5:8" x14ac:dyDescent="0.25">
      <c r="E497" t="str">
        <f>"93567707"</f>
        <v>93567707</v>
      </c>
      <c r="F497" t="str">
        <f>"Esri renewal"</f>
        <v>Esri renewal</v>
      </c>
      <c r="G497" s="2">
        <v>28931.51</v>
      </c>
      <c r="H497" t="str">
        <f>"52384"</f>
        <v>52384</v>
      </c>
    </row>
    <row r="498" spans="5:8" x14ac:dyDescent="0.25">
      <c r="E498" t="str">
        <f>""</f>
        <v/>
      </c>
      <c r="F498" t="str">
        <f>""</f>
        <v/>
      </c>
      <c r="H498" t="str">
        <f>"52385"</f>
        <v>52385</v>
      </c>
    </row>
    <row r="499" spans="5:8" x14ac:dyDescent="0.25">
      <c r="E499" t="str">
        <f>""</f>
        <v/>
      </c>
      <c r="F499" t="str">
        <f>""</f>
        <v/>
      </c>
      <c r="H499" t="str">
        <f>"86497"</f>
        <v>86497</v>
      </c>
    </row>
    <row r="500" spans="5:8" x14ac:dyDescent="0.25">
      <c r="E500" t="str">
        <f>""</f>
        <v/>
      </c>
      <c r="F500" t="str">
        <f>""</f>
        <v/>
      </c>
      <c r="H500" t="str">
        <f>"86500"</f>
        <v>86500</v>
      </c>
    </row>
    <row r="501" spans="5:8" x14ac:dyDescent="0.25">
      <c r="E501" t="str">
        <f>""</f>
        <v/>
      </c>
      <c r="F501" t="str">
        <f>""</f>
        <v/>
      </c>
      <c r="H501" t="str">
        <f>"87232"</f>
        <v>87232</v>
      </c>
    </row>
    <row r="502" spans="5:8" x14ac:dyDescent="0.25">
      <c r="E502" t="str">
        <f>""</f>
        <v/>
      </c>
      <c r="F502" t="str">
        <f>""</f>
        <v/>
      </c>
      <c r="H502" t="str">
        <f>"87198"</f>
        <v>87198</v>
      </c>
    </row>
    <row r="503" spans="5:8" x14ac:dyDescent="0.25">
      <c r="E503" t="str">
        <f>""</f>
        <v/>
      </c>
      <c r="F503" t="str">
        <f>""</f>
        <v/>
      </c>
      <c r="H503" t="str">
        <f>"87199"</f>
        <v>87199</v>
      </c>
    </row>
    <row r="504" spans="5:8" x14ac:dyDescent="0.25">
      <c r="E504" t="str">
        <f>""</f>
        <v/>
      </c>
      <c r="F504" t="str">
        <f>""</f>
        <v/>
      </c>
      <c r="H504" t="str">
        <f>"122197"</f>
        <v>122197</v>
      </c>
    </row>
    <row r="505" spans="5:8" x14ac:dyDescent="0.25">
      <c r="E505" t="str">
        <f>""</f>
        <v/>
      </c>
      <c r="F505" t="str">
        <f>""</f>
        <v/>
      </c>
      <c r="H505" t="str">
        <f>"87192"</f>
        <v>87192</v>
      </c>
    </row>
    <row r="506" spans="5:8" x14ac:dyDescent="0.25">
      <c r="E506" t="str">
        <f>""</f>
        <v/>
      </c>
      <c r="F506" t="str">
        <f>""</f>
        <v/>
      </c>
      <c r="H506" t="str">
        <f>"87193"</f>
        <v>87193</v>
      </c>
    </row>
    <row r="507" spans="5:8" x14ac:dyDescent="0.25">
      <c r="E507" t="str">
        <f>""</f>
        <v/>
      </c>
      <c r="F507" t="str">
        <f>""</f>
        <v/>
      </c>
      <c r="H507" t="str">
        <f>"118242"</f>
        <v>118242</v>
      </c>
    </row>
    <row r="508" spans="5:8" x14ac:dyDescent="0.25">
      <c r="E508" t="str">
        <f>""</f>
        <v/>
      </c>
      <c r="F508" t="str">
        <f>""</f>
        <v/>
      </c>
      <c r="H508" t="str">
        <f>"100571"</f>
        <v>100571</v>
      </c>
    </row>
    <row r="509" spans="5:8" x14ac:dyDescent="0.25">
      <c r="E509" t="str">
        <f>""</f>
        <v/>
      </c>
      <c r="F509" t="str">
        <f>""</f>
        <v/>
      </c>
      <c r="H509" t="str">
        <f>"96880"</f>
        <v>96880</v>
      </c>
    </row>
    <row r="510" spans="5:8" x14ac:dyDescent="0.25">
      <c r="E510" t="str">
        <f>""</f>
        <v/>
      </c>
      <c r="F510" t="str">
        <f>""</f>
        <v/>
      </c>
      <c r="H510" t="str">
        <f>"157023"</f>
        <v>157023</v>
      </c>
    </row>
    <row r="511" spans="5:8" x14ac:dyDescent="0.25">
      <c r="E511" t="str">
        <f>""</f>
        <v/>
      </c>
      <c r="F511" t="str">
        <f>""</f>
        <v/>
      </c>
      <c r="H511" t="str">
        <f>"161326"</f>
        <v>161326</v>
      </c>
    </row>
    <row r="512" spans="5:8" x14ac:dyDescent="0.25">
      <c r="E512" t="str">
        <f>""</f>
        <v/>
      </c>
      <c r="F512" t="str">
        <f>""</f>
        <v/>
      </c>
      <c r="H512" t="str">
        <f>"161429"</f>
        <v>161429</v>
      </c>
    </row>
    <row r="513" spans="1:9" x14ac:dyDescent="0.25">
      <c r="A513" t="s">
        <v>161</v>
      </c>
      <c r="B513">
        <v>80372</v>
      </c>
      <c r="C513" s="2">
        <v>44.28</v>
      </c>
      <c r="D513" s="1">
        <v>43479</v>
      </c>
      <c r="E513" t="str">
        <f>"201901096455"</f>
        <v>201901096455</v>
      </c>
      <c r="F513" t="str">
        <f>"MILEAGE REIMBURSEMENT"</f>
        <v>MILEAGE REIMBURSEMENT</v>
      </c>
      <c r="G513" s="2">
        <v>44.28</v>
      </c>
      <c r="H513" t="str">
        <f>"MILEAGE REIMBURSEMENT"</f>
        <v>MILEAGE REIMBURSEMENT</v>
      </c>
    </row>
    <row r="514" spans="1:9" x14ac:dyDescent="0.25">
      <c r="A514" t="s">
        <v>162</v>
      </c>
      <c r="B514">
        <v>80694</v>
      </c>
      <c r="C514" s="2">
        <v>30</v>
      </c>
      <c r="D514" s="1">
        <v>43493</v>
      </c>
      <c r="E514" t="str">
        <f>"201901176683"</f>
        <v>201901176683</v>
      </c>
      <c r="F514" t="str">
        <f>"FERAL HOGS"</f>
        <v>FERAL HOGS</v>
      </c>
      <c r="G514" s="2">
        <v>15</v>
      </c>
      <c r="H514" t="str">
        <f>"FERAL HOGS"</f>
        <v>FERAL HOGS</v>
      </c>
    </row>
    <row r="515" spans="1:9" x14ac:dyDescent="0.25">
      <c r="E515" t="str">
        <f>"201901176684"</f>
        <v>201901176684</v>
      </c>
      <c r="F515" t="str">
        <f>"FERAL HOGS"</f>
        <v>FERAL HOGS</v>
      </c>
      <c r="G515" s="2">
        <v>15</v>
      </c>
      <c r="H515" t="str">
        <f>"FERAL HOGS"</f>
        <v>FERAL HOGS</v>
      </c>
    </row>
    <row r="516" spans="1:9" x14ac:dyDescent="0.25">
      <c r="A516" t="s">
        <v>163</v>
      </c>
      <c r="B516">
        <v>80695</v>
      </c>
      <c r="C516" s="2">
        <v>528.84</v>
      </c>
      <c r="D516" s="1">
        <v>43493</v>
      </c>
      <c r="E516" t="str">
        <f>"201901236752"</f>
        <v>201901236752</v>
      </c>
      <c r="F516" t="str">
        <f>"LODGING"</f>
        <v>LODGING</v>
      </c>
      <c r="G516" s="2">
        <v>318.66000000000003</v>
      </c>
      <c r="H516" t="str">
        <f>"LODGING"</f>
        <v>LODGING</v>
      </c>
    </row>
    <row r="517" spans="1:9" x14ac:dyDescent="0.25">
      <c r="E517" t="str">
        <f>"201901236753"</f>
        <v>201901236753</v>
      </c>
      <c r="F517" t="str">
        <f>"LODGING"</f>
        <v>LODGING</v>
      </c>
      <c r="G517" s="2">
        <v>210.18</v>
      </c>
      <c r="H517" t="str">
        <f>"LODGING"</f>
        <v>LODGING</v>
      </c>
    </row>
    <row r="518" spans="1:9" x14ac:dyDescent="0.25">
      <c r="A518" t="s">
        <v>164</v>
      </c>
      <c r="B518">
        <v>80373</v>
      </c>
      <c r="C518" s="2">
        <v>8006.17</v>
      </c>
      <c r="D518" s="1">
        <v>43479</v>
      </c>
      <c r="E518" t="str">
        <f>"201901036123"</f>
        <v>201901036123</v>
      </c>
      <c r="F518" t="str">
        <f>"GRANT REIMBURSEMENT"</f>
        <v>GRANT REIMBURSEMENT</v>
      </c>
      <c r="G518" s="2">
        <v>8006.17</v>
      </c>
      <c r="H518" t="str">
        <f>"GRANT REIMBURSEMENT"</f>
        <v>GRANT REIMBURSEMENT</v>
      </c>
    </row>
    <row r="519" spans="1:9" x14ac:dyDescent="0.25">
      <c r="A519" t="s">
        <v>165</v>
      </c>
      <c r="B519">
        <v>80374</v>
      </c>
      <c r="C519" s="2">
        <v>301.42</v>
      </c>
      <c r="D519" s="1">
        <v>43479</v>
      </c>
      <c r="E519" t="str">
        <f>"201901096496"</f>
        <v>201901096496</v>
      </c>
      <c r="F519" t="str">
        <f>"INDIGENT HEALTH"</f>
        <v>INDIGENT HEALTH</v>
      </c>
      <c r="G519" s="2">
        <v>301.42</v>
      </c>
      <c r="H519" t="str">
        <f>"INDIGENT HEALTH"</f>
        <v>INDIGENT HEALTH</v>
      </c>
    </row>
    <row r="520" spans="1:9" x14ac:dyDescent="0.25">
      <c r="E520" t="str">
        <f>""</f>
        <v/>
      </c>
      <c r="F520" t="str">
        <f>""</f>
        <v/>
      </c>
      <c r="H520" t="str">
        <f>"INDIGENT HEALTH"</f>
        <v>INDIGENT HEALTH</v>
      </c>
    </row>
    <row r="521" spans="1:9" x14ac:dyDescent="0.25">
      <c r="A521" t="s">
        <v>166</v>
      </c>
      <c r="B521">
        <v>80375</v>
      </c>
      <c r="C521" s="2">
        <v>32.799999999999997</v>
      </c>
      <c r="D521" s="1">
        <v>43479</v>
      </c>
      <c r="E521" t="str">
        <f>"276894"</f>
        <v>276894</v>
      </c>
      <c r="F521" t="str">
        <f>"ORD#87820/ANIMAL SHELTER"</f>
        <v>ORD#87820/ANIMAL SHELTER</v>
      </c>
      <c r="G521" s="2">
        <v>32.799999999999997</v>
      </c>
      <c r="H521" t="str">
        <f>"ORD#87820/ANIMAL SHELTER"</f>
        <v>ORD#87820/ANIMAL SHELTER</v>
      </c>
    </row>
    <row r="522" spans="1:9" x14ac:dyDescent="0.25">
      <c r="A522" t="s">
        <v>167</v>
      </c>
      <c r="B522">
        <v>80376</v>
      </c>
      <c r="C522" s="2">
        <v>12.5</v>
      </c>
      <c r="D522" s="1">
        <v>43479</v>
      </c>
      <c r="E522" t="s">
        <v>168</v>
      </c>
      <c r="F522" t="s">
        <v>169</v>
      </c>
      <c r="G522" s="2" t="str">
        <f>"RESTITUTION-KATHY PURCELL"</f>
        <v>RESTITUTION-KATHY PURCELL</v>
      </c>
      <c r="H522" t="str">
        <f>"210-0000"</f>
        <v>210-0000</v>
      </c>
      <c r="I522" t="str">
        <f>""</f>
        <v/>
      </c>
    </row>
    <row r="523" spans="1:9" x14ac:dyDescent="0.25">
      <c r="A523" t="s">
        <v>170</v>
      </c>
      <c r="B523">
        <v>80377</v>
      </c>
      <c r="C523" s="2">
        <v>600</v>
      </c>
      <c r="D523" s="1">
        <v>43479</v>
      </c>
      <c r="E523" t="str">
        <f>"S-20181201-19971"</f>
        <v>S-20181201-19971</v>
      </c>
      <c r="F523" t="str">
        <f>"CLIENT ID#19971"</f>
        <v>CLIENT ID#19971</v>
      </c>
      <c r="G523" s="2">
        <v>600</v>
      </c>
      <c r="H523" t="str">
        <f>"CLIENT ID#19971"</f>
        <v>CLIENT ID#19971</v>
      </c>
    </row>
    <row r="524" spans="1:9" x14ac:dyDescent="0.25">
      <c r="A524" t="s">
        <v>171</v>
      </c>
      <c r="B524">
        <v>80696</v>
      </c>
      <c r="C524" s="2">
        <v>1273.07</v>
      </c>
      <c r="D524" s="1">
        <v>43493</v>
      </c>
      <c r="E524" t="str">
        <f>"18017944"</f>
        <v>18017944</v>
      </c>
      <c r="F524" t="str">
        <f>"POLE PLUG/PCT#1"</f>
        <v>POLE PLUG/PCT#1</v>
      </c>
      <c r="G524" s="2">
        <v>68.67</v>
      </c>
      <c r="H524" t="str">
        <f>"POLE PLUG/PCT#1"</f>
        <v>POLE PLUG/PCT#1</v>
      </c>
    </row>
    <row r="525" spans="1:9" x14ac:dyDescent="0.25">
      <c r="E525" t="str">
        <f>"18028760"</f>
        <v>18028760</v>
      </c>
      <c r="F525" t="str">
        <f>"ACCT#80975/PCT#2"</f>
        <v>ACCT#80975/PCT#2</v>
      </c>
      <c r="G525" s="2">
        <v>840.44</v>
      </c>
      <c r="H525" t="str">
        <f>"ACCT#80975/PCT#2"</f>
        <v>ACCT#80975/PCT#2</v>
      </c>
    </row>
    <row r="526" spans="1:9" x14ac:dyDescent="0.25">
      <c r="E526" t="str">
        <f>"18042538"</f>
        <v>18042538</v>
      </c>
      <c r="F526" t="str">
        <f>"ACCT#80975-001/PCT#3"</f>
        <v>ACCT#80975-001/PCT#3</v>
      </c>
      <c r="G526" s="2">
        <v>65.040000000000006</v>
      </c>
      <c r="H526" t="str">
        <f>"ACCT#80975-001/PCT#3"</f>
        <v>ACCT#80975-001/PCT#3</v>
      </c>
    </row>
    <row r="527" spans="1:9" x14ac:dyDescent="0.25">
      <c r="E527" t="str">
        <f>"18288123"</f>
        <v>18288123</v>
      </c>
      <c r="F527" t="str">
        <f>"ACCT#80975-002/PCT#4"</f>
        <v>ACCT#80975-002/PCT#4</v>
      </c>
      <c r="G527" s="2">
        <v>16.07</v>
      </c>
      <c r="H527" t="str">
        <f>"ACCT#80975-002/PCT#4"</f>
        <v>ACCT#80975-002/PCT#4</v>
      </c>
    </row>
    <row r="528" spans="1:9" x14ac:dyDescent="0.25">
      <c r="E528" t="str">
        <f>"18579640"</f>
        <v>18579640</v>
      </c>
      <c r="F528" t="str">
        <f>"ACCT#80975-001/PCT#3"</f>
        <v>ACCT#80975-001/PCT#3</v>
      </c>
      <c r="G528" s="2">
        <v>59</v>
      </c>
      <c r="H528" t="str">
        <f>"ACCT#80975-001/PCT#3"</f>
        <v>ACCT#80975-001/PCT#3</v>
      </c>
    </row>
    <row r="529" spans="1:8" x14ac:dyDescent="0.25">
      <c r="E529" t="str">
        <f>"18742757"</f>
        <v>18742757</v>
      </c>
      <c r="F529" t="str">
        <f>"ACCT#80975-001/PCT#3"</f>
        <v>ACCT#80975-001/PCT#3</v>
      </c>
      <c r="G529" s="2">
        <v>223.85</v>
      </c>
      <c r="H529" t="str">
        <f>"ACCT#80975-001/PCT#3"</f>
        <v>ACCT#80975-001/PCT#3</v>
      </c>
    </row>
    <row r="530" spans="1:8" x14ac:dyDescent="0.25">
      <c r="A530" t="s">
        <v>172</v>
      </c>
      <c r="B530">
        <v>349</v>
      </c>
      <c r="C530" s="2">
        <v>150</v>
      </c>
      <c r="D530" s="1">
        <v>43494</v>
      </c>
      <c r="E530" t="str">
        <f>"201901166592"</f>
        <v>201901166592</v>
      </c>
      <c r="F530" t="str">
        <f>"REFUND BAIL BOND COUPONS"</f>
        <v>REFUND BAIL BOND COUPONS</v>
      </c>
      <c r="G530" s="2">
        <v>120</v>
      </c>
      <c r="H530" t="str">
        <f>"REFUND BAIL BOND COUPONS"</f>
        <v>REFUND BAIL BOND COUPONS</v>
      </c>
    </row>
    <row r="531" spans="1:8" x14ac:dyDescent="0.25">
      <c r="E531" t="str">
        <f>"201901176705"</f>
        <v>201901176705</v>
      </c>
      <c r="F531" t="str">
        <f>"BAIL BOND COUPONS  21793/21489"</f>
        <v>BAIL BOND COUPONS  21793/21489</v>
      </c>
      <c r="G531" s="2">
        <v>30</v>
      </c>
      <c r="H531" t="str">
        <f>"BAIL BOND COUPONS  21793/21489"</f>
        <v>BAIL BOND COUPONS  21793/21489</v>
      </c>
    </row>
    <row r="532" spans="1:8" x14ac:dyDescent="0.25">
      <c r="A532" t="s">
        <v>173</v>
      </c>
      <c r="B532">
        <v>80378</v>
      </c>
      <c r="C532" s="2">
        <v>3984</v>
      </c>
      <c r="D532" s="1">
        <v>43479</v>
      </c>
      <c r="E532" t="str">
        <f>"70002"</f>
        <v>70002</v>
      </c>
      <c r="F532" t="str">
        <f>"CASE#20180202"</f>
        <v>CASE#20180202</v>
      </c>
      <c r="G532" s="2">
        <v>3984</v>
      </c>
      <c r="H532" t="str">
        <f>"CASE#20180202"</f>
        <v>CASE#20180202</v>
      </c>
    </row>
    <row r="533" spans="1:8" x14ac:dyDescent="0.25">
      <c r="A533" t="s">
        <v>174</v>
      </c>
      <c r="B533">
        <v>379</v>
      </c>
      <c r="C533" s="2">
        <v>500</v>
      </c>
      <c r="D533" s="1">
        <v>43494</v>
      </c>
      <c r="E533" t="str">
        <f>"201901176604"</f>
        <v>201901176604</v>
      </c>
      <c r="F533" t="str">
        <f>"NO CAUSE # LISTED"</f>
        <v>NO CAUSE # LISTED</v>
      </c>
      <c r="G533" s="2">
        <v>100</v>
      </c>
      <c r="H533" t="str">
        <f>"NO CAUSE # LISTED"</f>
        <v>NO CAUSE # LISTED</v>
      </c>
    </row>
    <row r="534" spans="1:8" x14ac:dyDescent="0.25">
      <c r="E534" t="str">
        <f>"201901176703"</f>
        <v>201901176703</v>
      </c>
      <c r="F534" t="str">
        <f>"16 657"</f>
        <v>16 657</v>
      </c>
      <c r="G534" s="2">
        <v>400</v>
      </c>
      <c r="H534" t="str">
        <f>"16 657"</f>
        <v>16 657</v>
      </c>
    </row>
    <row r="535" spans="1:8" x14ac:dyDescent="0.25">
      <c r="A535" t="s">
        <v>175</v>
      </c>
      <c r="B535">
        <v>80379</v>
      </c>
      <c r="C535" s="2">
        <v>293.31</v>
      </c>
      <c r="D535" s="1">
        <v>43479</v>
      </c>
      <c r="E535" t="str">
        <f>"201812285996"</f>
        <v>201812285996</v>
      </c>
      <c r="F535" t="str">
        <f>"PER DIEM"</f>
        <v>PER DIEM</v>
      </c>
      <c r="G535" s="2">
        <v>120</v>
      </c>
      <c r="H535" t="str">
        <f>"PER DIEM"</f>
        <v>PER DIEM</v>
      </c>
    </row>
    <row r="536" spans="1:8" x14ac:dyDescent="0.25">
      <c r="E536" t="str">
        <f>"201812285998"</f>
        <v>201812285998</v>
      </c>
      <c r="F536" t="str">
        <f>"MILEAGE REIMBURSEMENT"</f>
        <v>MILEAGE REIMBURSEMENT</v>
      </c>
      <c r="G536" s="2">
        <v>173.31</v>
      </c>
      <c r="H536" t="str">
        <f>"MILEAGE REIMBURSEMENT"</f>
        <v>MILEAGE REIMBURSEMENT</v>
      </c>
    </row>
    <row r="537" spans="1:8" x14ac:dyDescent="0.25">
      <c r="A537" t="s">
        <v>176</v>
      </c>
      <c r="B537">
        <v>80697</v>
      </c>
      <c r="C537" s="2">
        <v>425</v>
      </c>
      <c r="D537" s="1">
        <v>43493</v>
      </c>
      <c r="E537" t="str">
        <f>"201901176664"</f>
        <v>201901176664</v>
      </c>
      <c r="F537" t="str">
        <f>"FERAL HOGS"</f>
        <v>FERAL HOGS</v>
      </c>
      <c r="G537" s="2">
        <v>45</v>
      </c>
      <c r="H537" t="str">
        <f>"FERAL HOGS"</f>
        <v>FERAL HOGS</v>
      </c>
    </row>
    <row r="538" spans="1:8" x14ac:dyDescent="0.25">
      <c r="E538" t="str">
        <f>"201901176665"</f>
        <v>201901176665</v>
      </c>
      <c r="F538" t="str">
        <f>"FERAL HOGS"</f>
        <v>FERAL HOGS</v>
      </c>
      <c r="G538" s="2">
        <v>380</v>
      </c>
      <c r="H538" t="str">
        <f>"FERAL HOGS"</f>
        <v>FERAL HOGS</v>
      </c>
    </row>
    <row r="539" spans="1:8" x14ac:dyDescent="0.25">
      <c r="A539" t="s">
        <v>177</v>
      </c>
      <c r="B539">
        <v>313</v>
      </c>
      <c r="C539" s="2">
        <v>375.68</v>
      </c>
      <c r="D539" s="1">
        <v>43480</v>
      </c>
      <c r="E539" t="str">
        <f>"AS74051"</f>
        <v>AS74051</v>
      </c>
      <c r="F539" t="str">
        <f>"ACCT#3325/PCT#2"</f>
        <v>ACCT#3325/PCT#2</v>
      </c>
      <c r="G539" s="2">
        <v>-28.56</v>
      </c>
      <c r="H539" t="str">
        <f>"ACCT#3325/PCT#2"</f>
        <v>ACCT#3325/PCT#2</v>
      </c>
    </row>
    <row r="540" spans="1:8" x14ac:dyDescent="0.25">
      <c r="E540" t="str">
        <f>"AP388689"</f>
        <v>AP388689</v>
      </c>
      <c r="F540" t="str">
        <f>"ACCT#3325/PCT#2"</f>
        <v>ACCT#3325/PCT#2</v>
      </c>
      <c r="G540" s="2">
        <v>398.82</v>
      </c>
      <c r="H540" t="str">
        <f>"ACCT#3325/PCT#2"</f>
        <v>ACCT#3325/PCT#2</v>
      </c>
    </row>
    <row r="541" spans="1:8" x14ac:dyDescent="0.25">
      <c r="E541" t="str">
        <f>"AP389063"</f>
        <v>AP389063</v>
      </c>
      <c r="F541" t="str">
        <f>"ACCT#3323/PCT#1"</f>
        <v>ACCT#3323/PCT#1</v>
      </c>
      <c r="G541" s="2">
        <v>5.42</v>
      </c>
      <c r="H541" t="str">
        <f>"ACCT#3323/PCT#1"</f>
        <v>ACCT#3323/PCT#1</v>
      </c>
    </row>
    <row r="542" spans="1:8" x14ac:dyDescent="0.25">
      <c r="A542" t="s">
        <v>177</v>
      </c>
      <c r="B542">
        <v>372</v>
      </c>
      <c r="C542" s="2">
        <v>681.74</v>
      </c>
      <c r="D542" s="1">
        <v>43494</v>
      </c>
      <c r="E542" t="str">
        <f>"AP390017"</f>
        <v>AP390017</v>
      </c>
      <c r="F542" t="str">
        <f>"ACCT#3324/PCT#3"</f>
        <v>ACCT#3324/PCT#3</v>
      </c>
      <c r="G542" s="2">
        <v>154.93</v>
      </c>
      <c r="H542" t="str">
        <f>"ACCT#3324/PCT#3"</f>
        <v>ACCT#3324/PCT#3</v>
      </c>
    </row>
    <row r="543" spans="1:8" x14ac:dyDescent="0.25">
      <c r="E543" t="str">
        <f>"AP390295"</f>
        <v>AP390295</v>
      </c>
      <c r="F543" t="str">
        <f>"ACCT#3326/PCT#4"</f>
        <v>ACCT#3326/PCT#4</v>
      </c>
      <c r="G543" s="2">
        <v>211</v>
      </c>
      <c r="H543" t="str">
        <f>"ACCT#3326/PCT#4"</f>
        <v>ACCT#3326/PCT#4</v>
      </c>
    </row>
    <row r="544" spans="1:8" x14ac:dyDescent="0.25">
      <c r="E544" t="str">
        <f>"AP390518"</f>
        <v>AP390518</v>
      </c>
      <c r="F544" t="str">
        <f>"ACCT#3325/SENSOR/PCT#2"</f>
        <v>ACCT#3325/SENSOR/PCT#2</v>
      </c>
      <c r="G544" s="2">
        <v>315.81</v>
      </c>
      <c r="H544" t="str">
        <f>"ACCT#3325/SENSOR/PCT#2"</f>
        <v>ACCT#3325/SENSOR/PCT#2</v>
      </c>
    </row>
    <row r="545" spans="1:8" x14ac:dyDescent="0.25">
      <c r="A545" t="s">
        <v>178</v>
      </c>
      <c r="B545">
        <v>317</v>
      </c>
      <c r="C545" s="2">
        <v>216.13</v>
      </c>
      <c r="D545" s="1">
        <v>43480</v>
      </c>
      <c r="E545" t="str">
        <f>"107453"</f>
        <v>107453</v>
      </c>
      <c r="F545" t="str">
        <f>"NOTICE OF VIOLATION-DEV SVCS"</f>
        <v>NOTICE OF VIOLATION-DEV SVCS</v>
      </c>
      <c r="G545" s="2">
        <v>126.4</v>
      </c>
      <c r="H545" t="str">
        <f>"NOTICE OF VIOLATION-DEV SVCS"</f>
        <v>NOTICE OF VIOLATION-DEV SVCS</v>
      </c>
    </row>
    <row r="546" spans="1:8" x14ac:dyDescent="0.25">
      <c r="E546" t="str">
        <f>"GC 107415"</f>
        <v>GC 107415</v>
      </c>
      <c r="F546" t="str">
        <f>"INV GC 107415"</f>
        <v>INV GC 107415</v>
      </c>
      <c r="G546" s="2">
        <v>40.96</v>
      </c>
      <c r="H546" t="str">
        <f>"INV GC 107415"</f>
        <v>INV GC 107415</v>
      </c>
    </row>
    <row r="547" spans="1:8" x14ac:dyDescent="0.25">
      <c r="E547" t="str">
        <f>"GC 107416"</f>
        <v>GC 107416</v>
      </c>
      <c r="F547" t="str">
        <f>"INV GC 107416"</f>
        <v>INV GC 107416</v>
      </c>
      <c r="G547" s="2">
        <v>48.77</v>
      </c>
      <c r="H547" t="str">
        <f>"INV GC 107416"</f>
        <v>INV GC 107416</v>
      </c>
    </row>
    <row r="548" spans="1:8" x14ac:dyDescent="0.25">
      <c r="A548" t="s">
        <v>178</v>
      </c>
      <c r="B548">
        <v>380</v>
      </c>
      <c r="C548" s="2">
        <v>150.6</v>
      </c>
      <c r="D548" s="1">
        <v>43494</v>
      </c>
      <c r="E548" t="str">
        <f>"107525"</f>
        <v>107525</v>
      </c>
      <c r="F548" t="str">
        <f>"REGULAR ENVELOPES"</f>
        <v>REGULAR ENVELOPES</v>
      </c>
      <c r="G548" s="2">
        <v>65.209999999999994</v>
      </c>
      <c r="H548" t="str">
        <f>"REGULAR ENVELOPES"</f>
        <v>REGULAR ENVELOPES</v>
      </c>
    </row>
    <row r="549" spans="1:8" x14ac:dyDescent="0.25">
      <c r="E549" t="str">
        <f>"107615"</f>
        <v>107615</v>
      </c>
      <c r="F549" t="str">
        <f>"ENVELOPES/PCT#4"</f>
        <v>ENVELOPES/PCT#4</v>
      </c>
      <c r="G549" s="2">
        <v>44.43</v>
      </c>
      <c r="H549" t="str">
        <f>"ENVELOPES/PCT#4"</f>
        <v>ENVELOPES/PCT#4</v>
      </c>
    </row>
    <row r="550" spans="1:8" x14ac:dyDescent="0.25">
      <c r="E550" t="str">
        <f>"GC 107574"</f>
        <v>GC 107574</v>
      </c>
      <c r="F550" t="str">
        <f>"INV GC 107574"</f>
        <v>INV GC 107574</v>
      </c>
      <c r="G550" s="2">
        <v>40.96</v>
      </c>
      <c r="H550" t="str">
        <f>"INV GC 107574"</f>
        <v>INV GC 107574</v>
      </c>
    </row>
    <row r="551" spans="1:8" x14ac:dyDescent="0.25">
      <c r="A551" t="s">
        <v>179</v>
      </c>
      <c r="B551">
        <v>80380</v>
      </c>
      <c r="C551" s="2">
        <v>1207.42</v>
      </c>
      <c r="D551" s="1">
        <v>43479</v>
      </c>
      <c r="E551" t="str">
        <f>"201901096513"</f>
        <v>201901096513</v>
      </c>
      <c r="F551" t="str">
        <f>"GARLAND T MURLEY"</f>
        <v>GARLAND T MURLEY</v>
      </c>
      <c r="G551" s="2">
        <v>1207.42</v>
      </c>
      <c r="H551" t="str">
        <f>""</f>
        <v/>
      </c>
    </row>
    <row r="552" spans="1:8" x14ac:dyDescent="0.25">
      <c r="A552" t="s">
        <v>179</v>
      </c>
      <c r="B552">
        <v>80698</v>
      </c>
      <c r="C552" s="2">
        <v>979.24</v>
      </c>
      <c r="D552" s="1">
        <v>43493</v>
      </c>
      <c r="E552" t="str">
        <f>"357490"</f>
        <v>357490</v>
      </c>
      <c r="F552" t="str">
        <f>"INV 357490"</f>
        <v>INV 357490</v>
      </c>
      <c r="G552" s="2">
        <v>979.24</v>
      </c>
      <c r="H552" t="str">
        <f>"INV 357490"</f>
        <v>INV 357490</v>
      </c>
    </row>
    <row r="553" spans="1:8" x14ac:dyDescent="0.25">
      <c r="A553" t="s">
        <v>180</v>
      </c>
      <c r="B553">
        <v>334</v>
      </c>
      <c r="C553" s="2">
        <v>533.5</v>
      </c>
      <c r="D553" s="1">
        <v>43480</v>
      </c>
      <c r="E553" t="str">
        <f>"201901076401"</f>
        <v>201901076401</v>
      </c>
      <c r="F553" t="str">
        <f>"INV"</f>
        <v>INV</v>
      </c>
      <c r="G553" s="2">
        <v>533.5</v>
      </c>
      <c r="H553" t="str">
        <f>"INV"</f>
        <v>INV</v>
      </c>
    </row>
    <row r="554" spans="1:8" x14ac:dyDescent="0.25">
      <c r="E554" t="str">
        <f>""</f>
        <v/>
      </c>
      <c r="F554" t="str">
        <f>""</f>
        <v/>
      </c>
      <c r="H554" t="str">
        <f>"INV"</f>
        <v>INV</v>
      </c>
    </row>
    <row r="555" spans="1:8" x14ac:dyDescent="0.25">
      <c r="A555" t="s">
        <v>180</v>
      </c>
      <c r="B555">
        <v>393</v>
      </c>
      <c r="C555" s="2">
        <v>46.54</v>
      </c>
      <c r="D555" s="1">
        <v>43494</v>
      </c>
      <c r="E555" t="str">
        <f>"201901236748"</f>
        <v>201901236748</v>
      </c>
      <c r="F555" t="str">
        <f>"County Jacket for Mary"</f>
        <v>County Jacket for Mary</v>
      </c>
      <c r="G555" s="2">
        <v>46.54</v>
      </c>
      <c r="H555" t="str">
        <f>"L"</f>
        <v>L</v>
      </c>
    </row>
    <row r="556" spans="1:8" x14ac:dyDescent="0.25">
      <c r="A556" t="s">
        <v>181</v>
      </c>
      <c r="B556">
        <v>80381</v>
      </c>
      <c r="C556" s="2">
        <v>9705.5</v>
      </c>
      <c r="D556" s="1">
        <v>43479</v>
      </c>
      <c r="E556" t="str">
        <f>"6"</f>
        <v>6</v>
      </c>
      <c r="F556" t="str">
        <f>"15 914"</f>
        <v>15 914</v>
      </c>
      <c r="G556" s="2">
        <v>9705.5</v>
      </c>
      <c r="H556" t="str">
        <f>"15 914"</f>
        <v>15 914</v>
      </c>
    </row>
    <row r="557" spans="1:8" x14ac:dyDescent="0.25">
      <c r="A557" t="s">
        <v>182</v>
      </c>
      <c r="B557">
        <v>80382</v>
      </c>
      <c r="C557" s="2">
        <v>619.82000000000005</v>
      </c>
      <c r="D557" s="1">
        <v>43479</v>
      </c>
      <c r="E557" t="str">
        <f>"9039454229"</f>
        <v>9039454229</v>
      </c>
      <c r="F557" t="str">
        <f>"INV 9039454229"</f>
        <v>INV 9039454229</v>
      </c>
      <c r="G557" s="2">
        <v>619.82000000000005</v>
      </c>
      <c r="H557" t="str">
        <f>"INV 9039454229"</f>
        <v>INV 9039454229</v>
      </c>
    </row>
    <row r="558" spans="1:8" x14ac:dyDescent="0.25">
      <c r="A558" t="s">
        <v>183</v>
      </c>
      <c r="B558">
        <v>80700</v>
      </c>
      <c r="C558" s="2">
        <v>81152</v>
      </c>
      <c r="D558" s="1">
        <v>43493</v>
      </c>
      <c r="E558" t="str">
        <f>"273072"</f>
        <v>273072</v>
      </c>
      <c r="F558" t="str">
        <f>"Dodge Truck 1 ton"</f>
        <v>Dodge Truck 1 ton</v>
      </c>
      <c r="G558" s="2">
        <v>81152</v>
      </c>
      <c r="H558" t="str">
        <f>"Dodge Truck 1 ton"</f>
        <v>Dodge Truck 1 ton</v>
      </c>
    </row>
    <row r="559" spans="1:8" x14ac:dyDescent="0.25">
      <c r="E559" t="str">
        <f>""</f>
        <v/>
      </c>
      <c r="F559" t="str">
        <f>""</f>
        <v/>
      </c>
      <c r="H559" t="str">
        <f>"delivery charge"</f>
        <v>delivery charge</v>
      </c>
    </row>
    <row r="560" spans="1:8" x14ac:dyDescent="0.25">
      <c r="E560" t="str">
        <f>""</f>
        <v/>
      </c>
      <c r="F560" t="str">
        <f>""</f>
        <v/>
      </c>
      <c r="H560" t="str">
        <f>"buyboard charge"</f>
        <v>buyboard charge</v>
      </c>
    </row>
    <row r="561" spans="1:8" x14ac:dyDescent="0.25">
      <c r="A561" t="s">
        <v>184</v>
      </c>
      <c r="B561">
        <v>80383</v>
      </c>
      <c r="C561" s="2">
        <v>50</v>
      </c>
      <c r="D561" s="1">
        <v>43479</v>
      </c>
      <c r="E561" t="str">
        <f>"4949"</f>
        <v>4949</v>
      </c>
      <c r="F561" t="str">
        <f>"2019 MEMBERSHIP DUES"</f>
        <v>2019 MEMBERSHIP DUES</v>
      </c>
      <c r="G561" s="2">
        <v>50</v>
      </c>
      <c r="H561" t="str">
        <f>"2019 MEMBERSHIP DUES"</f>
        <v>2019 MEMBERSHIP DUES</v>
      </c>
    </row>
    <row r="562" spans="1:8" x14ac:dyDescent="0.25">
      <c r="A562" t="s">
        <v>185</v>
      </c>
      <c r="B562">
        <v>80384</v>
      </c>
      <c r="C562" s="2">
        <v>34756.75</v>
      </c>
      <c r="D562" s="1">
        <v>43479</v>
      </c>
      <c r="E562" t="str">
        <f>"1"</f>
        <v>1</v>
      </c>
      <c r="F562" t="str">
        <f>"EXPERT SVCS 11/01-11/30"</f>
        <v>EXPERT SVCS 11/01-11/30</v>
      </c>
      <c r="G562" s="2">
        <v>9310</v>
      </c>
      <c r="H562" t="str">
        <f>"EXPERT SVCS 11/01-11/30"</f>
        <v>EXPERT SVCS 11/01-11/30</v>
      </c>
    </row>
    <row r="563" spans="1:8" x14ac:dyDescent="0.25">
      <c r="E563" t="str">
        <f>"1  11/01/18"</f>
        <v>1  11/01/18</v>
      </c>
      <c r="F563" t="str">
        <f>"EXPERT SVCS 09/12-10/31"</f>
        <v>EXPERT SVCS 09/12-10/31</v>
      </c>
      <c r="G563" s="2">
        <v>25446.75</v>
      </c>
      <c r="H563" t="str">
        <f>"EXPERT SVCS 09/12-10/31"</f>
        <v>EXPERT SVCS 09/12-10/31</v>
      </c>
    </row>
    <row r="564" spans="1:8" x14ac:dyDescent="0.25">
      <c r="A564" t="s">
        <v>185</v>
      </c>
      <c r="B564">
        <v>80701</v>
      </c>
      <c r="C564" s="2">
        <v>9257.5</v>
      </c>
      <c r="D564" s="1">
        <v>43493</v>
      </c>
      <c r="E564" t="str">
        <f>"3"</f>
        <v>3</v>
      </c>
      <c r="F564" t="str">
        <f>"EXPERT SVCS 12/01-12/31"</f>
        <v>EXPERT SVCS 12/01-12/31</v>
      </c>
      <c r="G564" s="2">
        <v>9257.5</v>
      </c>
      <c r="H564" t="str">
        <f>"EXPERT SVCS 12/01-12/31"</f>
        <v>EXPERT SVCS 12/01-12/31</v>
      </c>
    </row>
    <row r="565" spans="1:8" x14ac:dyDescent="0.25">
      <c r="A565" t="s">
        <v>186</v>
      </c>
      <c r="B565">
        <v>318</v>
      </c>
      <c r="C565" s="2">
        <v>3385.71</v>
      </c>
      <c r="D565" s="1">
        <v>43480</v>
      </c>
      <c r="E565" t="str">
        <f>"0688571"</f>
        <v>0688571</v>
      </c>
      <c r="F565" t="str">
        <f>"INV 0688571"</f>
        <v>INV 0688571</v>
      </c>
      <c r="G565" s="2">
        <v>3121.78</v>
      </c>
      <c r="H565" t="str">
        <f>"INV 0688571"</f>
        <v>INV 0688571</v>
      </c>
    </row>
    <row r="566" spans="1:8" x14ac:dyDescent="0.25">
      <c r="E566" t="str">
        <f>""</f>
        <v/>
      </c>
      <c r="F566" t="str">
        <f>""</f>
        <v/>
      </c>
      <c r="H566" t="str">
        <f>"INV 0688571 - STRION"</f>
        <v>INV 0688571 - STRION</v>
      </c>
    </row>
    <row r="567" spans="1:8" x14ac:dyDescent="0.25">
      <c r="E567" t="str">
        <f>"0689739"</f>
        <v>0689739</v>
      </c>
      <c r="F567" t="str">
        <f>"INV 0689739"</f>
        <v>INV 0689739</v>
      </c>
      <c r="G567" s="2">
        <v>233.94</v>
      </c>
      <c r="H567" t="str">
        <f>"INV 0689739"</f>
        <v>INV 0689739</v>
      </c>
    </row>
    <row r="568" spans="1:8" x14ac:dyDescent="0.25">
      <c r="E568" t="str">
        <f>"INV0689380"</f>
        <v>INV0689380</v>
      </c>
      <c r="F568" t="str">
        <f>"CUST ID#000825"</f>
        <v>CUST ID#000825</v>
      </c>
      <c r="G568" s="2">
        <v>29.99</v>
      </c>
      <c r="H568" t="str">
        <f>"CUST ID#000825"</f>
        <v>CUST ID#000825</v>
      </c>
    </row>
    <row r="569" spans="1:8" x14ac:dyDescent="0.25">
      <c r="A569" t="s">
        <v>186</v>
      </c>
      <c r="B569">
        <v>381</v>
      </c>
      <c r="C569" s="2">
        <v>6104.53</v>
      </c>
      <c r="D569" s="1">
        <v>43494</v>
      </c>
      <c r="E569" t="str">
        <f>"INV0693525 INV0691"</f>
        <v>INV0693525 INV0691</v>
      </c>
      <c r="F569" t="str">
        <f>"INV0693525"</f>
        <v>INV0693525</v>
      </c>
      <c r="G569" s="2">
        <v>6104.53</v>
      </c>
      <c r="H569" t="str">
        <f>"INV0693525"</f>
        <v>INV0693525</v>
      </c>
    </row>
    <row r="570" spans="1:8" x14ac:dyDescent="0.25">
      <c r="E570" t="str">
        <f>""</f>
        <v/>
      </c>
      <c r="F570" t="str">
        <f>""</f>
        <v/>
      </c>
      <c r="H570" t="str">
        <f>"INV0691251"</f>
        <v>INV0691251</v>
      </c>
    </row>
    <row r="571" spans="1:8" x14ac:dyDescent="0.25">
      <c r="A571" t="s">
        <v>187</v>
      </c>
      <c r="B571">
        <v>333</v>
      </c>
      <c r="C571" s="2">
        <v>2939.71</v>
      </c>
      <c r="D571" s="1">
        <v>43480</v>
      </c>
      <c r="E571" t="str">
        <f>"1602311  1608996"</f>
        <v>1602311  1608996</v>
      </c>
      <c r="F571" t="str">
        <f>"JANITORIAL SUPPLIES"</f>
        <v>JANITORIAL SUPPLIES</v>
      </c>
      <c r="G571" s="2">
        <v>1172.3800000000001</v>
      </c>
      <c r="H571" t="str">
        <f>"GP89480"</f>
        <v>GP89480</v>
      </c>
    </row>
    <row r="572" spans="1:8" x14ac:dyDescent="0.25">
      <c r="E572" t="str">
        <f>""</f>
        <v/>
      </c>
      <c r="F572" t="str">
        <f>""</f>
        <v/>
      </c>
      <c r="H572" t="str">
        <f>"GP19375"</f>
        <v>GP19375</v>
      </c>
    </row>
    <row r="573" spans="1:8" x14ac:dyDescent="0.25">
      <c r="E573" t="str">
        <f>""</f>
        <v/>
      </c>
      <c r="F573" t="str">
        <f>""</f>
        <v/>
      </c>
      <c r="H573" t="str">
        <f>"GP42714"</f>
        <v>GP42714</v>
      </c>
    </row>
    <row r="574" spans="1:8" x14ac:dyDescent="0.25">
      <c r="E574" t="str">
        <f>""</f>
        <v/>
      </c>
      <c r="F574" t="str">
        <f>""</f>
        <v/>
      </c>
      <c r="H574" t="str">
        <f>"GP42334"</f>
        <v>GP42334</v>
      </c>
    </row>
    <row r="575" spans="1:8" x14ac:dyDescent="0.25">
      <c r="E575" t="str">
        <f>""</f>
        <v/>
      </c>
      <c r="F575" t="str">
        <f>""</f>
        <v/>
      </c>
      <c r="H575" t="str">
        <f>"63CL"</f>
        <v>63CL</v>
      </c>
    </row>
    <row r="576" spans="1:8" x14ac:dyDescent="0.25">
      <c r="E576" t="str">
        <f>""</f>
        <v/>
      </c>
      <c r="F576" t="str">
        <f>""</f>
        <v/>
      </c>
      <c r="H576" t="str">
        <f>"32ROUNDC"</f>
        <v>32ROUNDC</v>
      </c>
    </row>
    <row r="577" spans="1:8" x14ac:dyDescent="0.25">
      <c r="E577" t="str">
        <f>""</f>
        <v/>
      </c>
      <c r="F577" t="str">
        <f>""</f>
        <v/>
      </c>
      <c r="H577" t="str">
        <f>"13TOFFC"</f>
        <v>13TOFFC</v>
      </c>
    </row>
    <row r="578" spans="1:8" x14ac:dyDescent="0.25">
      <c r="E578" t="str">
        <f>""</f>
        <v/>
      </c>
      <c r="F578" t="str">
        <f>""</f>
        <v/>
      </c>
      <c r="H578" t="str">
        <f>"GP12798"</f>
        <v>GP12798</v>
      </c>
    </row>
    <row r="579" spans="1:8" x14ac:dyDescent="0.25">
      <c r="E579" t="str">
        <f>""</f>
        <v/>
      </c>
      <c r="F579" t="str">
        <f>""</f>
        <v/>
      </c>
      <c r="H579" t="str">
        <f>"CREWBOWLCLN"</f>
        <v>CREWBOWLCLN</v>
      </c>
    </row>
    <row r="580" spans="1:8" x14ac:dyDescent="0.25">
      <c r="E580" t="str">
        <f>"1605770"</f>
        <v>1605770</v>
      </c>
      <c r="F580" t="str">
        <f>"INV 1605770"</f>
        <v>INV 1605770</v>
      </c>
      <c r="G580" s="2">
        <v>183.3</v>
      </c>
      <c r="H580" t="str">
        <f>"INV 1605770"</f>
        <v>INV 1605770</v>
      </c>
    </row>
    <row r="581" spans="1:8" x14ac:dyDescent="0.25">
      <c r="E581" t="str">
        <f>"1605771"</f>
        <v>1605771</v>
      </c>
      <c r="F581" t="str">
        <f>"INV 1605771"</f>
        <v>INV 1605771</v>
      </c>
      <c r="G581" s="2">
        <v>1319.85</v>
      </c>
      <c r="H581" t="str">
        <f>"INV 1605771"</f>
        <v>INV 1605771</v>
      </c>
    </row>
    <row r="582" spans="1:8" x14ac:dyDescent="0.25">
      <c r="E582" t="str">
        <f>"1606608  1608997"</f>
        <v>1606608  1608997</v>
      </c>
      <c r="F582" t="str">
        <f>"JANITORIAL SUPPLIES"</f>
        <v>JANITORIAL SUPPLIES</v>
      </c>
      <c r="G582" s="2">
        <v>264.18</v>
      </c>
      <c r="H582" t="str">
        <f>"20C"</f>
        <v>20C</v>
      </c>
    </row>
    <row r="583" spans="1:8" x14ac:dyDescent="0.25">
      <c r="E583" t="str">
        <f>""</f>
        <v/>
      </c>
      <c r="F583" t="str">
        <f>""</f>
        <v/>
      </c>
      <c r="H583" t="str">
        <f>"GP42334"</f>
        <v>GP42334</v>
      </c>
    </row>
    <row r="584" spans="1:8" x14ac:dyDescent="0.25">
      <c r="A584" t="s">
        <v>187</v>
      </c>
      <c r="B584">
        <v>392</v>
      </c>
      <c r="C584" s="2">
        <v>2499.6799999999998</v>
      </c>
      <c r="D584" s="1">
        <v>43494</v>
      </c>
      <c r="E584" t="str">
        <f>"1592248"</f>
        <v>1592248</v>
      </c>
      <c r="F584" t="str">
        <f>"INV 1592248"</f>
        <v>INV 1592248</v>
      </c>
      <c r="G584" s="2">
        <v>436.17</v>
      </c>
      <c r="H584" t="str">
        <f>"INV 1592248"</f>
        <v>INV 1592248</v>
      </c>
    </row>
    <row r="585" spans="1:8" x14ac:dyDescent="0.25">
      <c r="E585" t="str">
        <f>"1604857 1608998"</f>
        <v>1604857 1608998</v>
      </c>
      <c r="F585" t="str">
        <f>"JANITORIAL SUPPLIES"</f>
        <v>JANITORIAL SUPPLIES</v>
      </c>
      <c r="G585" s="2">
        <v>686.96</v>
      </c>
      <c r="H585" t="str">
        <f>"GP89480"</f>
        <v>GP89480</v>
      </c>
    </row>
    <row r="586" spans="1:8" x14ac:dyDescent="0.25">
      <c r="E586" t="str">
        <f>""</f>
        <v/>
      </c>
      <c r="F586" t="str">
        <f>""</f>
        <v/>
      </c>
      <c r="H586" t="str">
        <f>"GP19375"</f>
        <v>GP19375</v>
      </c>
    </row>
    <row r="587" spans="1:8" x14ac:dyDescent="0.25">
      <c r="E587" t="str">
        <f>""</f>
        <v/>
      </c>
      <c r="F587" t="str">
        <f>""</f>
        <v/>
      </c>
      <c r="H587" t="str">
        <f>"GP42714"</f>
        <v>GP42714</v>
      </c>
    </row>
    <row r="588" spans="1:8" x14ac:dyDescent="0.25">
      <c r="E588" t="str">
        <f>""</f>
        <v/>
      </c>
      <c r="F588" t="str">
        <f>""</f>
        <v/>
      </c>
      <c r="H588" t="str">
        <f>"GP42334"</f>
        <v>GP42334</v>
      </c>
    </row>
    <row r="589" spans="1:8" x14ac:dyDescent="0.25">
      <c r="E589" t="str">
        <f>""</f>
        <v/>
      </c>
      <c r="F589" t="str">
        <f>""</f>
        <v/>
      </c>
      <c r="H589" t="str">
        <f>"GP16560"</f>
        <v>GP16560</v>
      </c>
    </row>
    <row r="590" spans="1:8" x14ac:dyDescent="0.25">
      <c r="E590" t="str">
        <f>"1612614"</f>
        <v>1612614</v>
      </c>
      <c r="F590" t="str">
        <f>"INV 1612614"</f>
        <v>INV 1612614</v>
      </c>
      <c r="G590" s="2">
        <v>1376.55</v>
      </c>
      <c r="H590" t="str">
        <f>"INV 1612614"</f>
        <v>INV 1612614</v>
      </c>
    </row>
    <row r="591" spans="1:8" x14ac:dyDescent="0.25">
      <c r="A591" t="s">
        <v>188</v>
      </c>
      <c r="B591">
        <v>330</v>
      </c>
      <c r="C591" s="2">
        <v>50</v>
      </c>
      <c r="D591" s="1">
        <v>43480</v>
      </c>
      <c r="E591" t="str">
        <f>"821634"</f>
        <v>821634</v>
      </c>
      <c r="F591" t="str">
        <f>"ACCT#55026/FILTER DRUMS/PCT#4"</f>
        <v>ACCT#55026/FILTER DRUMS/PCT#4</v>
      </c>
      <c r="G591" s="2">
        <v>50</v>
      </c>
      <c r="H591" t="str">
        <f>"ACCT#55026/FILTER DRUMS/PCT#4"</f>
        <v>ACCT#55026/FILTER DRUMS/PCT#4</v>
      </c>
    </row>
    <row r="592" spans="1:8" x14ac:dyDescent="0.25">
      <c r="A592" t="s">
        <v>189</v>
      </c>
      <c r="B592">
        <v>80385</v>
      </c>
      <c r="C592" s="2">
        <v>5915.5</v>
      </c>
      <c r="D592" s="1">
        <v>43479</v>
      </c>
      <c r="E592" t="str">
        <f>"00015033"</f>
        <v>00015033</v>
      </c>
      <c r="F592" t="str">
        <f>"PROJ#033387.006/PCT#2 FLOOD"</f>
        <v>PROJ#033387.006/PCT#2 FLOOD</v>
      </c>
      <c r="G592" s="2">
        <v>2685.5</v>
      </c>
      <c r="H592" t="str">
        <f>"PROJ#033387.006/PCT#2 FLOOD"</f>
        <v>PROJ#033387.006/PCT#2 FLOOD</v>
      </c>
    </row>
    <row r="593" spans="1:8" x14ac:dyDescent="0.25">
      <c r="E593" t="str">
        <f>"00018962"</f>
        <v>00018962</v>
      </c>
      <c r="F593" t="str">
        <f>"PROJ#032285.005"</f>
        <v>PROJ#032285.005</v>
      </c>
      <c r="G593" s="2">
        <v>3230</v>
      </c>
      <c r="H593" t="str">
        <f>"PROJ#032285.005"</f>
        <v>PROJ#032285.005</v>
      </c>
    </row>
    <row r="594" spans="1:8" x14ac:dyDescent="0.25">
      <c r="A594" t="s">
        <v>189</v>
      </c>
      <c r="B594">
        <v>80702</v>
      </c>
      <c r="C594" s="2">
        <v>9095</v>
      </c>
      <c r="D594" s="1">
        <v>43493</v>
      </c>
      <c r="E594" t="str">
        <f>"00019860"</f>
        <v>00019860</v>
      </c>
      <c r="F594" t="str">
        <f>"PROJ#032285.004"</f>
        <v>PROJ#032285.004</v>
      </c>
      <c r="G594" s="2">
        <v>5885</v>
      </c>
      <c r="H594" t="str">
        <f>"PROJ#032285.004"</f>
        <v>PROJ#032285.004</v>
      </c>
    </row>
    <row r="595" spans="1:8" x14ac:dyDescent="0.25">
      <c r="E595" t="str">
        <f>"00019861"</f>
        <v>00019861</v>
      </c>
      <c r="F595" t="str">
        <f>"PROJ#032285.005/PCT#1"</f>
        <v>PROJ#032285.005/PCT#1</v>
      </c>
      <c r="G595" s="2">
        <v>1705</v>
      </c>
      <c r="H595" t="str">
        <f>"PROJ#032285.005/PCT#1"</f>
        <v>PROJ#032285.005/PCT#1</v>
      </c>
    </row>
    <row r="596" spans="1:8" x14ac:dyDescent="0.25">
      <c r="E596" t="str">
        <f>"00019862"</f>
        <v>00019862</v>
      </c>
      <c r="F596" t="str">
        <f>"PROJ#032285.006"</f>
        <v>PROJ#032285.006</v>
      </c>
      <c r="G596" s="2">
        <v>385</v>
      </c>
      <c r="H596" t="str">
        <f>"PROJ#032285.006"</f>
        <v>PROJ#032285.006</v>
      </c>
    </row>
    <row r="597" spans="1:8" x14ac:dyDescent="0.25">
      <c r="E597" t="str">
        <f>"00019865"</f>
        <v>00019865</v>
      </c>
      <c r="F597" t="str">
        <f>"PROJ#033387.005"</f>
        <v>PROJ#033387.005</v>
      </c>
      <c r="G597" s="2">
        <v>305</v>
      </c>
      <c r="H597" t="str">
        <f>"PROJ#033387.005"</f>
        <v>PROJ#033387.005</v>
      </c>
    </row>
    <row r="598" spans="1:8" x14ac:dyDescent="0.25">
      <c r="E598" t="str">
        <f>"00019866"</f>
        <v>00019866</v>
      </c>
      <c r="F598" t="str">
        <f>"PROJ#033387.006"</f>
        <v>PROJ#033387.006</v>
      </c>
      <c r="G598" s="2">
        <v>395</v>
      </c>
      <c r="H598" t="str">
        <f>"PROJ#033387.006"</f>
        <v>PROJ#033387.006</v>
      </c>
    </row>
    <row r="599" spans="1:8" x14ac:dyDescent="0.25">
      <c r="E599" t="str">
        <f>"00019867"</f>
        <v>00019867</v>
      </c>
      <c r="F599" t="str">
        <f>"PROJ#033387.007"</f>
        <v>PROJ#033387.007</v>
      </c>
      <c r="G599" s="2">
        <v>420</v>
      </c>
      <c r="H599" t="str">
        <f>"PROJ#033387.007"</f>
        <v>PROJ#033387.007</v>
      </c>
    </row>
    <row r="600" spans="1:8" x14ac:dyDescent="0.25">
      <c r="A600" t="s">
        <v>190</v>
      </c>
      <c r="B600">
        <v>80386</v>
      </c>
      <c r="C600" s="2">
        <v>3051.35</v>
      </c>
      <c r="D600" s="1">
        <v>43479</v>
      </c>
      <c r="E600" t="str">
        <f>"4457*06026*1"</f>
        <v>4457*06026*1</v>
      </c>
      <c r="F600" t="str">
        <f>"JAIL MEDICAL"</f>
        <v>JAIL MEDICAL</v>
      </c>
      <c r="G600" s="2">
        <v>3051.35</v>
      </c>
      <c r="H600" t="str">
        <f>"JAIL MEDICAL"</f>
        <v>JAIL MEDICAL</v>
      </c>
    </row>
    <row r="601" spans="1:8" x14ac:dyDescent="0.25">
      <c r="A601" t="s">
        <v>191</v>
      </c>
      <c r="B601">
        <v>80387</v>
      </c>
      <c r="C601" s="2">
        <v>387.32</v>
      </c>
      <c r="D601" s="1">
        <v>43479</v>
      </c>
      <c r="E601" t="str">
        <f>"24408"</f>
        <v>24408</v>
      </c>
      <c r="F601" t="str">
        <f>"ACCT#937/PCT#3"</f>
        <v>ACCT#937/PCT#3</v>
      </c>
      <c r="G601" s="2">
        <v>387.32</v>
      </c>
      <c r="H601" t="str">
        <f>"ACCT#937/PCT#3"</f>
        <v>ACCT#937/PCT#3</v>
      </c>
    </row>
    <row r="602" spans="1:8" x14ac:dyDescent="0.25">
      <c r="A602" t="s">
        <v>191</v>
      </c>
      <c r="B602">
        <v>80703</v>
      </c>
      <c r="C602" s="2">
        <v>9355.25</v>
      </c>
      <c r="D602" s="1">
        <v>43493</v>
      </c>
      <c r="E602" t="str">
        <f>"24421"</f>
        <v>24421</v>
      </c>
      <c r="F602" t="str">
        <f>"ACCT#954/RIP RAP/PCT#2"</f>
        <v>ACCT#954/RIP RAP/PCT#2</v>
      </c>
      <c r="G602" s="2">
        <v>1511.68</v>
      </c>
      <c r="H602" t="str">
        <f>"ACCT#954/RIP RAP/PCT#2"</f>
        <v>ACCT#954/RIP RAP/PCT#2</v>
      </c>
    </row>
    <row r="603" spans="1:8" x14ac:dyDescent="0.25">
      <c r="E603" t="str">
        <f>"24472"</f>
        <v>24472</v>
      </c>
      <c r="F603" t="str">
        <f>"ACCT#937/PCT#3"</f>
        <v>ACCT#937/PCT#3</v>
      </c>
      <c r="G603" s="2">
        <v>1531.57</v>
      </c>
      <c r="H603" t="str">
        <f>"ACCT#937/PCT#3"</f>
        <v>ACCT#937/PCT#3</v>
      </c>
    </row>
    <row r="604" spans="1:8" x14ac:dyDescent="0.25">
      <c r="E604" t="str">
        <f>"24473"</f>
        <v>24473</v>
      </c>
      <c r="F604" t="str">
        <f>"ACCT#954/RIP RAP/PCT#2"</f>
        <v>ACCT#954/RIP RAP/PCT#2</v>
      </c>
      <c r="G604" s="2">
        <v>6312</v>
      </c>
      <c r="H604" t="str">
        <f>"ACCT#954/RIP RAP/PCT#2"</f>
        <v>ACCT#954/RIP RAP/PCT#2</v>
      </c>
    </row>
    <row r="605" spans="1:8" x14ac:dyDescent="0.25">
      <c r="A605" t="s">
        <v>192</v>
      </c>
      <c r="B605">
        <v>80704</v>
      </c>
      <c r="C605" s="2">
        <v>629</v>
      </c>
      <c r="D605" s="1">
        <v>43493</v>
      </c>
      <c r="E605" t="str">
        <f>"42788"</f>
        <v>42788</v>
      </c>
      <c r="F605" t="str">
        <f>"SCHEDULE OF FINES"</f>
        <v>SCHEDULE OF FINES</v>
      </c>
      <c r="G605" s="2">
        <v>629</v>
      </c>
      <c r="H605" t="str">
        <f>"SCHEDULE OF FINES"</f>
        <v>SCHEDULE OF FINES</v>
      </c>
    </row>
    <row r="606" spans="1:8" x14ac:dyDescent="0.25">
      <c r="E606" t="str">
        <f>""</f>
        <v/>
      </c>
      <c r="F606" t="str">
        <f>""</f>
        <v/>
      </c>
      <c r="H606" t="str">
        <f>"SCHEDULE OF FINES"</f>
        <v>SCHEDULE OF FINES</v>
      </c>
    </row>
    <row r="607" spans="1:8" x14ac:dyDescent="0.25">
      <c r="E607" t="str">
        <f>""</f>
        <v/>
      </c>
      <c r="F607" t="str">
        <f>""</f>
        <v/>
      </c>
      <c r="H607" t="str">
        <f>"SCHEDULE OF FINES"</f>
        <v>SCHEDULE OF FINES</v>
      </c>
    </row>
    <row r="608" spans="1:8" x14ac:dyDescent="0.25">
      <c r="E608" t="str">
        <f>""</f>
        <v/>
      </c>
      <c r="F608" t="str">
        <f>""</f>
        <v/>
      </c>
      <c r="H608" t="str">
        <f>"SCHEDULE OF FINES"</f>
        <v>SCHEDULE OF FINES</v>
      </c>
    </row>
    <row r="609" spans="1:9" x14ac:dyDescent="0.25">
      <c r="A609" t="s">
        <v>193</v>
      </c>
      <c r="B609">
        <v>80388</v>
      </c>
      <c r="C609" s="2">
        <v>2914.46</v>
      </c>
      <c r="D609" s="1">
        <v>43479</v>
      </c>
      <c r="E609" t="str">
        <f>"PM83526"</f>
        <v>PM83526</v>
      </c>
      <c r="F609" t="str">
        <f t="shared" ref="F609:F614" si="5">"ACCT#68930/ANIMAL SHELTER"</f>
        <v>ACCT#68930/ANIMAL SHELTER</v>
      </c>
      <c r="G609" s="2">
        <v>183.28</v>
      </c>
      <c r="H609" t="str">
        <f t="shared" ref="H609:H614" si="6">"ACCT#68930/ANIMAL SHELTER"</f>
        <v>ACCT#68930/ANIMAL SHELTER</v>
      </c>
    </row>
    <row r="610" spans="1:9" x14ac:dyDescent="0.25">
      <c r="E610" t="str">
        <f>"PN08392"</f>
        <v>PN08392</v>
      </c>
      <c r="F610" t="str">
        <f t="shared" si="5"/>
        <v>ACCT#68930/ANIMAL SHELTER</v>
      </c>
      <c r="G610" s="2">
        <v>1695.5</v>
      </c>
      <c r="H610" t="str">
        <f t="shared" si="6"/>
        <v>ACCT#68930/ANIMAL SHELTER</v>
      </c>
    </row>
    <row r="611" spans="1:9" x14ac:dyDescent="0.25">
      <c r="E611" t="str">
        <f>"PN25451"</f>
        <v>PN25451</v>
      </c>
      <c r="F611" t="str">
        <f t="shared" si="5"/>
        <v>ACCT#68930/ANIMAL SHELTER</v>
      </c>
      <c r="G611" s="2">
        <v>167.97</v>
      </c>
      <c r="H611" t="str">
        <f t="shared" si="6"/>
        <v>ACCT#68930/ANIMAL SHELTER</v>
      </c>
    </row>
    <row r="612" spans="1:9" x14ac:dyDescent="0.25">
      <c r="E612" t="str">
        <f>"PN64346"</f>
        <v>PN64346</v>
      </c>
      <c r="F612" t="str">
        <f t="shared" si="5"/>
        <v>ACCT#68930/ANIMAL SHELTER</v>
      </c>
      <c r="G612" s="2">
        <v>15.9</v>
      </c>
      <c r="H612" t="str">
        <f t="shared" si="6"/>
        <v>ACCT#68930/ANIMAL SHELTER</v>
      </c>
    </row>
    <row r="613" spans="1:9" x14ac:dyDescent="0.25">
      <c r="E613" t="str">
        <f>"PP08419"</f>
        <v>PP08419</v>
      </c>
      <c r="F613" t="str">
        <f t="shared" si="5"/>
        <v>ACCT#68930/ANIMAL SHELTER</v>
      </c>
      <c r="G613" s="2">
        <v>356.55</v>
      </c>
      <c r="H613" t="str">
        <f t="shared" si="6"/>
        <v>ACCT#68930/ANIMAL SHELTER</v>
      </c>
    </row>
    <row r="614" spans="1:9" x14ac:dyDescent="0.25">
      <c r="E614" t="str">
        <f>"PP68563"</f>
        <v>PP68563</v>
      </c>
      <c r="F614" t="str">
        <f t="shared" si="5"/>
        <v>ACCT#68930/ANIMAL SHELTER</v>
      </c>
      <c r="G614" s="2">
        <v>495.26</v>
      </c>
      <c r="H614" t="str">
        <f t="shared" si="6"/>
        <v>ACCT#68930/ANIMAL SHELTER</v>
      </c>
    </row>
    <row r="615" spans="1:9" x14ac:dyDescent="0.25">
      <c r="A615" t="s">
        <v>193</v>
      </c>
      <c r="B615">
        <v>80705</v>
      </c>
      <c r="C615" s="2">
        <v>310.37</v>
      </c>
      <c r="D615" s="1">
        <v>43493</v>
      </c>
      <c r="E615" t="str">
        <f>"PP83803"</f>
        <v>PP83803</v>
      </c>
      <c r="F615" t="str">
        <f>"ACCT#68930/ANIMAL SERVICES"</f>
        <v>ACCT#68930/ANIMAL SERVICES</v>
      </c>
      <c r="G615" s="2">
        <v>104.91</v>
      </c>
      <c r="H615" t="str">
        <f>"ACCT#68930/ANIMAL SERVICES"</f>
        <v>ACCT#68930/ANIMAL SERVICES</v>
      </c>
    </row>
    <row r="616" spans="1:9" x14ac:dyDescent="0.25">
      <c r="E616" t="str">
        <f>"PP92625"</f>
        <v>PP92625</v>
      </c>
      <c r="F616" t="str">
        <f>"ACCT#68930/ANIMAL SVCS"</f>
        <v>ACCT#68930/ANIMAL SVCS</v>
      </c>
      <c r="G616" s="2">
        <v>51.63</v>
      </c>
      <c r="H616" t="str">
        <f>"ACCT#68930/ANIMAL SVCS"</f>
        <v>ACCT#68930/ANIMAL SVCS</v>
      </c>
    </row>
    <row r="617" spans="1:9" x14ac:dyDescent="0.25">
      <c r="E617" t="str">
        <f>"PR55458"</f>
        <v>PR55458</v>
      </c>
      <c r="F617" t="str">
        <f>"ACCT#68930/ANIMAL SVCS"</f>
        <v>ACCT#68930/ANIMAL SVCS</v>
      </c>
      <c r="G617" s="2">
        <v>102.2</v>
      </c>
      <c r="H617" t="str">
        <f>"ACCT#68930/ANIMAL SVCS"</f>
        <v>ACCT#68930/ANIMAL SVCS</v>
      </c>
    </row>
    <row r="618" spans="1:9" x14ac:dyDescent="0.25">
      <c r="E618" t="str">
        <f>"PR61684"</f>
        <v>PR61684</v>
      </c>
      <c r="F618" t="str">
        <f>"ACCT#68930/ANIMAL SERVICES"</f>
        <v>ACCT#68930/ANIMAL SERVICES</v>
      </c>
      <c r="G618" s="2">
        <v>51.63</v>
      </c>
      <c r="H618" t="str">
        <f>"ACCT#68930/ANIMAL SERVICES"</f>
        <v>ACCT#68930/ANIMAL SERVICES</v>
      </c>
    </row>
    <row r="619" spans="1:9" x14ac:dyDescent="0.25">
      <c r="A619" t="s">
        <v>194</v>
      </c>
      <c r="B619">
        <v>80389</v>
      </c>
      <c r="C619" s="2">
        <v>100</v>
      </c>
      <c r="D619" s="1">
        <v>43479</v>
      </c>
      <c r="E619" t="s">
        <v>195</v>
      </c>
      <c r="F619" t="s">
        <v>196</v>
      </c>
      <c r="G619" s="2" t="str">
        <f>"RESTITUTION-MICHAEL FELTS"</f>
        <v>RESTITUTION-MICHAEL FELTS</v>
      </c>
      <c r="H619" t="str">
        <f>"210-0000"</f>
        <v>210-0000</v>
      </c>
      <c r="I619" t="str">
        <f>""</f>
        <v/>
      </c>
    </row>
    <row r="620" spans="1:9" x14ac:dyDescent="0.25">
      <c r="A620" t="s">
        <v>197</v>
      </c>
      <c r="B620">
        <v>319</v>
      </c>
      <c r="C620" s="2">
        <v>650</v>
      </c>
      <c r="D620" s="1">
        <v>43480</v>
      </c>
      <c r="E620" t="str">
        <f>"201901096470"</f>
        <v>201901096470</v>
      </c>
      <c r="F620" t="str">
        <f>"BASCOM L HODGES JR"</f>
        <v>BASCOM L HODGES JR</v>
      </c>
      <c r="G620" s="2">
        <v>650</v>
      </c>
      <c r="H620" t="str">
        <f>""</f>
        <v/>
      </c>
    </row>
    <row r="621" spans="1:9" x14ac:dyDescent="0.25">
      <c r="A621" t="s">
        <v>198</v>
      </c>
      <c r="B621">
        <v>80390</v>
      </c>
      <c r="C621" s="2">
        <v>350</v>
      </c>
      <c r="D621" s="1">
        <v>43479</v>
      </c>
      <c r="E621" t="str">
        <f>"201812286026"</f>
        <v>201812286026</v>
      </c>
      <c r="F621" t="str">
        <f>"423-3900"</f>
        <v>423-3900</v>
      </c>
      <c r="G621" s="2">
        <v>100</v>
      </c>
      <c r="H621" t="str">
        <f>"423-3900"</f>
        <v>423-3900</v>
      </c>
    </row>
    <row r="622" spans="1:9" x14ac:dyDescent="0.25">
      <c r="E622" t="str">
        <f>"201812286027"</f>
        <v>201812286027</v>
      </c>
      <c r="F622" t="str">
        <f>"423-4947"</f>
        <v>423-4947</v>
      </c>
      <c r="G622" s="2">
        <v>100</v>
      </c>
      <c r="H622" t="str">
        <f>"423-4947"</f>
        <v>423-4947</v>
      </c>
    </row>
    <row r="623" spans="1:9" x14ac:dyDescent="0.25">
      <c r="E623" t="str">
        <f>"201901096481"</f>
        <v>201901096481</v>
      </c>
      <c r="F623" t="str">
        <f>"18-19299"</f>
        <v>18-19299</v>
      </c>
      <c r="G623" s="2">
        <v>150</v>
      </c>
      <c r="H623" t="str">
        <f>"18-19299"</f>
        <v>18-19299</v>
      </c>
    </row>
    <row r="624" spans="1:9" x14ac:dyDescent="0.25">
      <c r="A624" t="s">
        <v>198</v>
      </c>
      <c r="B624">
        <v>80706</v>
      </c>
      <c r="C624" s="2">
        <v>500</v>
      </c>
      <c r="D624" s="1">
        <v>43493</v>
      </c>
      <c r="E624" t="str">
        <f>"201901176624"</f>
        <v>201901176624</v>
      </c>
      <c r="F624" t="str">
        <f>"52 677"</f>
        <v>52 677</v>
      </c>
      <c r="G624" s="2">
        <v>250</v>
      </c>
      <c r="H624" t="str">
        <f>"52 677"</f>
        <v>52 677</v>
      </c>
    </row>
    <row r="625" spans="1:8" x14ac:dyDescent="0.25">
      <c r="E625" t="str">
        <f>"201901176627"</f>
        <v>201901176627</v>
      </c>
      <c r="F625" t="str">
        <f>"55 796"</f>
        <v>55 796</v>
      </c>
      <c r="G625" s="2">
        <v>250</v>
      </c>
      <c r="H625" t="str">
        <f>"55 796"</f>
        <v>55 796</v>
      </c>
    </row>
    <row r="626" spans="1:8" x14ac:dyDescent="0.25">
      <c r="A626" t="s">
        <v>199</v>
      </c>
      <c r="B626">
        <v>80707</v>
      </c>
      <c r="C626" s="2">
        <v>5</v>
      </c>
      <c r="D626" s="1">
        <v>43493</v>
      </c>
      <c r="E626" t="str">
        <f>"201901176685"</f>
        <v>201901176685</v>
      </c>
      <c r="F626" t="str">
        <f>"FERAL HOGS"</f>
        <v>FERAL HOGS</v>
      </c>
      <c r="G626" s="2">
        <v>5</v>
      </c>
      <c r="H626" t="str">
        <f>"FERAL HOGS"</f>
        <v>FERAL HOGS</v>
      </c>
    </row>
    <row r="627" spans="1:8" x14ac:dyDescent="0.25">
      <c r="A627" t="s">
        <v>200</v>
      </c>
      <c r="B627">
        <v>80391</v>
      </c>
      <c r="C627" s="2">
        <v>4412.75</v>
      </c>
      <c r="D627" s="1">
        <v>43479</v>
      </c>
      <c r="E627" t="str">
        <f>"WIMA0113703"</f>
        <v>WIMA0113703</v>
      </c>
      <c r="F627" t="str">
        <f>"CUST#0129100/TRAVEL/PCT#2"</f>
        <v>CUST#0129100/TRAVEL/PCT#2</v>
      </c>
      <c r="G627" s="2">
        <v>485</v>
      </c>
      <c r="H627" t="str">
        <f>"CUST#0129100/TRAVEL/PCT#2"</f>
        <v>CUST#0129100/TRAVEL/PCT#2</v>
      </c>
    </row>
    <row r="628" spans="1:8" x14ac:dyDescent="0.25">
      <c r="E628" t="str">
        <f>"WIUS0119452"</f>
        <v>WIUS0119452</v>
      </c>
      <c r="F628" t="str">
        <f>"CUST#0129100/PCT#2"</f>
        <v>CUST#0129100/PCT#2</v>
      </c>
      <c r="G628" s="2">
        <v>1071.49</v>
      </c>
      <c r="H628" t="str">
        <f>"CUST#0129100/PCT#2"</f>
        <v>CUST#0129100/PCT#2</v>
      </c>
    </row>
    <row r="629" spans="1:8" x14ac:dyDescent="0.25">
      <c r="E629" t="str">
        <f>"WIUS0119455/458"</f>
        <v>WIUS0119455/458</v>
      </c>
      <c r="F629" t="str">
        <f>"CUST#0129200/PCT#4"</f>
        <v>CUST#0129200/PCT#4</v>
      </c>
      <c r="G629" s="2">
        <v>2856.26</v>
      </c>
      <c r="H629" t="str">
        <f>"CUST#0129200/PCT#4"</f>
        <v>CUST#0129200/PCT#4</v>
      </c>
    </row>
    <row r="630" spans="1:8" x14ac:dyDescent="0.25">
      <c r="A630" t="s">
        <v>200</v>
      </c>
      <c r="B630">
        <v>80708</v>
      </c>
      <c r="C630" s="2">
        <v>1042.03</v>
      </c>
      <c r="D630" s="1">
        <v>43493</v>
      </c>
      <c r="E630" t="str">
        <f>"PIMA0301411"</f>
        <v>PIMA0301411</v>
      </c>
      <c r="F630" t="str">
        <f>"CUST#0129150/PCT#3"</f>
        <v>CUST#0129150/PCT#3</v>
      </c>
      <c r="G630" s="2">
        <v>748.58</v>
      </c>
      <c r="H630" t="str">
        <f>"CUST#0129150/PCT#3"</f>
        <v>CUST#0129150/PCT#3</v>
      </c>
    </row>
    <row r="631" spans="1:8" x14ac:dyDescent="0.25">
      <c r="E631" t="str">
        <f>"PIMP0295377"</f>
        <v>PIMP0295377</v>
      </c>
      <c r="F631" t="str">
        <f>"CUST#0129050/PCT#1"</f>
        <v>CUST#0129050/PCT#1</v>
      </c>
      <c r="G631" s="2">
        <v>270.99</v>
      </c>
      <c r="H631" t="str">
        <f>"CUST#0129050/PCT#1"</f>
        <v>CUST#0129050/PCT#1</v>
      </c>
    </row>
    <row r="632" spans="1:8" x14ac:dyDescent="0.25">
      <c r="E632" t="str">
        <f>"PIMP0295378"</f>
        <v>PIMP0295378</v>
      </c>
      <c r="F632" t="str">
        <f>"CUST#0129050/PCT#1"</f>
        <v>CUST#0129050/PCT#1</v>
      </c>
      <c r="G632" s="2">
        <v>22.46</v>
      </c>
      <c r="H632" t="str">
        <f>"CUST#0129050/PCT#1"</f>
        <v>CUST#0129050/PCT#1</v>
      </c>
    </row>
    <row r="633" spans="1:8" x14ac:dyDescent="0.25">
      <c r="A633" t="s">
        <v>201</v>
      </c>
      <c r="B633">
        <v>80392</v>
      </c>
      <c r="C633" s="2">
        <v>3135.11</v>
      </c>
      <c r="D633" s="1">
        <v>43479</v>
      </c>
      <c r="E633" t="str">
        <f>"201901076411"</f>
        <v>201901076411</v>
      </c>
      <c r="F633" t="str">
        <f>"Acct# 3780"</f>
        <v>Acct# 3780</v>
      </c>
      <c r="G633" s="2">
        <v>3135.11</v>
      </c>
      <c r="H633" t="str">
        <f>"Inv# 4827846"</f>
        <v>Inv# 4827846</v>
      </c>
    </row>
    <row r="634" spans="1:8" x14ac:dyDescent="0.25">
      <c r="E634" t="str">
        <f>""</f>
        <v/>
      </c>
      <c r="F634" t="str">
        <f>""</f>
        <v/>
      </c>
      <c r="H634" t="str">
        <f>"Inv# 9543129"</f>
        <v>Inv# 9543129</v>
      </c>
    </row>
    <row r="635" spans="1:8" x14ac:dyDescent="0.25">
      <c r="E635" t="str">
        <f>""</f>
        <v/>
      </c>
      <c r="F635" t="str">
        <f>""</f>
        <v/>
      </c>
      <c r="H635" t="str">
        <f>"Inv# 8214010"</f>
        <v>Inv# 8214010</v>
      </c>
    </row>
    <row r="636" spans="1:8" x14ac:dyDescent="0.25">
      <c r="E636" t="str">
        <f>""</f>
        <v/>
      </c>
      <c r="F636" t="str">
        <f>""</f>
        <v/>
      </c>
      <c r="H636" t="str">
        <f>"Inv# 6024607"</f>
        <v>Inv# 6024607</v>
      </c>
    </row>
    <row r="637" spans="1:8" x14ac:dyDescent="0.25">
      <c r="E637" t="str">
        <f>""</f>
        <v/>
      </c>
      <c r="F637" t="str">
        <f>""</f>
        <v/>
      </c>
      <c r="H637" t="str">
        <f>"Inv# 1022729"</f>
        <v>Inv# 1022729</v>
      </c>
    </row>
    <row r="638" spans="1:8" x14ac:dyDescent="0.25">
      <c r="E638" t="str">
        <f>""</f>
        <v/>
      </c>
      <c r="F638" t="str">
        <f>""</f>
        <v/>
      </c>
      <c r="H638" t="str">
        <f>"Inv# 22887"</f>
        <v>Inv# 22887</v>
      </c>
    </row>
    <row r="639" spans="1:8" x14ac:dyDescent="0.25">
      <c r="E639" t="str">
        <f>""</f>
        <v/>
      </c>
      <c r="F639" t="str">
        <f>""</f>
        <v/>
      </c>
      <c r="H639" t="str">
        <f>"Inv# 11058"</f>
        <v>Inv# 11058</v>
      </c>
    </row>
    <row r="640" spans="1:8" x14ac:dyDescent="0.25">
      <c r="E640" t="str">
        <f>""</f>
        <v/>
      </c>
      <c r="F640" t="str">
        <f>""</f>
        <v/>
      </c>
      <c r="H640" t="str">
        <f>"Inv# 9023057"</f>
        <v>Inv# 9023057</v>
      </c>
    </row>
    <row r="641" spans="5:8" x14ac:dyDescent="0.25">
      <c r="E641" t="str">
        <f>""</f>
        <v/>
      </c>
      <c r="F641" t="str">
        <f>""</f>
        <v/>
      </c>
      <c r="H641" t="str">
        <f>"Inv# 2023900"</f>
        <v>Inv# 2023900</v>
      </c>
    </row>
    <row r="642" spans="5:8" x14ac:dyDescent="0.25">
      <c r="E642" t="str">
        <f>""</f>
        <v/>
      </c>
      <c r="F642" t="str">
        <f>""</f>
        <v/>
      </c>
      <c r="H642" t="str">
        <f>"Inv# 1152117"</f>
        <v>Inv# 1152117</v>
      </c>
    </row>
    <row r="643" spans="5:8" x14ac:dyDescent="0.25">
      <c r="E643" t="str">
        <f>""</f>
        <v/>
      </c>
      <c r="F643" t="str">
        <f>""</f>
        <v/>
      </c>
      <c r="H643" t="str">
        <f>"Inv# 1563826"</f>
        <v>Inv# 1563826</v>
      </c>
    </row>
    <row r="644" spans="5:8" x14ac:dyDescent="0.25">
      <c r="E644" t="str">
        <f>""</f>
        <v/>
      </c>
      <c r="F644" t="str">
        <f>""</f>
        <v/>
      </c>
      <c r="H644" t="str">
        <f>"Inv# 5011312"</f>
        <v>Inv# 5011312</v>
      </c>
    </row>
    <row r="645" spans="5:8" x14ac:dyDescent="0.25">
      <c r="E645" t="str">
        <f>""</f>
        <v/>
      </c>
      <c r="F645" t="str">
        <f>""</f>
        <v/>
      </c>
      <c r="H645" t="str">
        <f>"Inv# 564566"</f>
        <v>Inv# 564566</v>
      </c>
    </row>
    <row r="646" spans="5:8" x14ac:dyDescent="0.25">
      <c r="E646" t="str">
        <f>""</f>
        <v/>
      </c>
      <c r="F646" t="str">
        <f>""</f>
        <v/>
      </c>
      <c r="H646" t="str">
        <f>"Inv# 3030616"</f>
        <v>Inv# 3030616</v>
      </c>
    </row>
    <row r="647" spans="5:8" x14ac:dyDescent="0.25">
      <c r="E647" t="str">
        <f>""</f>
        <v/>
      </c>
      <c r="F647" t="str">
        <f>""</f>
        <v/>
      </c>
      <c r="H647" t="str">
        <f>"Inv# 2022642"</f>
        <v>Inv# 2022642</v>
      </c>
    </row>
    <row r="648" spans="5:8" x14ac:dyDescent="0.25">
      <c r="E648" t="str">
        <f>""</f>
        <v/>
      </c>
      <c r="F648" t="str">
        <f>""</f>
        <v/>
      </c>
      <c r="H648" t="str">
        <f>"Inv# 22857"</f>
        <v>Inv# 22857</v>
      </c>
    </row>
    <row r="649" spans="5:8" x14ac:dyDescent="0.25">
      <c r="E649" t="str">
        <f>""</f>
        <v/>
      </c>
      <c r="F649" t="str">
        <f>""</f>
        <v/>
      </c>
      <c r="H649" t="str">
        <f>"Inv# 5011312"</f>
        <v>Inv# 5011312</v>
      </c>
    </row>
    <row r="650" spans="5:8" x14ac:dyDescent="0.25">
      <c r="E650" t="str">
        <f>""</f>
        <v/>
      </c>
      <c r="F650" t="str">
        <f>""</f>
        <v/>
      </c>
      <c r="H650" t="str">
        <f>"Inv# 100502"</f>
        <v>Inv# 100502</v>
      </c>
    </row>
    <row r="651" spans="5:8" x14ac:dyDescent="0.25">
      <c r="E651" t="str">
        <f>""</f>
        <v/>
      </c>
      <c r="F651" t="str">
        <f>""</f>
        <v/>
      </c>
      <c r="H651" t="str">
        <f>"Inv# 5100675"</f>
        <v>Inv# 5100675</v>
      </c>
    </row>
    <row r="652" spans="5:8" x14ac:dyDescent="0.25">
      <c r="E652" t="str">
        <f>""</f>
        <v/>
      </c>
      <c r="F652" t="str">
        <f>""</f>
        <v/>
      </c>
      <c r="H652" t="str">
        <f>"Inv# 2100794"</f>
        <v>Inv# 2100794</v>
      </c>
    </row>
    <row r="653" spans="5:8" x14ac:dyDescent="0.25">
      <c r="E653" t="str">
        <f>""</f>
        <v/>
      </c>
      <c r="F653" t="str">
        <f>""</f>
        <v/>
      </c>
      <c r="H653" t="str">
        <f>"Inv# 3023658"</f>
        <v>Inv# 3023658</v>
      </c>
    </row>
    <row r="654" spans="5:8" x14ac:dyDescent="0.25">
      <c r="E654" t="str">
        <f>""</f>
        <v/>
      </c>
      <c r="F654" t="str">
        <f>""</f>
        <v/>
      </c>
      <c r="H654" t="str">
        <f>"Inv# 6011793"</f>
        <v>Inv# 6011793</v>
      </c>
    </row>
    <row r="655" spans="5:8" x14ac:dyDescent="0.25">
      <c r="E655" t="str">
        <f>""</f>
        <v/>
      </c>
      <c r="F655" t="str">
        <f>""</f>
        <v/>
      </c>
      <c r="H655" t="str">
        <f>"Inv# 6024582"</f>
        <v>Inv# 6024582</v>
      </c>
    </row>
    <row r="656" spans="5:8" x14ac:dyDescent="0.25">
      <c r="E656" t="str">
        <f>""</f>
        <v/>
      </c>
      <c r="F656" t="str">
        <f>""</f>
        <v/>
      </c>
      <c r="H656" t="str">
        <f>"Inv# 6024606"</f>
        <v>Inv# 6024606</v>
      </c>
    </row>
    <row r="657" spans="1:8" x14ac:dyDescent="0.25">
      <c r="E657" t="str">
        <f>""</f>
        <v/>
      </c>
      <c r="F657" t="str">
        <f>""</f>
        <v/>
      </c>
      <c r="H657" t="str">
        <f>"Inv# 11048"</f>
        <v>Inv# 11048</v>
      </c>
    </row>
    <row r="658" spans="1:8" x14ac:dyDescent="0.25">
      <c r="E658" t="str">
        <f>""</f>
        <v/>
      </c>
      <c r="F658" t="str">
        <f>""</f>
        <v/>
      </c>
      <c r="H658" t="str">
        <f>"Inv# 4024810"</f>
        <v>Inv# 4024810</v>
      </c>
    </row>
    <row r="659" spans="1:8" x14ac:dyDescent="0.25">
      <c r="E659" t="str">
        <f>""</f>
        <v/>
      </c>
      <c r="F659" t="str">
        <f>""</f>
        <v/>
      </c>
      <c r="H659" t="str">
        <f>"Inv# 2583518"</f>
        <v>Inv# 2583518</v>
      </c>
    </row>
    <row r="660" spans="1:8" x14ac:dyDescent="0.25">
      <c r="E660" t="str">
        <f>""</f>
        <v/>
      </c>
      <c r="F660" t="str">
        <f>""</f>
        <v/>
      </c>
      <c r="H660" t="str">
        <f>"Inv# 2583518"</f>
        <v>Inv# 2583518</v>
      </c>
    </row>
    <row r="661" spans="1:8" x14ac:dyDescent="0.25">
      <c r="E661" t="str">
        <f>""</f>
        <v/>
      </c>
      <c r="F661" t="str">
        <f>""</f>
        <v/>
      </c>
      <c r="H661" t="str">
        <f>"Inv# 6563410"</f>
        <v>Inv# 6563410</v>
      </c>
    </row>
    <row r="662" spans="1:8" x14ac:dyDescent="0.25">
      <c r="E662" t="str">
        <f>""</f>
        <v/>
      </c>
      <c r="F662" t="str">
        <f>""</f>
        <v/>
      </c>
      <c r="H662" t="str">
        <f>"Inv# 1563800"</f>
        <v>Inv# 1563800</v>
      </c>
    </row>
    <row r="663" spans="1:8" x14ac:dyDescent="0.25">
      <c r="E663" t="str">
        <f>""</f>
        <v/>
      </c>
      <c r="F663" t="str">
        <f>""</f>
        <v/>
      </c>
      <c r="H663" t="str">
        <f>"Inv# 5104973"</f>
        <v>Inv# 5104973</v>
      </c>
    </row>
    <row r="664" spans="1:8" x14ac:dyDescent="0.25">
      <c r="E664" t="str">
        <f>""</f>
        <v/>
      </c>
      <c r="F664" t="str">
        <f>""</f>
        <v/>
      </c>
      <c r="H664" t="str">
        <f>"Inv# 6022361"</f>
        <v>Inv# 6022361</v>
      </c>
    </row>
    <row r="665" spans="1:8" x14ac:dyDescent="0.25">
      <c r="E665" t="str">
        <f>""</f>
        <v/>
      </c>
      <c r="F665" t="str">
        <f>""</f>
        <v/>
      </c>
      <c r="H665" t="str">
        <f>"Inv# 8023143"</f>
        <v>Inv# 8023143</v>
      </c>
    </row>
    <row r="666" spans="1:8" x14ac:dyDescent="0.25">
      <c r="E666" t="str">
        <f>""</f>
        <v/>
      </c>
      <c r="F666" t="str">
        <f>""</f>
        <v/>
      </c>
      <c r="H666" t="str">
        <f>"Inv# 8023146"</f>
        <v>Inv# 8023146</v>
      </c>
    </row>
    <row r="667" spans="1:8" x14ac:dyDescent="0.25">
      <c r="E667" t="str">
        <f>""</f>
        <v/>
      </c>
      <c r="F667" t="str">
        <f>""</f>
        <v/>
      </c>
      <c r="H667" t="str">
        <f>"Inv# 11575"</f>
        <v>Inv# 11575</v>
      </c>
    </row>
    <row r="668" spans="1:8" x14ac:dyDescent="0.25">
      <c r="E668" t="str">
        <f>""</f>
        <v/>
      </c>
      <c r="F668" t="str">
        <f>""</f>
        <v/>
      </c>
      <c r="H668" t="str">
        <f>"Inv# 24098"</f>
        <v>Inv# 24098</v>
      </c>
    </row>
    <row r="669" spans="1:8" x14ac:dyDescent="0.25">
      <c r="E669" t="str">
        <f>""</f>
        <v/>
      </c>
      <c r="F669" t="str">
        <f>""</f>
        <v/>
      </c>
      <c r="H669" t="str">
        <f>"Inv# 4024771"</f>
        <v>Inv# 4024771</v>
      </c>
    </row>
    <row r="670" spans="1:8" x14ac:dyDescent="0.25">
      <c r="E670" t="str">
        <f>""</f>
        <v/>
      </c>
      <c r="F670" t="str">
        <f>""</f>
        <v/>
      </c>
      <c r="H670" t="str">
        <f>"Inv# 3024902"</f>
        <v>Inv# 3024902</v>
      </c>
    </row>
    <row r="671" spans="1:8" x14ac:dyDescent="0.25">
      <c r="A671" t="s">
        <v>202</v>
      </c>
      <c r="B671">
        <v>80304</v>
      </c>
      <c r="C671" s="2">
        <v>1921.87</v>
      </c>
      <c r="D671" s="1">
        <v>43473</v>
      </c>
      <c r="E671" t="str">
        <f>"S1901020002-00026"</f>
        <v>S1901020002-00026</v>
      </c>
      <c r="F671" t="str">
        <f>"ACCT# 100402264 - 01/02/2019"</f>
        <v>ACCT# 100402264 - 01/02/2019</v>
      </c>
      <c r="G671" s="2">
        <v>1921.87</v>
      </c>
      <c r="H671" t="str">
        <f>"ACCT# 100402264 - 01/02/2019"</f>
        <v>ACCT# 100402264 - 01/02/2019</v>
      </c>
    </row>
    <row r="672" spans="1:8" x14ac:dyDescent="0.25">
      <c r="E672" t="str">
        <f>""</f>
        <v/>
      </c>
      <c r="F672" t="str">
        <f>""</f>
        <v/>
      </c>
      <c r="H672" t="str">
        <f>"ACCT# 100402264 - 01/02/2019"</f>
        <v>ACCT# 100402264 - 01/02/2019</v>
      </c>
    </row>
    <row r="673" spans="1:9" x14ac:dyDescent="0.25">
      <c r="E673" t="str">
        <f>""</f>
        <v/>
      </c>
      <c r="F673" t="str">
        <f>""</f>
        <v/>
      </c>
      <c r="H673" t="str">
        <f>"ACCT# 100402264 - 01/02/2019"</f>
        <v>ACCT# 100402264 - 01/02/2019</v>
      </c>
    </row>
    <row r="674" spans="1:9" x14ac:dyDescent="0.25">
      <c r="A674" t="s">
        <v>203</v>
      </c>
      <c r="B674">
        <v>80709</v>
      </c>
      <c r="C674" s="2">
        <v>135</v>
      </c>
      <c r="D674" s="1">
        <v>43493</v>
      </c>
      <c r="E674" t="str">
        <f>"201901176686"</f>
        <v>201901176686</v>
      </c>
      <c r="F674" t="str">
        <f>"FERAL HOGS"</f>
        <v>FERAL HOGS</v>
      </c>
      <c r="G674" s="2">
        <v>135</v>
      </c>
      <c r="H674" t="str">
        <f>"FERAL HOGS"</f>
        <v>FERAL HOGS</v>
      </c>
    </row>
    <row r="675" spans="1:9" x14ac:dyDescent="0.25">
      <c r="A675" t="s">
        <v>204</v>
      </c>
      <c r="B675">
        <v>293</v>
      </c>
      <c r="C675" s="2">
        <v>43.68</v>
      </c>
      <c r="D675" s="1">
        <v>43480</v>
      </c>
      <c r="E675" t="str">
        <f>"181371"</f>
        <v>181371</v>
      </c>
      <c r="F675" t="str">
        <f>"WIRE BRAID HOSE/GEN SVCS"</f>
        <v>WIRE BRAID HOSE/GEN SVCS</v>
      </c>
      <c r="G675" s="2">
        <v>43.68</v>
      </c>
      <c r="H675" t="str">
        <f>"WIRE BRAID HOSE/GEN SVCS"</f>
        <v>WIRE BRAID HOSE/GEN SVCS</v>
      </c>
    </row>
    <row r="676" spans="1:9" x14ac:dyDescent="0.25">
      <c r="A676" t="s">
        <v>204</v>
      </c>
      <c r="B676">
        <v>358</v>
      </c>
      <c r="C676" s="2">
        <v>492.42</v>
      </c>
      <c r="D676" s="1">
        <v>43494</v>
      </c>
      <c r="E676" t="str">
        <f>"181487"</f>
        <v>181487</v>
      </c>
      <c r="F676" t="str">
        <f>"CYL REPAIR/PCT#3"</f>
        <v>CYL REPAIR/PCT#3</v>
      </c>
      <c r="G676" s="2">
        <v>375</v>
      </c>
      <c r="H676" t="str">
        <f>"CYL REPAIR/PCT#3"</f>
        <v>CYL REPAIR/PCT#3</v>
      </c>
    </row>
    <row r="677" spans="1:9" x14ac:dyDescent="0.25">
      <c r="E677" t="str">
        <f>"181515"</f>
        <v>181515</v>
      </c>
      <c r="F677" t="str">
        <f>"WIRE BRAIDED HOSE/PCT#3"</f>
        <v>WIRE BRAIDED HOSE/PCT#3</v>
      </c>
      <c r="G677" s="2">
        <v>117.42</v>
      </c>
      <c r="H677" t="str">
        <f>"WIRE BRAIDED HOSE/PCT#3"</f>
        <v>WIRE BRAIDED HOSE/PCT#3</v>
      </c>
    </row>
    <row r="678" spans="1:9" x14ac:dyDescent="0.25">
      <c r="A678" t="s">
        <v>205</v>
      </c>
      <c r="B678">
        <v>80579</v>
      </c>
      <c r="C678" s="2">
        <v>1522.12</v>
      </c>
      <c r="D678" s="1">
        <v>43489</v>
      </c>
      <c r="E678" t="str">
        <f>"1514718"</f>
        <v>1514718</v>
      </c>
      <c r="F678" t="str">
        <f>"ORDER #3312366 / IT"</f>
        <v>ORDER #3312366 / IT</v>
      </c>
      <c r="G678" s="2">
        <v>1522.12</v>
      </c>
    </row>
    <row r="679" spans="1:9" x14ac:dyDescent="0.25">
      <c r="A679" t="s">
        <v>206</v>
      </c>
      <c r="B679">
        <v>326</v>
      </c>
      <c r="C679" s="2">
        <v>2430</v>
      </c>
      <c r="D679" s="1">
        <v>43480</v>
      </c>
      <c r="E679" t="str">
        <f>"67126"</f>
        <v>67126</v>
      </c>
      <c r="F679" t="str">
        <f>"PROFESSIONAL SVCS-FEB 2019"</f>
        <v>PROFESSIONAL SVCS-FEB 2019</v>
      </c>
      <c r="G679" s="2">
        <v>2430</v>
      </c>
      <c r="H679" t="str">
        <f>"PROFESSIONAL SVCS-FEB 2019"</f>
        <v>PROFESSIONAL SVCS-FEB 2019</v>
      </c>
    </row>
    <row r="680" spans="1:9" x14ac:dyDescent="0.25">
      <c r="E680" t="str">
        <f>""</f>
        <v/>
      </c>
      <c r="F680" t="str">
        <f>""</f>
        <v/>
      </c>
      <c r="H680" t="str">
        <f>"PROFESSIONAL SVCS-FEB 2019"</f>
        <v>PROFESSIONAL SVCS-FEB 2019</v>
      </c>
    </row>
    <row r="681" spans="1:9" x14ac:dyDescent="0.25">
      <c r="A681" t="s">
        <v>207</v>
      </c>
      <c r="B681">
        <v>80393</v>
      </c>
      <c r="C681" s="2">
        <v>112.21</v>
      </c>
      <c r="D681" s="1">
        <v>43479</v>
      </c>
      <c r="E681" t="str">
        <f>"201901096497"</f>
        <v>201901096497</v>
      </c>
      <c r="F681" t="str">
        <f>"INDIGENT HEALTH"</f>
        <v>INDIGENT HEALTH</v>
      </c>
      <c r="G681" s="2">
        <v>112.21</v>
      </c>
      <c r="H681" t="str">
        <f>"INDIGENT HEALTH"</f>
        <v>INDIGENT HEALTH</v>
      </c>
    </row>
    <row r="682" spans="1:9" x14ac:dyDescent="0.25">
      <c r="A682" t="s">
        <v>208</v>
      </c>
      <c r="B682">
        <v>80394</v>
      </c>
      <c r="C682" s="2">
        <v>68.760000000000005</v>
      </c>
      <c r="D682" s="1">
        <v>43479</v>
      </c>
      <c r="E682" t="str">
        <f>"AKBZ990"</f>
        <v>AKBZ990</v>
      </c>
      <c r="F682" t="str">
        <f>"CUST ID:AX773/COUNTY CLERK"</f>
        <v>CUST ID:AX773/COUNTY CLERK</v>
      </c>
      <c r="G682" s="2">
        <v>68.760000000000005</v>
      </c>
      <c r="H682" t="str">
        <f>"CUST ID:AX773/COUNTY CLERK"</f>
        <v>CUST ID:AX773/COUNTY CLERK</v>
      </c>
    </row>
    <row r="683" spans="1:9" x14ac:dyDescent="0.25">
      <c r="A683" t="s">
        <v>209</v>
      </c>
      <c r="B683">
        <v>304</v>
      </c>
      <c r="C683" s="2">
        <v>693.23</v>
      </c>
      <c r="D683" s="1">
        <v>43480</v>
      </c>
      <c r="E683" t="str">
        <f>"201901036090"</f>
        <v>201901036090</v>
      </c>
      <c r="F683" t="str">
        <f>"REIMBURSE MILEAGE"</f>
        <v>REIMBURSE MILEAGE</v>
      </c>
      <c r="G683" s="2">
        <v>693.23</v>
      </c>
      <c r="H683" t="str">
        <f>"REIMBURSE MILEAGE"</f>
        <v>REIMBURSE MILEAGE</v>
      </c>
    </row>
    <row r="684" spans="1:9" x14ac:dyDescent="0.25">
      <c r="A684" t="s">
        <v>210</v>
      </c>
      <c r="B684">
        <v>80710</v>
      </c>
      <c r="C684" s="2">
        <v>750</v>
      </c>
      <c r="D684" s="1">
        <v>43493</v>
      </c>
      <c r="E684" t="str">
        <f>"201901176649"</f>
        <v>201901176649</v>
      </c>
      <c r="F684" t="str">
        <f>"56 414"</f>
        <v>56 414</v>
      </c>
      <c r="G684" s="2">
        <v>250</v>
      </c>
      <c r="H684" t="str">
        <f>"46 414"</f>
        <v>46 414</v>
      </c>
    </row>
    <row r="685" spans="1:9" x14ac:dyDescent="0.25">
      <c r="E685" t="str">
        <f>"201901176650"</f>
        <v>201901176650</v>
      </c>
      <c r="F685" t="str">
        <f>"56 348"</f>
        <v>56 348</v>
      </c>
      <c r="G685" s="2">
        <v>250</v>
      </c>
      <c r="H685" t="str">
        <f>"56 348"</f>
        <v>56 348</v>
      </c>
    </row>
    <row r="686" spans="1:9" x14ac:dyDescent="0.25">
      <c r="E686" t="str">
        <f>"201901176653"</f>
        <v>201901176653</v>
      </c>
      <c r="F686" t="str">
        <f>"56 536"</f>
        <v>56 536</v>
      </c>
      <c r="G686" s="2">
        <v>250</v>
      </c>
      <c r="H686" t="str">
        <f>"56 536"</f>
        <v>56 536</v>
      </c>
    </row>
    <row r="687" spans="1:9" x14ac:dyDescent="0.25">
      <c r="A687" t="s">
        <v>211</v>
      </c>
      <c r="B687">
        <v>340</v>
      </c>
      <c r="C687" s="2">
        <v>614.13</v>
      </c>
      <c r="D687" s="1">
        <v>43480</v>
      </c>
      <c r="E687" t="s">
        <v>70</v>
      </c>
      <c r="F687" t="s">
        <v>212</v>
      </c>
      <c r="G687" s="2" t="str">
        <f>"ATTORNEY AD LITEM FEE"</f>
        <v>ATTORNEY AD LITEM FEE</v>
      </c>
      <c r="H687" t="str">
        <f>"995-4110"</f>
        <v>995-4110</v>
      </c>
      <c r="I687" t="str">
        <f>""</f>
        <v/>
      </c>
    </row>
    <row r="688" spans="1:9" x14ac:dyDescent="0.25">
      <c r="E688" t="str">
        <f>"201901096476"</f>
        <v>201901096476</v>
      </c>
      <c r="F688" t="str">
        <f>"4080182/TRN2953501316A001/18-S"</f>
        <v>4080182/TRN2953501316A001/18-S</v>
      </c>
      <c r="G688" s="2">
        <v>250</v>
      </c>
      <c r="H688" t="str">
        <f>"4080182/TRN2953501316A001/18-S"</f>
        <v>4080182/TRN2953501316A001/18-S</v>
      </c>
    </row>
    <row r="689" spans="1:8" x14ac:dyDescent="0.25">
      <c r="E689" t="str">
        <f>"201901096478"</f>
        <v>201901096478</v>
      </c>
      <c r="F689" t="str">
        <f>"02.0620.1/TRN925349.677019001/"</f>
        <v>02.0620.1/TRN925349.677019001/</v>
      </c>
      <c r="G689" s="2">
        <v>250</v>
      </c>
      <c r="H689" t="str">
        <f>"02.0620.1/TRN925349.677019001/"</f>
        <v>02.0620.1/TRN925349.677019001/</v>
      </c>
    </row>
    <row r="690" spans="1:8" x14ac:dyDescent="0.25">
      <c r="A690" t="s">
        <v>211</v>
      </c>
      <c r="B690">
        <v>399</v>
      </c>
      <c r="C690" s="2">
        <v>800</v>
      </c>
      <c r="D690" s="1">
        <v>43494</v>
      </c>
      <c r="E690" t="str">
        <f>"12515"</f>
        <v>12515</v>
      </c>
      <c r="F690" t="str">
        <f>"AD LITEM FEE"</f>
        <v>AD LITEM FEE</v>
      </c>
      <c r="G690" s="2">
        <v>150</v>
      </c>
      <c r="H690" t="str">
        <f>"AD LITEM FEE"</f>
        <v>AD LITEM FEE</v>
      </c>
    </row>
    <row r="691" spans="1:8" x14ac:dyDescent="0.25">
      <c r="E691" t="str">
        <f>"12538"</f>
        <v>12538</v>
      </c>
      <c r="F691" t="str">
        <f>"AD LITEM FEE"</f>
        <v>AD LITEM FEE</v>
      </c>
      <c r="G691" s="2">
        <v>150</v>
      </c>
      <c r="H691" t="str">
        <f>"AD LITEM FEE"</f>
        <v>AD LITEM FEE</v>
      </c>
    </row>
    <row r="692" spans="1:8" x14ac:dyDescent="0.25">
      <c r="E692" t="str">
        <f>"12873"</f>
        <v>12873</v>
      </c>
      <c r="F692" t="str">
        <f>"AD LITEM FEE"</f>
        <v>AD LITEM FEE</v>
      </c>
      <c r="G692" s="2">
        <v>150</v>
      </c>
      <c r="H692" t="str">
        <f>"AD LITEM FEE"</f>
        <v>AD LITEM FEE</v>
      </c>
    </row>
    <row r="693" spans="1:8" x14ac:dyDescent="0.25">
      <c r="E693" t="str">
        <f>"201901176608"</f>
        <v>201901176608</v>
      </c>
      <c r="F693" t="str">
        <f>"18-19411"</f>
        <v>18-19411</v>
      </c>
      <c r="G693" s="2">
        <v>100</v>
      </c>
      <c r="H693" t="str">
        <f>"18-19411"</f>
        <v>18-19411</v>
      </c>
    </row>
    <row r="694" spans="1:8" x14ac:dyDescent="0.25">
      <c r="E694" t="str">
        <f>"201901176629"</f>
        <v>201901176629</v>
      </c>
      <c r="F694" t="str">
        <f>"56 125"</f>
        <v>56 125</v>
      </c>
      <c r="G694" s="2">
        <v>250</v>
      </c>
      <c r="H694" t="str">
        <f>"56 125"</f>
        <v>56 125</v>
      </c>
    </row>
    <row r="695" spans="1:8" x14ac:dyDescent="0.25">
      <c r="A695" t="s">
        <v>213</v>
      </c>
      <c r="B695">
        <v>80711</v>
      </c>
      <c r="C695" s="2">
        <v>1233</v>
      </c>
      <c r="D695" s="1">
        <v>43493</v>
      </c>
      <c r="E695" t="str">
        <f>"1094"</f>
        <v>1094</v>
      </c>
      <c r="F695" t="str">
        <f>"INV 1094"</f>
        <v>INV 1094</v>
      </c>
      <c r="G695" s="2">
        <v>1083</v>
      </c>
      <c r="H695" t="str">
        <f>"INV 1094"</f>
        <v>INV 1094</v>
      </c>
    </row>
    <row r="696" spans="1:8" x14ac:dyDescent="0.25">
      <c r="E696" t="str">
        <f>"1102"</f>
        <v>1102</v>
      </c>
      <c r="F696" t="str">
        <f>"INV 1102"</f>
        <v>INV 1102</v>
      </c>
      <c r="G696" s="2">
        <v>75</v>
      </c>
      <c r="H696" t="str">
        <f>"INV 1102"</f>
        <v>INV 1102</v>
      </c>
    </row>
    <row r="697" spans="1:8" x14ac:dyDescent="0.25">
      <c r="E697" t="str">
        <f>"1105"</f>
        <v>1105</v>
      </c>
      <c r="F697" t="str">
        <f>"MOTOROLA ANTENNA INSTALL/P1"</f>
        <v>MOTOROLA ANTENNA INSTALL/P1</v>
      </c>
      <c r="G697" s="2">
        <v>75</v>
      </c>
      <c r="H697" t="str">
        <f>"MOTOROLA ANTENNA INSTALL/P1"</f>
        <v>MOTOROLA ANTENNA INSTALL/P1</v>
      </c>
    </row>
    <row r="698" spans="1:8" x14ac:dyDescent="0.25">
      <c r="A698" t="s">
        <v>214</v>
      </c>
      <c r="B698">
        <v>370</v>
      </c>
      <c r="C698" s="2">
        <v>1250</v>
      </c>
      <c r="D698" s="1">
        <v>43494</v>
      </c>
      <c r="E698" t="str">
        <f>"CCPARKMON001"</f>
        <v>CCPARKMON001</v>
      </c>
      <c r="F698" t="str">
        <f>"MONUMENT REPAIR"</f>
        <v>MONUMENT REPAIR</v>
      </c>
      <c r="G698" s="2">
        <v>1250</v>
      </c>
      <c r="H698" t="str">
        <f>"MONUMENT REPAIR"</f>
        <v>MONUMENT REPAIR</v>
      </c>
    </row>
    <row r="699" spans="1:8" x14ac:dyDescent="0.25">
      <c r="A699" t="s">
        <v>215</v>
      </c>
      <c r="B699">
        <v>80395</v>
      </c>
      <c r="C699" s="2">
        <v>585.71</v>
      </c>
      <c r="D699" s="1">
        <v>43479</v>
      </c>
      <c r="E699" t="str">
        <f>"201901086427"</f>
        <v>201901086427</v>
      </c>
      <c r="F699" t="str">
        <f>"ACCT#8850283308/PCT#3"</f>
        <v>ACCT#8850283308/PCT#3</v>
      </c>
      <c r="G699" s="2">
        <v>585.71</v>
      </c>
      <c r="H699" t="str">
        <f>"ACCT#8850283308/PCT#3"</f>
        <v>ACCT#8850283308/PCT#3</v>
      </c>
    </row>
    <row r="700" spans="1:8" x14ac:dyDescent="0.25">
      <c r="A700" t="s">
        <v>216</v>
      </c>
      <c r="B700">
        <v>80396</v>
      </c>
      <c r="C700" s="2">
        <v>90</v>
      </c>
      <c r="D700" s="1">
        <v>43479</v>
      </c>
      <c r="E700" t="str">
        <f>"201901076403"</f>
        <v>201901076403</v>
      </c>
      <c r="F700" t="str">
        <f>"PER DIEM FOR TRAINING"</f>
        <v>PER DIEM FOR TRAINING</v>
      </c>
      <c r="G700" s="2">
        <v>90</v>
      </c>
      <c r="H700" t="str">
        <f>"PER DIEM FOR TRAINING"</f>
        <v>PER DIEM FOR TRAINING</v>
      </c>
    </row>
    <row r="701" spans="1:8" x14ac:dyDescent="0.25">
      <c r="A701" t="s">
        <v>217</v>
      </c>
      <c r="B701">
        <v>80712</v>
      </c>
      <c r="C701" s="2">
        <v>20</v>
      </c>
      <c r="D701" s="1">
        <v>43493</v>
      </c>
      <c r="E701" t="str">
        <f>"201901176687"</f>
        <v>201901176687</v>
      </c>
      <c r="F701" t="str">
        <f>"FERAL HOGS"</f>
        <v>FERAL HOGS</v>
      </c>
      <c r="G701" s="2">
        <v>20</v>
      </c>
      <c r="H701" t="str">
        <f>"FERAL HOGS"</f>
        <v>FERAL HOGS</v>
      </c>
    </row>
    <row r="702" spans="1:8" x14ac:dyDescent="0.25">
      <c r="A702" t="s">
        <v>218</v>
      </c>
      <c r="B702">
        <v>80713</v>
      </c>
      <c r="C702" s="2">
        <v>105</v>
      </c>
      <c r="D702" s="1">
        <v>43493</v>
      </c>
      <c r="E702" t="str">
        <f>"201901176688"</f>
        <v>201901176688</v>
      </c>
      <c r="F702" t="str">
        <f>"FERAL HOGS"</f>
        <v>FERAL HOGS</v>
      </c>
      <c r="G702" s="2">
        <v>105</v>
      </c>
      <c r="H702" t="str">
        <f>"FERAL HOGS"</f>
        <v>FERAL HOGS</v>
      </c>
    </row>
    <row r="703" spans="1:8" x14ac:dyDescent="0.25">
      <c r="A703" t="s">
        <v>219</v>
      </c>
      <c r="B703">
        <v>80714</v>
      </c>
      <c r="C703" s="2">
        <v>70</v>
      </c>
      <c r="D703" s="1">
        <v>43493</v>
      </c>
      <c r="E703" t="str">
        <f>"201901176689"</f>
        <v>201901176689</v>
      </c>
      <c r="F703" t="str">
        <f>"FERAL HOGS"</f>
        <v>FERAL HOGS</v>
      </c>
      <c r="G703" s="2">
        <v>70</v>
      </c>
      <c r="H703" t="str">
        <f>"FERAL HOGS"</f>
        <v>FERAL HOGS</v>
      </c>
    </row>
    <row r="704" spans="1:8" x14ac:dyDescent="0.25">
      <c r="A704" t="s">
        <v>220</v>
      </c>
      <c r="B704">
        <v>80715</v>
      </c>
      <c r="C704" s="2">
        <v>4484.7</v>
      </c>
      <c r="D704" s="1">
        <v>43493</v>
      </c>
      <c r="E704" t="str">
        <f>"201701260"</f>
        <v>201701260</v>
      </c>
      <c r="F704" t="str">
        <f>"SCAAP FY 2017 AWARD"</f>
        <v>SCAAP FY 2017 AWARD</v>
      </c>
      <c r="G704" s="2">
        <v>4484.7</v>
      </c>
      <c r="H704" t="str">
        <f>"SCAAP FY 2017 AWARD"</f>
        <v>SCAAP FY 2017 AWARD</v>
      </c>
    </row>
    <row r="705" spans="1:9" x14ac:dyDescent="0.25">
      <c r="A705" t="s">
        <v>221</v>
      </c>
      <c r="B705">
        <v>331</v>
      </c>
      <c r="C705" s="2">
        <v>1300</v>
      </c>
      <c r="D705" s="1">
        <v>43480</v>
      </c>
      <c r="E705" t="str">
        <f>"201812286007"</f>
        <v>201812286007</v>
      </c>
      <c r="F705" t="str">
        <f>"AC-2016-1006"</f>
        <v>AC-2016-1006</v>
      </c>
      <c r="G705" s="2">
        <v>400</v>
      </c>
      <c r="H705" t="str">
        <f>"AC-2016-1006"</f>
        <v>AC-2016-1006</v>
      </c>
    </row>
    <row r="706" spans="1:9" x14ac:dyDescent="0.25">
      <c r="E706" t="str">
        <f>"201812286008"</f>
        <v>201812286008</v>
      </c>
      <c r="F706" t="str">
        <f>"1016-21"</f>
        <v>1016-21</v>
      </c>
      <c r="G706" s="2">
        <v>100</v>
      </c>
      <c r="H706" t="str">
        <f>"1016-21"</f>
        <v>1016-21</v>
      </c>
    </row>
    <row r="707" spans="1:9" x14ac:dyDescent="0.25">
      <c r="E707" t="str">
        <f>"201812286009"</f>
        <v>201812286009</v>
      </c>
      <c r="F707" t="str">
        <f>"406078-2"</f>
        <v>406078-2</v>
      </c>
      <c r="G707" s="2">
        <v>400</v>
      </c>
      <c r="H707" t="str">
        <f>"406078-2"</f>
        <v>406078-2</v>
      </c>
    </row>
    <row r="708" spans="1:9" x14ac:dyDescent="0.25">
      <c r="E708" t="str">
        <f>"201812286010"</f>
        <v>201812286010</v>
      </c>
      <c r="F708" t="str">
        <f>"16714"</f>
        <v>16714</v>
      </c>
      <c r="G708" s="2">
        <v>400</v>
      </c>
      <c r="H708" t="str">
        <f>"16714"</f>
        <v>16714</v>
      </c>
    </row>
    <row r="709" spans="1:9" x14ac:dyDescent="0.25">
      <c r="A709" t="s">
        <v>221</v>
      </c>
      <c r="B709">
        <v>390</v>
      </c>
      <c r="C709" s="2">
        <v>1050</v>
      </c>
      <c r="D709" s="1">
        <v>43494</v>
      </c>
      <c r="E709" t="str">
        <f>"201901156573"</f>
        <v>201901156573</v>
      </c>
      <c r="F709" t="str">
        <f>"16347"</f>
        <v>16347</v>
      </c>
      <c r="G709" s="2">
        <v>800</v>
      </c>
      <c r="H709" t="str">
        <f>"16347"</f>
        <v>16347</v>
      </c>
    </row>
    <row r="710" spans="1:9" x14ac:dyDescent="0.25">
      <c r="E710" t="str">
        <f>"201901176619"</f>
        <v>201901176619</v>
      </c>
      <c r="F710" t="str">
        <f>"56425"</f>
        <v>56425</v>
      </c>
      <c r="G710" s="2">
        <v>250</v>
      </c>
      <c r="H710" t="str">
        <f>"56425"</f>
        <v>56425</v>
      </c>
    </row>
    <row r="711" spans="1:9" x14ac:dyDescent="0.25">
      <c r="A711" t="s">
        <v>222</v>
      </c>
      <c r="B711">
        <v>80397</v>
      </c>
      <c r="C711" s="2">
        <v>25</v>
      </c>
      <c r="D711" s="1">
        <v>43479</v>
      </c>
      <c r="E711" t="s">
        <v>223</v>
      </c>
      <c r="F711" t="s">
        <v>224</v>
      </c>
      <c r="G711" s="2" t="str">
        <f>"RESTITUTION-JOHNY HOFFMAN"</f>
        <v>RESTITUTION-JOHNY HOFFMAN</v>
      </c>
      <c r="H711" t="str">
        <f>"210-0000"</f>
        <v>210-0000</v>
      </c>
      <c r="I711" t="str">
        <f>""</f>
        <v/>
      </c>
    </row>
    <row r="712" spans="1:9" x14ac:dyDescent="0.25">
      <c r="A712" t="s">
        <v>225</v>
      </c>
      <c r="B712">
        <v>80398</v>
      </c>
      <c r="C712" s="2">
        <v>51660</v>
      </c>
      <c r="D712" s="1">
        <v>43479</v>
      </c>
      <c r="E712" t="str">
        <f>"201812286031"</f>
        <v>201812286031</v>
      </c>
      <c r="F712" t="str">
        <f>"15-914"</f>
        <v>15-914</v>
      </c>
      <c r="G712" s="2">
        <v>51660</v>
      </c>
      <c r="H712" t="str">
        <f>"15-914"</f>
        <v>15-914</v>
      </c>
    </row>
    <row r="713" spans="1:9" x14ac:dyDescent="0.25">
      <c r="A713" t="s">
        <v>226</v>
      </c>
      <c r="B713">
        <v>320</v>
      </c>
      <c r="C713" s="2">
        <v>2617</v>
      </c>
      <c r="D713" s="1">
        <v>43480</v>
      </c>
      <c r="E713" t="str">
        <f>"149"</f>
        <v>149</v>
      </c>
      <c r="F713" t="str">
        <f>"TOWER RENT"</f>
        <v>TOWER RENT</v>
      </c>
      <c r="G713" s="2">
        <v>2617</v>
      </c>
      <c r="H713" t="str">
        <f>"TOWER RENT"</f>
        <v>TOWER RENT</v>
      </c>
    </row>
    <row r="714" spans="1:9" x14ac:dyDescent="0.25">
      <c r="A714" t="s">
        <v>227</v>
      </c>
      <c r="B714">
        <v>80399</v>
      </c>
      <c r="C714" s="2">
        <v>260</v>
      </c>
      <c r="D714" s="1">
        <v>43479</v>
      </c>
      <c r="E714" t="str">
        <f>"577"</f>
        <v>577</v>
      </c>
      <c r="F714" t="str">
        <f>"PORTABLE TOILET/HANDICAP"</f>
        <v>PORTABLE TOILET/HANDICAP</v>
      </c>
      <c r="G714" s="2">
        <v>260</v>
      </c>
      <c r="H714" t="str">
        <f>"PORTABLE TOILET/HANDICAP"</f>
        <v>PORTABLE TOILET/HANDICAP</v>
      </c>
    </row>
    <row r="715" spans="1:9" x14ac:dyDescent="0.25">
      <c r="A715" t="s">
        <v>228</v>
      </c>
      <c r="B715">
        <v>288</v>
      </c>
      <c r="C715" s="2">
        <v>139.5</v>
      </c>
      <c r="D715" s="1">
        <v>43480</v>
      </c>
      <c r="E715" t="str">
        <f>"808244"</f>
        <v>808244</v>
      </c>
      <c r="F715" t="str">
        <f>"CUST#10222/IT DEPT"</f>
        <v>CUST#10222/IT DEPT</v>
      </c>
      <c r="G715" s="2">
        <v>139.5</v>
      </c>
      <c r="H715" t="str">
        <f>"CUST#10222/IT DEPT"</f>
        <v>CUST#10222/IT DEPT</v>
      </c>
    </row>
    <row r="716" spans="1:9" x14ac:dyDescent="0.25">
      <c r="A716" t="s">
        <v>228</v>
      </c>
      <c r="B716">
        <v>352</v>
      </c>
      <c r="C716" s="2">
        <v>2204.98</v>
      </c>
      <c r="D716" s="1">
        <v>43494</v>
      </c>
      <c r="E716" t="str">
        <f>"808609"</f>
        <v>808609</v>
      </c>
      <c r="F716" t="str">
        <f>"CUST#10222/IT"</f>
        <v>CUST#10222/IT</v>
      </c>
      <c r="G716" s="2">
        <v>704.93</v>
      </c>
      <c r="H716" t="str">
        <f>"CUST#10222/IT"</f>
        <v>CUST#10222/IT</v>
      </c>
    </row>
    <row r="717" spans="1:9" x14ac:dyDescent="0.25">
      <c r="E717" t="str">
        <f>"808610"</f>
        <v>808610</v>
      </c>
      <c r="F717" t="str">
        <f>"CUST#10222/IT"</f>
        <v>CUST#10222/IT</v>
      </c>
      <c r="G717" s="2">
        <v>1500.05</v>
      </c>
      <c r="H717" t="str">
        <f>"CUST#10222/IT"</f>
        <v>CUST#10222/IT</v>
      </c>
    </row>
    <row r="718" spans="1:9" x14ac:dyDescent="0.25">
      <c r="A718" t="s">
        <v>229</v>
      </c>
      <c r="B718">
        <v>296</v>
      </c>
      <c r="C718" s="2">
        <v>99</v>
      </c>
      <c r="D718" s="1">
        <v>43480</v>
      </c>
      <c r="E718" t="str">
        <f>"268543"</f>
        <v>268543</v>
      </c>
      <c r="F718" t="str">
        <f>"QRTRLY FIRE PROTECTION 2019"</f>
        <v>QRTRLY FIRE PROTECTION 2019</v>
      </c>
      <c r="G718" s="2">
        <v>99</v>
      </c>
      <c r="H718" t="str">
        <f>"QRTRLY FIRE PROTECTION 2019"</f>
        <v>QRTRLY FIRE PROTECTION 2019</v>
      </c>
    </row>
    <row r="719" spans="1:9" x14ac:dyDescent="0.25">
      <c r="A719" t="s">
        <v>230</v>
      </c>
      <c r="B719">
        <v>80716</v>
      </c>
      <c r="C719" s="2">
        <v>135</v>
      </c>
      <c r="D719" s="1">
        <v>43493</v>
      </c>
      <c r="E719" t="str">
        <f>"201901176690"</f>
        <v>201901176690</v>
      </c>
      <c r="F719" t="str">
        <f>"FERAL HOGS"</f>
        <v>FERAL HOGS</v>
      </c>
      <c r="G719" s="2">
        <v>135</v>
      </c>
      <c r="H719" t="str">
        <f>"FERAL HOGS"</f>
        <v>FERAL HOGS</v>
      </c>
    </row>
    <row r="720" spans="1:9" x14ac:dyDescent="0.25">
      <c r="A720" t="s">
        <v>231</v>
      </c>
      <c r="B720">
        <v>80717</v>
      </c>
      <c r="C720" s="2">
        <v>2085.91</v>
      </c>
      <c r="D720" s="1">
        <v>43493</v>
      </c>
      <c r="E720" t="str">
        <f>"R301005135:01"</f>
        <v>R301005135:01</v>
      </c>
      <c r="F720" t="str">
        <f>"LONGHORN INTERNATIONAL TRUCKS"</f>
        <v>LONGHORN INTERNATIONAL TRUCKS</v>
      </c>
      <c r="G720" s="2">
        <v>2085.91</v>
      </c>
      <c r="H720" t="str">
        <f>"LONGHORN INTERNATIONAL TRUCKS"</f>
        <v>LONGHORN INTERNATIONAL TRUCKS</v>
      </c>
    </row>
    <row r="721" spans="1:8" x14ac:dyDescent="0.25">
      <c r="A721" t="s">
        <v>232</v>
      </c>
      <c r="B721">
        <v>80400</v>
      </c>
      <c r="C721" s="2">
        <v>1085.3</v>
      </c>
      <c r="D721" s="1">
        <v>43479</v>
      </c>
      <c r="E721" t="str">
        <f>"201901036359"</f>
        <v>201901036359</v>
      </c>
      <c r="F721" t="str">
        <f>"ACCT#1650/PCT#1"</f>
        <v>ACCT#1650/PCT#1</v>
      </c>
      <c r="G721" s="2">
        <v>254.51</v>
      </c>
      <c r="H721" t="str">
        <f>"ACCT#1650/PCT#1"</f>
        <v>ACCT#1650/PCT#1</v>
      </c>
    </row>
    <row r="722" spans="1:8" x14ac:dyDescent="0.25">
      <c r="E722" t="str">
        <f>"201901036360"</f>
        <v>201901036360</v>
      </c>
      <c r="F722" t="str">
        <f>"ACCT#1700/PCT#2"</f>
        <v>ACCT#1700/PCT#2</v>
      </c>
      <c r="G722" s="2">
        <v>133.94</v>
      </c>
      <c r="H722" t="str">
        <f>"ACCT#1700/PCT#2"</f>
        <v>ACCT#1700/PCT#2</v>
      </c>
    </row>
    <row r="723" spans="1:8" x14ac:dyDescent="0.25">
      <c r="E723" t="str">
        <f>"201901036361"</f>
        <v>201901036361</v>
      </c>
      <c r="F723" t="str">
        <f>"ACCT#1750/PCT#3"</f>
        <v>ACCT#1750/PCT#3</v>
      </c>
      <c r="G723" s="2">
        <v>608.92999999999995</v>
      </c>
      <c r="H723" t="str">
        <f>"ACCT#1750/PCT#3"</f>
        <v>ACCT#1750/PCT#3</v>
      </c>
    </row>
    <row r="724" spans="1:8" x14ac:dyDescent="0.25">
      <c r="E724" t="str">
        <f>"201901036363"</f>
        <v>201901036363</v>
      </c>
      <c r="F724" t="str">
        <f>"ACCT#1800/PCT#4"</f>
        <v>ACCT#1800/PCT#4</v>
      </c>
      <c r="G724" s="2">
        <v>87.92</v>
      </c>
      <c r="H724" t="str">
        <f>"ACCT#1800/PCT#4"</f>
        <v>ACCT#1800/PCT#4</v>
      </c>
    </row>
    <row r="725" spans="1:8" x14ac:dyDescent="0.25">
      <c r="A725" t="s">
        <v>233</v>
      </c>
      <c r="B725">
        <v>80401</v>
      </c>
      <c r="C725" s="2">
        <v>2512.8000000000002</v>
      </c>
      <c r="D725" s="1">
        <v>43479</v>
      </c>
      <c r="E725" t="str">
        <f>"201901096471"</f>
        <v>201901096471</v>
      </c>
      <c r="F725" t="str">
        <f>"INV 12195754"</f>
        <v>INV 12195754</v>
      </c>
      <c r="G725" s="2">
        <v>2512.8000000000002</v>
      </c>
      <c r="H725" t="str">
        <f>"INV 12195754"</f>
        <v>INV 12195754</v>
      </c>
    </row>
    <row r="726" spans="1:8" x14ac:dyDescent="0.25">
      <c r="E726" t="str">
        <f>""</f>
        <v/>
      </c>
      <c r="F726" t="str">
        <f>""</f>
        <v/>
      </c>
      <c r="H726" t="str">
        <f>"INV 12265029"</f>
        <v>INV 12265029</v>
      </c>
    </row>
    <row r="727" spans="1:8" x14ac:dyDescent="0.25">
      <c r="E727" t="str">
        <f>""</f>
        <v/>
      </c>
      <c r="F727" t="str">
        <f>""</f>
        <v/>
      </c>
      <c r="H727" t="str">
        <f>"INV 01023881"</f>
        <v>INV 01023881</v>
      </c>
    </row>
    <row r="728" spans="1:8" x14ac:dyDescent="0.25">
      <c r="A728" t="s">
        <v>233</v>
      </c>
      <c r="B728">
        <v>80718</v>
      </c>
      <c r="C728" s="2">
        <v>1598.11</v>
      </c>
      <c r="D728" s="1">
        <v>43493</v>
      </c>
      <c r="E728" t="str">
        <f>"01092321  01161672"</f>
        <v>01092321  01161672</v>
      </c>
      <c r="F728" t="str">
        <f>"INV 01092321"</f>
        <v>INV 01092321</v>
      </c>
      <c r="G728" s="2">
        <v>1598.11</v>
      </c>
      <c r="H728" t="str">
        <f>"INV 01092321"</f>
        <v>INV 01092321</v>
      </c>
    </row>
    <row r="729" spans="1:8" x14ac:dyDescent="0.25">
      <c r="E729" t="str">
        <f>""</f>
        <v/>
      </c>
      <c r="F729" t="str">
        <f>""</f>
        <v/>
      </c>
      <c r="H729" t="str">
        <f>"INV 01161672"</f>
        <v>INV 01161672</v>
      </c>
    </row>
    <row r="730" spans="1:8" x14ac:dyDescent="0.25">
      <c r="A730" t="s">
        <v>234</v>
      </c>
      <c r="B730">
        <v>80719</v>
      </c>
      <c r="C730" s="2">
        <v>35330.28</v>
      </c>
      <c r="D730" s="1">
        <v>43493</v>
      </c>
      <c r="E730" t="str">
        <f>"201901236747"</f>
        <v>201901236747</v>
      </c>
      <c r="F730" t="str">
        <f>"LAKE COUNTRY CHEVROLET  INC."</f>
        <v>LAKE COUNTRY CHEVROLET  INC.</v>
      </c>
      <c r="G730" s="2">
        <v>35330.28</v>
      </c>
      <c r="H730" t="str">
        <f>"2018 CHEV TAHOE"</f>
        <v>2018 CHEV TAHOE</v>
      </c>
    </row>
    <row r="731" spans="1:8" x14ac:dyDescent="0.25">
      <c r="E731" t="str">
        <f>""</f>
        <v/>
      </c>
      <c r="F731" t="str">
        <f>""</f>
        <v/>
      </c>
      <c r="H731" t="str">
        <f>"DELIVERY CHARGE"</f>
        <v>DELIVERY CHARGE</v>
      </c>
    </row>
    <row r="732" spans="1:8" x14ac:dyDescent="0.25">
      <c r="A732" t="s">
        <v>235</v>
      </c>
      <c r="B732">
        <v>80402</v>
      </c>
      <c r="C732" s="2">
        <v>300</v>
      </c>
      <c r="D732" s="1">
        <v>43479</v>
      </c>
      <c r="E732" t="str">
        <f>"201901046375"</f>
        <v>201901046375</v>
      </c>
      <c r="F732" t="str">
        <f>"CLEANING SERVICE/PCT#2"</f>
        <v>CLEANING SERVICE/PCT#2</v>
      </c>
      <c r="G732" s="2">
        <v>150</v>
      </c>
      <c r="H732" t="str">
        <f>"CLEANING SERVICE/PCT#2"</f>
        <v>CLEANING SERVICE/PCT#2</v>
      </c>
    </row>
    <row r="733" spans="1:8" x14ac:dyDescent="0.25">
      <c r="E733" t="str">
        <f>"201901086426"</f>
        <v>201901086426</v>
      </c>
      <c r="F733" t="str">
        <f>"CLEANING/PCT#2"</f>
        <v>CLEANING/PCT#2</v>
      </c>
      <c r="G733" s="2">
        <v>150</v>
      </c>
      <c r="H733" t="str">
        <f>"CLEANING/PCT#2"</f>
        <v>CLEANING/PCT#2</v>
      </c>
    </row>
    <row r="734" spans="1:8" x14ac:dyDescent="0.25">
      <c r="A734" t="s">
        <v>235</v>
      </c>
      <c r="B734">
        <v>80720</v>
      </c>
      <c r="C734" s="2">
        <v>150</v>
      </c>
      <c r="D734" s="1">
        <v>43493</v>
      </c>
      <c r="E734" t="str">
        <f>"201901226713"</f>
        <v>201901226713</v>
      </c>
      <c r="F734" t="str">
        <f>"CLEANING/PCT#2"</f>
        <v>CLEANING/PCT#2</v>
      </c>
      <c r="G734" s="2">
        <v>150</v>
      </c>
      <c r="H734" t="str">
        <f>"CLEANING/PCT#2"</f>
        <v>CLEANING/PCT#2</v>
      </c>
    </row>
    <row r="735" spans="1:8" x14ac:dyDescent="0.25">
      <c r="A735" t="s">
        <v>236</v>
      </c>
      <c r="B735">
        <v>80403</v>
      </c>
      <c r="C735" s="2">
        <v>121.85</v>
      </c>
      <c r="D735" s="1">
        <v>43479</v>
      </c>
      <c r="E735" t="str">
        <f>"201901086418"</f>
        <v>201901086418</v>
      </c>
      <c r="F735" t="str">
        <f>"REIMBURSE OFFICE SUPPLIES"</f>
        <v>REIMBURSE OFFICE SUPPLIES</v>
      </c>
      <c r="G735" s="2">
        <v>121.85</v>
      </c>
      <c r="H735" t="str">
        <f>"REIMBURSE OFFICE SUPPLIES"</f>
        <v>REIMBURSE OFFICE SUPPLIES</v>
      </c>
    </row>
    <row r="736" spans="1:8" x14ac:dyDescent="0.25">
      <c r="A736" t="s">
        <v>237</v>
      </c>
      <c r="B736">
        <v>80404</v>
      </c>
      <c r="C736" s="2">
        <v>185</v>
      </c>
      <c r="D736" s="1">
        <v>43479</v>
      </c>
      <c r="E736" t="str">
        <f>"47257"</f>
        <v>47257</v>
      </c>
      <c r="F736" t="str">
        <f>"PCT#4"</f>
        <v>PCT#4</v>
      </c>
      <c r="G736" s="2">
        <v>185</v>
      </c>
      <c r="H736" t="str">
        <f>"PCT#4"</f>
        <v>PCT#4</v>
      </c>
    </row>
    <row r="737" spans="1:8" x14ac:dyDescent="0.25">
      <c r="A737" t="s">
        <v>238</v>
      </c>
      <c r="B737">
        <v>80405</v>
      </c>
      <c r="C737" s="2">
        <v>225</v>
      </c>
      <c r="D737" s="1">
        <v>43479</v>
      </c>
      <c r="E737" t="str">
        <f>"19223"</f>
        <v>19223</v>
      </c>
      <c r="F737" t="str">
        <f>"11465"</f>
        <v>11465</v>
      </c>
      <c r="G737" s="2">
        <v>225</v>
      </c>
      <c r="H737" t="str">
        <f>"11465"</f>
        <v>11465</v>
      </c>
    </row>
    <row r="738" spans="1:8" x14ac:dyDescent="0.25">
      <c r="A738" t="s">
        <v>239</v>
      </c>
      <c r="B738">
        <v>80406</v>
      </c>
      <c r="C738" s="2">
        <v>1010.9</v>
      </c>
      <c r="D738" s="1">
        <v>43479</v>
      </c>
      <c r="E738" t="str">
        <f>"1211621-20181231"</f>
        <v>1211621-20181231</v>
      </c>
      <c r="F738" t="str">
        <f>"BILLING ID:1211621/HEALTH SVCS"</f>
        <v>BILLING ID:1211621/HEALTH SVCS</v>
      </c>
      <c r="G738" s="2">
        <v>412</v>
      </c>
      <c r="H738" t="str">
        <f>"BILLING ID:1211621/HEALTH SVCS"</f>
        <v>BILLING ID:1211621/HEALTH SVCS</v>
      </c>
    </row>
    <row r="739" spans="1:8" x14ac:dyDescent="0.25">
      <c r="E739" t="str">
        <f>"1361725-20181231"</f>
        <v>1361725-20181231</v>
      </c>
      <c r="F739" t="str">
        <f>"BILLING:1361725/INDIGENT HEALT"</f>
        <v>BILLING:1361725/INDIGENT HEALT</v>
      </c>
      <c r="G739" s="2">
        <v>63.5</v>
      </c>
      <c r="H739" t="str">
        <f>"BILLING:1361725/INDIGENT HEALT"</f>
        <v>BILLING:1361725/INDIGENT HEALT</v>
      </c>
    </row>
    <row r="740" spans="1:8" x14ac:dyDescent="0.25">
      <c r="E740" t="str">
        <f>"1394645-20181231"</f>
        <v>1394645-20181231</v>
      </c>
      <c r="F740" t="str">
        <f>"BILLING:1394645/COUNTY CLERK"</f>
        <v>BILLING:1394645/COUNTY CLERK</v>
      </c>
      <c r="G740" s="2">
        <v>191</v>
      </c>
      <c r="H740" t="str">
        <f>"BILLING:1394645/COUNTY CLERK"</f>
        <v>BILLING:1394645/COUNTY CLERK</v>
      </c>
    </row>
    <row r="741" spans="1:8" x14ac:dyDescent="0.25">
      <c r="E741" t="str">
        <f>"1420944-20181231"</f>
        <v>1420944-20181231</v>
      </c>
      <c r="F741" t="str">
        <f>"BILLING ID:1420944/SHERIFF OFF"</f>
        <v>BILLING ID:1420944/SHERIFF OFF</v>
      </c>
      <c r="G741" s="2">
        <v>294.39999999999998</v>
      </c>
      <c r="H741" t="str">
        <f>"BILLING ID:1420944/SHERIFF OFF"</f>
        <v>BILLING ID:1420944/SHERIFF OFF</v>
      </c>
    </row>
    <row r="742" spans="1:8" x14ac:dyDescent="0.25">
      <c r="E742" t="str">
        <f>"1489870-20181231"</f>
        <v>1489870-20181231</v>
      </c>
      <c r="F742" t="str">
        <f>"BILLING ID:1489870/DISTRICT CL"</f>
        <v>BILLING ID:1489870/DISTRICT CL</v>
      </c>
      <c r="G742" s="2">
        <v>50</v>
      </c>
      <c r="H742" t="str">
        <f>"BILLING ID:1489870/DISTRICT CL"</f>
        <v>BILLING ID:1489870/DISTRICT CL</v>
      </c>
    </row>
    <row r="743" spans="1:8" x14ac:dyDescent="0.25">
      <c r="A743" t="s">
        <v>240</v>
      </c>
      <c r="B743">
        <v>325</v>
      </c>
      <c r="C743" s="2">
        <v>185.5</v>
      </c>
      <c r="D743" s="1">
        <v>43480</v>
      </c>
      <c r="E743" t="str">
        <f>"201901036364"</f>
        <v>201901036364</v>
      </c>
      <c r="F743" t="str">
        <f>"VEHICLE REGISTRATIONS/PCT#3"</f>
        <v>VEHICLE REGISTRATIONS/PCT#3</v>
      </c>
      <c r="G743" s="2">
        <v>73.5</v>
      </c>
      <c r="H743" t="str">
        <f>"VEHICLE REGISTRATIONS/PCT#3"</f>
        <v>VEHICLE REGISTRATIONS/PCT#3</v>
      </c>
    </row>
    <row r="744" spans="1:8" x14ac:dyDescent="0.25">
      <c r="E744" t="str">
        <f>"201901046377"</f>
        <v>201901046377</v>
      </c>
      <c r="F744" t="str">
        <f>"2019 KENWORTH REGIST/PCT#3"</f>
        <v>2019 KENWORTH REGIST/PCT#3</v>
      </c>
      <c r="G744" s="2">
        <v>22</v>
      </c>
      <c r="H744" t="str">
        <f>"2019 KENWORTH REGIST/PCT#3"</f>
        <v>2019 KENWORTH REGIST/PCT#3</v>
      </c>
    </row>
    <row r="745" spans="1:8" x14ac:dyDescent="0.25">
      <c r="E745" t="str">
        <f>"201901076398"</f>
        <v>201901076398</v>
      </c>
      <c r="F745" t="str">
        <f>"VEHICLE REGISTRATIONS-SHERIFF"</f>
        <v>VEHICLE REGISTRATIONS-SHERIFF</v>
      </c>
      <c r="G745" s="2">
        <v>22.5</v>
      </c>
      <c r="H745" t="str">
        <f>"VEHICLE REGISTRATIONS-SHERIFF"</f>
        <v>VEHICLE REGISTRATIONS-SHERIFF</v>
      </c>
    </row>
    <row r="746" spans="1:8" x14ac:dyDescent="0.25">
      <c r="E746" t="str">
        <f>"201901086431"</f>
        <v>201901086431</v>
      </c>
      <c r="F746" t="str">
        <f>"VEHICLE REGISTRATIONS/PCT#2"</f>
        <v>VEHICLE REGISTRATIONS/PCT#2</v>
      </c>
      <c r="G746" s="2">
        <v>67.5</v>
      </c>
      <c r="H746" t="str">
        <f>"VEHICLE REGISTRATIONS/PCT#2"</f>
        <v>VEHICLE REGISTRATIONS/PCT#2</v>
      </c>
    </row>
    <row r="747" spans="1:8" x14ac:dyDescent="0.25">
      <c r="A747" t="s">
        <v>240</v>
      </c>
      <c r="B747">
        <v>386</v>
      </c>
      <c r="C747" s="2">
        <v>270.55</v>
      </c>
      <c r="D747" s="1">
        <v>43494</v>
      </c>
      <c r="E747" t="str">
        <f>"201901166593"</f>
        <v>201901166593</v>
      </c>
      <c r="F747" t="str">
        <f>"FNB CHARGE FOR CHECKS"</f>
        <v>FNB CHARGE FOR CHECKS</v>
      </c>
      <c r="G747" s="2">
        <v>210.05</v>
      </c>
      <c r="H747" t="str">
        <f>"FNB CHARGE FOR CHECKS"</f>
        <v>FNB CHARGE FOR CHECKS</v>
      </c>
    </row>
    <row r="748" spans="1:8" x14ac:dyDescent="0.25">
      <c r="E748" t="str">
        <f>"201901176668"</f>
        <v>201901176668</v>
      </c>
      <c r="F748" t="str">
        <f>"2019 TRAILBOSS TITLE TRANSFER"</f>
        <v>2019 TRAILBOSS TITLE TRANSFER</v>
      </c>
      <c r="G748" s="2">
        <v>7.5</v>
      </c>
      <c r="H748" t="str">
        <f>"2019 TRAILBOSS TITLE TRANSFER"</f>
        <v>2019 TRAILBOSS TITLE TRANSFER</v>
      </c>
    </row>
    <row r="749" spans="1:8" x14ac:dyDescent="0.25">
      <c r="E749" t="str">
        <f>"201901176671"</f>
        <v>201901176671</v>
      </c>
      <c r="F749" t="str">
        <f>"TITLE TRANFERS - 2018 DODGE"</f>
        <v>TITLE TRANFERS - 2018 DODGE</v>
      </c>
      <c r="G749" s="2">
        <v>8</v>
      </c>
      <c r="H749" t="str">
        <f>"TITLE TRANFERS - 2018 DODGE"</f>
        <v>TITLE TRANFERS - 2018 DODGE</v>
      </c>
    </row>
    <row r="750" spans="1:8" x14ac:dyDescent="0.25">
      <c r="E750" t="str">
        <f>"201901226709"</f>
        <v>201901226709</v>
      </c>
      <c r="F750" t="str">
        <f>"2003 FORD/1999 FORD REGISTRATI"</f>
        <v>2003 FORD/1999 FORD REGISTRATI</v>
      </c>
      <c r="G750" s="2">
        <v>15</v>
      </c>
      <c r="H750" t="str">
        <f>"2003 FORD/1999 FORD REGISTRATI"</f>
        <v>2003 FORD/1999 FORD REGISTRATI</v>
      </c>
    </row>
    <row r="751" spans="1:8" x14ac:dyDescent="0.25">
      <c r="E751" t="str">
        <f>"201901226710"</f>
        <v>201901226710</v>
      </c>
      <c r="F751" t="str">
        <f>"2010 FORD REGISTRATION"</f>
        <v>2010 FORD REGISTRATION</v>
      </c>
      <c r="G751" s="2">
        <v>7.5</v>
      </c>
      <c r="H751" t="str">
        <f>"2010 FORD REGISTRATION"</f>
        <v>2010 FORD REGISTRATION</v>
      </c>
    </row>
    <row r="752" spans="1:8" x14ac:dyDescent="0.25">
      <c r="E752" t="str">
        <f>"201901226745"</f>
        <v>201901226745</v>
      </c>
      <c r="F752" t="str">
        <f>"VEHICLE REG-SHERIFF'S OFFICE"</f>
        <v>VEHICLE REG-SHERIFF'S OFFICE</v>
      </c>
      <c r="G752" s="2">
        <v>22.5</v>
      </c>
      <c r="H752" t="str">
        <f>"VEHICLE REG-SHERIFF'S OFFICE"</f>
        <v>VEHICLE REG-SHERIFF'S OFFICE</v>
      </c>
    </row>
    <row r="753" spans="1:8" x14ac:dyDescent="0.25">
      <c r="A753" t="s">
        <v>241</v>
      </c>
      <c r="B753">
        <v>360</v>
      </c>
      <c r="C753" s="2">
        <v>305</v>
      </c>
      <c r="D753" s="1">
        <v>43494</v>
      </c>
      <c r="E753" t="str">
        <f>"97497775"</f>
        <v>97497775</v>
      </c>
      <c r="F753" t="str">
        <f>"CLIENT:3619/GEN EMPLOYMENT"</f>
        <v>CLIENT:3619/GEN EMPLOYMENT</v>
      </c>
      <c r="G753" s="2">
        <v>305</v>
      </c>
      <c r="H753" t="str">
        <f>"CLIENT:3619/GEN EMPLOYMENT"</f>
        <v>CLIENT:3619/GEN EMPLOYMENT</v>
      </c>
    </row>
    <row r="754" spans="1:8" x14ac:dyDescent="0.25">
      <c r="A754" t="s">
        <v>242</v>
      </c>
      <c r="B754">
        <v>80721</v>
      </c>
      <c r="C754" s="2">
        <v>75</v>
      </c>
      <c r="D754" s="1">
        <v>43493</v>
      </c>
      <c r="E754" t="str">
        <f>"201901176691"</f>
        <v>201901176691</v>
      </c>
      <c r="F754" t="str">
        <f>"FERAL HOGS"</f>
        <v>FERAL HOGS</v>
      </c>
      <c r="G754" s="2">
        <v>75</v>
      </c>
      <c r="H754" t="str">
        <f>"FERAL HOGS"</f>
        <v>FERAL HOGS</v>
      </c>
    </row>
    <row r="755" spans="1:8" x14ac:dyDescent="0.25">
      <c r="A755" t="s">
        <v>243</v>
      </c>
      <c r="B755">
        <v>302</v>
      </c>
      <c r="C755" s="2">
        <v>13287.51</v>
      </c>
      <c r="D755" s="1">
        <v>43480</v>
      </c>
      <c r="E755" t="str">
        <f>"201901086441"</f>
        <v>201901086441</v>
      </c>
      <c r="F755" t="str">
        <f>"GRANT REIMBURSEMENT"</f>
        <v>GRANT REIMBURSEMENT</v>
      </c>
      <c r="G755" s="2">
        <v>10757.47</v>
      </c>
      <c r="H755" t="str">
        <f>"GRANT REIMBURSEMENT"</f>
        <v>GRANT REIMBURSEMENT</v>
      </c>
    </row>
    <row r="756" spans="1:8" x14ac:dyDescent="0.25">
      <c r="E756" t="str">
        <f>"201901096500"</f>
        <v>201901096500</v>
      </c>
      <c r="F756" t="str">
        <f>"INDIGENT HEALTH"</f>
        <v>INDIGENT HEALTH</v>
      </c>
      <c r="G756" s="2">
        <v>2530.04</v>
      </c>
      <c r="H756" t="str">
        <f>"INDIGENT HEALTH"</f>
        <v>INDIGENT HEALTH</v>
      </c>
    </row>
    <row r="757" spans="1:8" x14ac:dyDescent="0.25">
      <c r="E757" t="str">
        <f>""</f>
        <v/>
      </c>
      <c r="F757" t="str">
        <f>""</f>
        <v/>
      </c>
      <c r="H757" t="str">
        <f>"INDIGENT HEALTH"</f>
        <v>INDIGENT HEALTH</v>
      </c>
    </row>
    <row r="758" spans="1:8" x14ac:dyDescent="0.25">
      <c r="E758" t="str">
        <f>""</f>
        <v/>
      </c>
      <c r="F758" t="str">
        <f>""</f>
        <v/>
      </c>
      <c r="H758" t="str">
        <f>"INDIGENT HEALTH"</f>
        <v>INDIGENT HEALTH</v>
      </c>
    </row>
    <row r="759" spans="1:8" x14ac:dyDescent="0.25">
      <c r="A759" t="s">
        <v>244</v>
      </c>
      <c r="B759">
        <v>300</v>
      </c>
      <c r="C759" s="2">
        <v>4765.75</v>
      </c>
      <c r="D759" s="1">
        <v>43480</v>
      </c>
      <c r="E759" t="str">
        <f>"LS-2014EXP-0126-BC"</f>
        <v>LS-2014EXP-0126-BC</v>
      </c>
      <c r="F759" t="str">
        <f>"INV LS-2014EXP-0126-BCSO"</f>
        <v>INV LS-2014EXP-0126-BCSO</v>
      </c>
      <c r="G759" s="2">
        <v>2500</v>
      </c>
      <c r="H759" t="str">
        <f>"INV LS-2014EXP-0126-BCSO"</f>
        <v>INV LS-2014EXP-0126-BCSO</v>
      </c>
    </row>
    <row r="760" spans="1:8" x14ac:dyDescent="0.25">
      <c r="E760" t="str">
        <f>"LS-2016EXP-4720"</f>
        <v>LS-2016EXP-4720</v>
      </c>
      <c r="F760" t="str">
        <f>"INV LS-2016EXP-4720"</f>
        <v>INV LS-2016EXP-4720</v>
      </c>
      <c r="G760" s="2">
        <v>2265.75</v>
      </c>
      <c r="H760" t="str">
        <f>"INV LS-2016EXP-4720"</f>
        <v>INV LS-2016EXP-4720</v>
      </c>
    </row>
    <row r="761" spans="1:8" x14ac:dyDescent="0.25">
      <c r="A761" t="s">
        <v>245</v>
      </c>
      <c r="B761">
        <v>80407</v>
      </c>
      <c r="C761" s="2">
        <v>291.95</v>
      </c>
      <c r="D761" s="1">
        <v>43479</v>
      </c>
      <c r="E761" t="str">
        <f>"201901096501"</f>
        <v>201901096501</v>
      </c>
      <c r="F761" t="str">
        <f>"INDIGENT HEALTH"</f>
        <v>INDIGENT HEALTH</v>
      </c>
      <c r="G761" s="2">
        <v>291.95</v>
      </c>
      <c r="H761" t="str">
        <f>"INDIGENT HEALTH"</f>
        <v>INDIGENT HEALTH</v>
      </c>
    </row>
    <row r="762" spans="1:8" x14ac:dyDescent="0.25">
      <c r="A762" t="s">
        <v>246</v>
      </c>
      <c r="B762">
        <v>309</v>
      </c>
      <c r="C762" s="2">
        <v>260</v>
      </c>
      <c r="D762" s="1">
        <v>43480</v>
      </c>
      <c r="E762" t="str">
        <f>"201901086446"</f>
        <v>201901086446</v>
      </c>
      <c r="F762" t="str">
        <f>"TRASH REMOVAL 01/07-01/11/P4"</f>
        <v>TRASH REMOVAL 01/07-01/11/P4</v>
      </c>
      <c r="G762" s="2">
        <v>260</v>
      </c>
      <c r="H762" t="str">
        <f>"TRASH REMOVAL 01/07-01/11/P4"</f>
        <v>TRASH REMOVAL 01/07-01/11/P4</v>
      </c>
    </row>
    <row r="763" spans="1:8" x14ac:dyDescent="0.25">
      <c r="A763" t="s">
        <v>246</v>
      </c>
      <c r="B763">
        <v>368</v>
      </c>
      <c r="C763" s="2">
        <v>695.5</v>
      </c>
      <c r="D763" s="1">
        <v>43494</v>
      </c>
      <c r="E763" t="str">
        <f>"201901226716"</f>
        <v>201901226716</v>
      </c>
      <c r="F763" t="str">
        <f>"TRASH REMOVAL 01/14-01/25/PCT4"</f>
        <v>TRASH REMOVAL 01/14-01/25/PCT4</v>
      </c>
      <c r="G763" s="2">
        <v>695.5</v>
      </c>
      <c r="H763" t="str">
        <f>"TRASH REMOVAL 01/14-01/25/PCT4"</f>
        <v>TRASH REMOVAL 01/14-01/25/PCT4</v>
      </c>
    </row>
    <row r="764" spans="1:8" x14ac:dyDescent="0.25">
      <c r="A764" t="s">
        <v>247</v>
      </c>
      <c r="B764">
        <v>80722</v>
      </c>
      <c r="C764" s="2">
        <v>45</v>
      </c>
      <c r="D764" s="1">
        <v>43493</v>
      </c>
      <c r="E764" t="str">
        <f>"201901176692"</f>
        <v>201901176692</v>
      </c>
      <c r="F764" t="str">
        <f>"FERAL HOGS"</f>
        <v>FERAL HOGS</v>
      </c>
      <c r="G764" s="2">
        <v>35</v>
      </c>
      <c r="H764" t="str">
        <f>"FERAL HOGS"</f>
        <v>FERAL HOGS</v>
      </c>
    </row>
    <row r="765" spans="1:8" x14ac:dyDescent="0.25">
      <c r="E765" t="str">
        <f>"201901176693"</f>
        <v>201901176693</v>
      </c>
      <c r="F765" t="str">
        <f>"FERAL HOGS"</f>
        <v>FERAL HOGS</v>
      </c>
      <c r="G765" s="2">
        <v>10</v>
      </c>
      <c r="H765" t="str">
        <f>"FERAL HOGS"</f>
        <v>FERAL HOGS</v>
      </c>
    </row>
    <row r="766" spans="1:8" x14ac:dyDescent="0.25">
      <c r="A766" t="s">
        <v>248</v>
      </c>
      <c r="B766">
        <v>80723</v>
      </c>
      <c r="C766" s="2">
        <v>342.61</v>
      </c>
      <c r="D766" s="1">
        <v>43493</v>
      </c>
      <c r="E766" t="str">
        <f>"911896 914045 9149"</f>
        <v>911896 914045 9149</v>
      </c>
      <c r="F766" t="str">
        <f>"acct# 99006938692"</f>
        <v>acct# 99006938692</v>
      </c>
      <c r="G766" s="2">
        <v>342.61</v>
      </c>
      <c r="H766" t="str">
        <f>"Inv# 914950"</f>
        <v>Inv# 914950</v>
      </c>
    </row>
    <row r="767" spans="1:8" x14ac:dyDescent="0.25">
      <c r="E767" t="str">
        <f>""</f>
        <v/>
      </c>
      <c r="F767" t="str">
        <f>""</f>
        <v/>
      </c>
      <c r="H767" t="str">
        <f>"Inv# 911896"</f>
        <v>Inv# 911896</v>
      </c>
    </row>
    <row r="768" spans="1:8" x14ac:dyDescent="0.25">
      <c r="E768" t="str">
        <f>""</f>
        <v/>
      </c>
      <c r="F768" t="str">
        <f>""</f>
        <v/>
      </c>
      <c r="H768" t="str">
        <f>"Inv# 917028"</f>
        <v>Inv# 917028</v>
      </c>
    </row>
    <row r="769" spans="1:8" x14ac:dyDescent="0.25">
      <c r="E769" t="str">
        <f>""</f>
        <v/>
      </c>
      <c r="F769" t="str">
        <f>""</f>
        <v/>
      </c>
      <c r="H769" t="str">
        <f>"Inv# 914045"</f>
        <v>Inv# 914045</v>
      </c>
    </row>
    <row r="770" spans="1:8" x14ac:dyDescent="0.25">
      <c r="A770" t="s">
        <v>249</v>
      </c>
      <c r="B770">
        <v>80724</v>
      </c>
      <c r="C770" s="2">
        <v>40</v>
      </c>
      <c r="D770" s="1">
        <v>43493</v>
      </c>
      <c r="E770" t="str">
        <f>"201901176694"</f>
        <v>201901176694</v>
      </c>
      <c r="F770" t="str">
        <f>"FERAL HOGS"</f>
        <v>FERAL HOGS</v>
      </c>
      <c r="G770" s="2">
        <v>40</v>
      </c>
      <c r="H770" t="str">
        <f>"FERAL HOGS"</f>
        <v>FERAL HOGS</v>
      </c>
    </row>
    <row r="771" spans="1:8" x14ac:dyDescent="0.25">
      <c r="A771" t="s">
        <v>250</v>
      </c>
      <c r="B771">
        <v>80408</v>
      </c>
      <c r="C771" s="2">
        <v>150</v>
      </c>
      <c r="D771" s="1">
        <v>43479</v>
      </c>
      <c r="E771" t="str">
        <f>"8082"</f>
        <v>8082</v>
      </c>
      <c r="F771" t="str">
        <f>"FINISH &amp; INSTALL TINT/PCT#4"</f>
        <v>FINISH &amp; INSTALL TINT/PCT#4</v>
      </c>
      <c r="G771" s="2">
        <v>150</v>
      </c>
      <c r="H771" t="str">
        <f>"FINISH &amp; INSTALL TINT/PCT#4"</f>
        <v>FINISH &amp; INSTALL TINT/PCT#4</v>
      </c>
    </row>
    <row r="772" spans="1:8" x14ac:dyDescent="0.25">
      <c r="A772" t="s">
        <v>251</v>
      </c>
      <c r="B772">
        <v>80409</v>
      </c>
      <c r="C772" s="2">
        <v>1955</v>
      </c>
      <c r="D772" s="1">
        <v>43479</v>
      </c>
      <c r="E772" t="str">
        <f>"12239"</f>
        <v>12239</v>
      </c>
      <c r="F772" t="str">
        <f>"HALL/OFFICE/AFTER HRS/SET UP"</f>
        <v>HALL/OFFICE/AFTER HRS/SET UP</v>
      </c>
      <c r="G772" s="2">
        <v>500</v>
      </c>
      <c r="H772" t="str">
        <f>"HALL/OFFICE/AFTER HRS/SET UP"</f>
        <v>HALL/OFFICE/AFTER HRS/SET UP</v>
      </c>
    </row>
    <row r="773" spans="1:8" x14ac:dyDescent="0.25">
      <c r="E773" t="str">
        <f>"12270"</f>
        <v>12270</v>
      </c>
      <c r="F773" t="str">
        <f>"EXEMPT PREP/WAX/GEN SVCS"</f>
        <v>EXEMPT PREP/WAX/GEN SVCS</v>
      </c>
      <c r="G773" s="2">
        <v>1455</v>
      </c>
      <c r="H773" t="str">
        <f>"EXEMPT PREP/WAX/GEN SVCS"</f>
        <v>EXEMPT PREP/WAX/GEN SVCS</v>
      </c>
    </row>
    <row r="774" spans="1:8" x14ac:dyDescent="0.25">
      <c r="A774" t="s">
        <v>252</v>
      </c>
      <c r="B774">
        <v>80410</v>
      </c>
      <c r="C774" s="2">
        <v>1550</v>
      </c>
      <c r="D774" s="1">
        <v>43479</v>
      </c>
      <c r="E774" t="str">
        <f>"201901046381"</f>
        <v>201901046381</v>
      </c>
      <c r="F774" t="str">
        <f>"CHANGE IN FEE CHARGES"</f>
        <v>CHANGE IN FEE CHARGES</v>
      </c>
      <c r="G774" s="2">
        <v>775</v>
      </c>
      <c r="H774" t="str">
        <f>"CHANGE IN FEE CHARGES"</f>
        <v>CHANGE IN FEE CHARGES</v>
      </c>
    </row>
    <row r="775" spans="1:8" x14ac:dyDescent="0.25">
      <c r="E775" t="str">
        <f>"201901046382"</f>
        <v>201901046382</v>
      </c>
      <c r="F775" t="str">
        <f>"CHANGE IN FEE CHARGES"</f>
        <v>CHANGE IN FEE CHARGES</v>
      </c>
      <c r="G775" s="2">
        <v>775</v>
      </c>
      <c r="H775" t="str">
        <f>"CHANGE IN FEE CHARGES"</f>
        <v>CHANGE IN FEE CHARGES</v>
      </c>
    </row>
    <row r="776" spans="1:8" x14ac:dyDescent="0.25">
      <c r="A776" t="s">
        <v>253</v>
      </c>
      <c r="B776">
        <v>80725</v>
      </c>
      <c r="C776" s="2">
        <v>5</v>
      </c>
      <c r="D776" s="1">
        <v>43493</v>
      </c>
      <c r="E776" t="str">
        <f>"201901176695"</f>
        <v>201901176695</v>
      </c>
      <c r="F776" t="str">
        <f>"FERAL HOGS"</f>
        <v>FERAL HOGS</v>
      </c>
      <c r="G776" s="2">
        <v>5</v>
      </c>
      <c r="H776" t="str">
        <f>"FERAL HOGS"</f>
        <v>FERAL HOGS</v>
      </c>
    </row>
    <row r="777" spans="1:8" x14ac:dyDescent="0.25">
      <c r="A777" t="s">
        <v>254</v>
      </c>
      <c r="B777">
        <v>80411</v>
      </c>
      <c r="C777" s="2">
        <v>300</v>
      </c>
      <c r="D777" s="1">
        <v>43479</v>
      </c>
      <c r="E777" t="str">
        <f>"201812286035"</f>
        <v>201812286035</v>
      </c>
      <c r="F777" t="str">
        <f>"REIMBURSE MOBILE FOOD PERMIT"</f>
        <v>REIMBURSE MOBILE FOOD PERMIT</v>
      </c>
      <c r="G777" s="2">
        <v>150</v>
      </c>
      <c r="H777" t="str">
        <f>"REIMBURSE MOBILE FOOD PERMIT"</f>
        <v>REIMBURSE MOBILE FOOD PERMIT</v>
      </c>
    </row>
    <row r="778" spans="1:8" x14ac:dyDescent="0.25">
      <c r="E778" t="str">
        <f>"201812286036"</f>
        <v>201812286036</v>
      </c>
      <c r="F778" t="str">
        <f>"REFUND YEARLY FOOD PERMIT"</f>
        <v>REFUND YEARLY FOOD PERMIT</v>
      </c>
      <c r="G778" s="2">
        <v>150</v>
      </c>
      <c r="H778" t="str">
        <f>"REFUND YEARLY FOOD PERMIT"</f>
        <v>REFUND YEARLY FOOD PERMIT</v>
      </c>
    </row>
    <row r="779" spans="1:8" x14ac:dyDescent="0.25">
      <c r="A779" t="s">
        <v>255</v>
      </c>
      <c r="B779">
        <v>310</v>
      </c>
      <c r="C779" s="2">
        <v>180</v>
      </c>
      <c r="D779" s="1">
        <v>43480</v>
      </c>
      <c r="E779" t="str">
        <f>"10620"</f>
        <v>10620</v>
      </c>
      <c r="F779" t="str">
        <f>"RESEARCH"</f>
        <v>RESEARCH</v>
      </c>
      <c r="G779" s="2">
        <v>180</v>
      </c>
      <c r="H779" t="str">
        <f>"RESEARCH"</f>
        <v>RESEARCH</v>
      </c>
    </row>
    <row r="780" spans="1:8" x14ac:dyDescent="0.25">
      <c r="A780" t="s">
        <v>256</v>
      </c>
      <c r="B780">
        <v>80412</v>
      </c>
      <c r="C780" s="2">
        <v>476.06</v>
      </c>
      <c r="D780" s="1">
        <v>43479</v>
      </c>
      <c r="E780" t="str">
        <f>"201901096502"</f>
        <v>201901096502</v>
      </c>
      <c r="F780" t="str">
        <f>"INDIGENT HEALTH"</f>
        <v>INDIGENT HEALTH</v>
      </c>
      <c r="G780" s="2">
        <v>476.06</v>
      </c>
      <c r="H780" t="str">
        <f>"INDIGENT HEALTH"</f>
        <v>INDIGENT HEALTH</v>
      </c>
    </row>
    <row r="781" spans="1:8" x14ac:dyDescent="0.25">
      <c r="E781" t="str">
        <f>""</f>
        <v/>
      </c>
      <c r="F781" t="str">
        <f>""</f>
        <v/>
      </c>
      <c r="H781" t="str">
        <f>"INDIGENT HEALTH"</f>
        <v>INDIGENT HEALTH</v>
      </c>
    </row>
    <row r="782" spans="1:8" x14ac:dyDescent="0.25">
      <c r="E782" t="str">
        <f>""</f>
        <v/>
      </c>
      <c r="F782" t="str">
        <f>""</f>
        <v/>
      </c>
      <c r="H782" t="str">
        <f>"INDIGENT HEALTH"</f>
        <v>INDIGENT HEALTH</v>
      </c>
    </row>
    <row r="783" spans="1:8" x14ac:dyDescent="0.25">
      <c r="A783" t="s">
        <v>257</v>
      </c>
      <c r="B783">
        <v>80413</v>
      </c>
      <c r="C783" s="2">
        <v>937.38</v>
      </c>
      <c r="D783" s="1">
        <v>43479</v>
      </c>
      <c r="E783" t="str">
        <f>"INV001762816"</f>
        <v>INV001762816</v>
      </c>
      <c r="F783" t="str">
        <f>"INV001762816"</f>
        <v>INV001762816</v>
      </c>
      <c r="G783" s="2">
        <v>937.38</v>
      </c>
      <c r="H783" t="str">
        <f>"INV001762816"</f>
        <v>INV001762816</v>
      </c>
    </row>
    <row r="784" spans="1:8" x14ac:dyDescent="0.25">
      <c r="A784" t="s">
        <v>258</v>
      </c>
      <c r="B784">
        <v>299</v>
      </c>
      <c r="C784" s="2">
        <v>2687.5</v>
      </c>
      <c r="D784" s="1">
        <v>43480</v>
      </c>
      <c r="E784" t="str">
        <f>"201901036092"</f>
        <v>201901036092</v>
      </c>
      <c r="F784" t="str">
        <f>"18-19321"</f>
        <v>18-19321</v>
      </c>
      <c r="G784" s="2">
        <v>100</v>
      </c>
      <c r="H784" t="str">
        <f>"18-19321"</f>
        <v>18-19321</v>
      </c>
    </row>
    <row r="785" spans="1:8" x14ac:dyDescent="0.25">
      <c r="E785" t="str">
        <f>"201901036100"</f>
        <v>201901036100</v>
      </c>
      <c r="F785" t="str">
        <f>"18-19288"</f>
        <v>18-19288</v>
      </c>
      <c r="G785" s="2">
        <v>325</v>
      </c>
      <c r="H785" t="str">
        <f>"18-19288"</f>
        <v>18-19288</v>
      </c>
    </row>
    <row r="786" spans="1:8" x14ac:dyDescent="0.25">
      <c r="E786" t="str">
        <f>"201901036101"</f>
        <v>201901036101</v>
      </c>
      <c r="F786" t="str">
        <f>"18-19155"</f>
        <v>18-19155</v>
      </c>
      <c r="G786" s="2">
        <v>100</v>
      </c>
      <c r="H786" t="str">
        <f>"18-19155"</f>
        <v>18-19155</v>
      </c>
    </row>
    <row r="787" spans="1:8" x14ac:dyDescent="0.25">
      <c r="E787" t="str">
        <f>"201901036102"</f>
        <v>201901036102</v>
      </c>
      <c r="F787" t="str">
        <f>"18-18997"</f>
        <v>18-18997</v>
      </c>
      <c r="G787" s="2">
        <v>100</v>
      </c>
      <c r="H787" t="str">
        <f>"18-18997"</f>
        <v>18-18997</v>
      </c>
    </row>
    <row r="788" spans="1:8" x14ac:dyDescent="0.25">
      <c r="E788" t="str">
        <f>"201901036103"</f>
        <v>201901036103</v>
      </c>
      <c r="F788" t="str">
        <f>"18-18960"</f>
        <v>18-18960</v>
      </c>
      <c r="G788" s="2">
        <v>300</v>
      </c>
      <c r="H788" t="str">
        <f>"18-18960"</f>
        <v>18-18960</v>
      </c>
    </row>
    <row r="789" spans="1:8" x14ac:dyDescent="0.25">
      <c r="E789" t="str">
        <f>"201901036104"</f>
        <v>201901036104</v>
      </c>
      <c r="F789" t="str">
        <f>"18-18885"</f>
        <v>18-18885</v>
      </c>
      <c r="G789" s="2">
        <v>1031.25</v>
      </c>
      <c r="H789" t="str">
        <f>"18-18885"</f>
        <v>18-18885</v>
      </c>
    </row>
    <row r="790" spans="1:8" x14ac:dyDescent="0.25">
      <c r="E790" t="str">
        <f>"201901036105"</f>
        <v>201901036105</v>
      </c>
      <c r="F790" t="str">
        <f>"18-19093"</f>
        <v>18-19093</v>
      </c>
      <c r="G790" s="2">
        <v>481.25</v>
      </c>
      <c r="H790" t="str">
        <f>"18-19093"</f>
        <v>18-19093</v>
      </c>
    </row>
    <row r="791" spans="1:8" x14ac:dyDescent="0.25">
      <c r="E791" t="str">
        <f>"201901036119"</f>
        <v>201901036119</v>
      </c>
      <c r="F791" t="str">
        <f>"56 379"</f>
        <v>56 379</v>
      </c>
      <c r="G791" s="2">
        <v>250</v>
      </c>
      <c r="H791" t="str">
        <f>"56 379"</f>
        <v>56 379</v>
      </c>
    </row>
    <row r="792" spans="1:8" x14ac:dyDescent="0.25">
      <c r="A792" t="s">
        <v>259</v>
      </c>
      <c r="B792">
        <v>80414</v>
      </c>
      <c r="C792" s="2">
        <v>405.64</v>
      </c>
      <c r="D792" s="1">
        <v>43479</v>
      </c>
      <c r="E792" t="str">
        <f>"18895380"</f>
        <v>18895380</v>
      </c>
      <c r="F792" t="str">
        <f>"INV 18895380"</f>
        <v>INV 18895380</v>
      </c>
      <c r="G792" s="2">
        <v>52.22</v>
      </c>
      <c r="H792" t="str">
        <f>"INV 18895380"</f>
        <v>INV 18895380</v>
      </c>
    </row>
    <row r="793" spans="1:8" x14ac:dyDescent="0.25">
      <c r="E793" t="str">
        <f>"201901086422"</f>
        <v>201901086422</v>
      </c>
      <c r="F793" t="str">
        <f>"CUST#41472/PCT#1"</f>
        <v>CUST#41472/PCT#1</v>
      </c>
      <c r="G793" s="2">
        <v>45.96</v>
      </c>
      <c r="H793" t="str">
        <f>"CUST#41472/PCT#1"</f>
        <v>CUST#41472/PCT#1</v>
      </c>
    </row>
    <row r="794" spans="1:8" x14ac:dyDescent="0.25">
      <c r="E794" t="str">
        <f>"201901086423"</f>
        <v>201901086423</v>
      </c>
      <c r="F794" t="str">
        <f>"CUST#S9547/PCT#1"</f>
        <v>CUST#S9547/PCT#1</v>
      </c>
      <c r="G794" s="2">
        <v>225</v>
      </c>
      <c r="H794" t="str">
        <f>"CUST#S9547/PCT#1"</f>
        <v>CUST#S9547/PCT#1</v>
      </c>
    </row>
    <row r="795" spans="1:8" x14ac:dyDescent="0.25">
      <c r="E795" t="str">
        <f>"201901086430"</f>
        <v>201901086430</v>
      </c>
      <c r="F795" t="str">
        <f>"CUST#45057/PCT#4"</f>
        <v>CUST#45057/PCT#4</v>
      </c>
      <c r="G795" s="2">
        <v>82.46</v>
      </c>
      <c r="H795" t="str">
        <f>"CUST#45057/PCT#4"</f>
        <v>CUST#45057/PCT#4</v>
      </c>
    </row>
    <row r="796" spans="1:8" x14ac:dyDescent="0.25">
      <c r="A796" t="s">
        <v>260</v>
      </c>
      <c r="B796">
        <v>80415</v>
      </c>
      <c r="C796" s="2">
        <v>4065.38</v>
      </c>
      <c r="D796" s="1">
        <v>43479</v>
      </c>
      <c r="E796" t="str">
        <f>"201812286032"</f>
        <v>201812286032</v>
      </c>
      <c r="F796" t="str">
        <f>"PSYCHOLOGY SVCS/TRAVEL"</f>
        <v>PSYCHOLOGY SVCS/TRAVEL</v>
      </c>
      <c r="G796" s="2">
        <v>4065.38</v>
      </c>
      <c r="H796" t="str">
        <f>"PSYCHOLOGY SVCS/TRAVEL"</f>
        <v>PSYCHOLOGY SVCS/TRAVEL</v>
      </c>
    </row>
    <row r="797" spans="1:8" x14ac:dyDescent="0.25">
      <c r="A797" t="s">
        <v>261</v>
      </c>
      <c r="B797">
        <v>321</v>
      </c>
      <c r="C797" s="2">
        <v>12.58</v>
      </c>
      <c r="D797" s="1">
        <v>43480</v>
      </c>
      <c r="E797" t="str">
        <f>"665653"</f>
        <v>665653</v>
      </c>
      <c r="F797" t="str">
        <f>"ACCT#900-98011130-001/PCT#3"</f>
        <v>ACCT#900-98011130-001/PCT#3</v>
      </c>
      <c r="G797" s="2">
        <v>12.58</v>
      </c>
      <c r="H797" t="str">
        <f>"ACCT#900-98011130-001/PCT#3"</f>
        <v>ACCT#900-98011130-001/PCT#3</v>
      </c>
    </row>
    <row r="798" spans="1:8" x14ac:dyDescent="0.25">
      <c r="A798" t="s">
        <v>262</v>
      </c>
      <c r="B798">
        <v>80416</v>
      </c>
      <c r="C798" s="2">
        <v>14465.48</v>
      </c>
      <c r="D798" s="1">
        <v>43479</v>
      </c>
      <c r="E798" t="str">
        <f>"12105"</f>
        <v>12105</v>
      </c>
      <c r="F798" t="str">
        <f t="shared" ref="F798:F805" si="7">"ABST FEE"</f>
        <v>ABST FEE</v>
      </c>
      <c r="G798" s="2">
        <v>44</v>
      </c>
      <c r="H798" t="str">
        <f t="shared" ref="H798:H805" si="8">"ABST FEE"</f>
        <v>ABST FEE</v>
      </c>
    </row>
    <row r="799" spans="1:8" x14ac:dyDescent="0.25">
      <c r="E799" t="str">
        <f>"12836"</f>
        <v>12836</v>
      </c>
      <c r="F799" t="str">
        <f t="shared" si="7"/>
        <v>ABST FEE</v>
      </c>
      <c r="G799" s="2">
        <v>225</v>
      </c>
      <c r="H799" t="str">
        <f t="shared" si="8"/>
        <v>ABST FEE</v>
      </c>
    </row>
    <row r="800" spans="1:8" x14ac:dyDescent="0.25">
      <c r="E800" t="str">
        <f>"12902"</f>
        <v>12902</v>
      </c>
      <c r="F800" t="str">
        <f t="shared" si="7"/>
        <v>ABST FEE</v>
      </c>
      <c r="G800" s="2">
        <v>225</v>
      </c>
      <c r="H800" t="str">
        <f t="shared" si="8"/>
        <v>ABST FEE</v>
      </c>
    </row>
    <row r="801" spans="1:8" x14ac:dyDescent="0.25">
      <c r="E801" t="str">
        <f>"12918"</f>
        <v>12918</v>
      </c>
      <c r="F801" t="str">
        <f t="shared" si="7"/>
        <v>ABST FEE</v>
      </c>
      <c r="G801" s="2">
        <v>225</v>
      </c>
      <c r="H801" t="str">
        <f t="shared" si="8"/>
        <v>ABST FEE</v>
      </c>
    </row>
    <row r="802" spans="1:8" x14ac:dyDescent="0.25">
      <c r="E802" t="str">
        <f>"12924"</f>
        <v>12924</v>
      </c>
      <c r="F802" t="str">
        <f t="shared" si="7"/>
        <v>ABST FEE</v>
      </c>
      <c r="G802" s="2">
        <v>225</v>
      </c>
      <c r="H802" t="str">
        <f t="shared" si="8"/>
        <v>ABST FEE</v>
      </c>
    </row>
    <row r="803" spans="1:8" x14ac:dyDescent="0.25">
      <c r="E803" t="str">
        <f>"12956"</f>
        <v>12956</v>
      </c>
      <c r="F803" t="str">
        <f t="shared" si="7"/>
        <v>ABST FEE</v>
      </c>
      <c r="G803" s="2">
        <v>150</v>
      </c>
      <c r="H803" t="str">
        <f t="shared" si="8"/>
        <v>ABST FEE</v>
      </c>
    </row>
    <row r="804" spans="1:8" x14ac:dyDescent="0.25">
      <c r="E804" t="str">
        <f>"13017"</f>
        <v>13017</v>
      </c>
      <c r="F804" t="str">
        <f t="shared" si="7"/>
        <v>ABST FEE</v>
      </c>
      <c r="G804" s="2">
        <v>50</v>
      </c>
      <c r="H804" t="str">
        <f t="shared" si="8"/>
        <v>ABST FEE</v>
      </c>
    </row>
    <row r="805" spans="1:8" x14ac:dyDescent="0.25">
      <c r="E805" t="str">
        <f>"13078"</f>
        <v>13078</v>
      </c>
      <c r="F805" t="str">
        <f t="shared" si="7"/>
        <v>ABST FEE</v>
      </c>
      <c r="G805" s="2">
        <v>225</v>
      </c>
      <c r="H805" t="str">
        <f t="shared" si="8"/>
        <v>ABST FEE</v>
      </c>
    </row>
    <row r="806" spans="1:8" x14ac:dyDescent="0.25">
      <c r="E806" t="str">
        <f>"201901046395"</f>
        <v>201901046395</v>
      </c>
      <c r="F806" t="str">
        <f>"DELINQUENT TAX-DECEMBER 2018"</f>
        <v>DELINQUENT TAX-DECEMBER 2018</v>
      </c>
      <c r="G806" s="2">
        <v>13096.48</v>
      </c>
      <c r="H806" t="str">
        <f>"DELINQUENT TAX-DECEMBER 2018"</f>
        <v>DELINQUENT TAX-DECEMBER 2018</v>
      </c>
    </row>
    <row r="807" spans="1:8" x14ac:dyDescent="0.25">
      <c r="A807" t="s">
        <v>262</v>
      </c>
      <c r="B807">
        <v>80726</v>
      </c>
      <c r="C807" s="2">
        <v>1891</v>
      </c>
      <c r="D807" s="1">
        <v>43493</v>
      </c>
      <c r="E807" t="str">
        <f>"12105  12/19/18"</f>
        <v>12105  12/19/18</v>
      </c>
      <c r="F807" t="str">
        <f t="shared" ref="F807:F816" si="9">"ABST FEE"</f>
        <v>ABST FEE</v>
      </c>
      <c r="G807" s="2">
        <v>131</v>
      </c>
      <c r="H807" t="str">
        <f t="shared" ref="H807:H816" si="10">"ABST FEE"</f>
        <v>ABST FEE</v>
      </c>
    </row>
    <row r="808" spans="1:8" x14ac:dyDescent="0.25">
      <c r="E808" t="str">
        <f>"12311  12/07/18"</f>
        <v>12311  12/07/18</v>
      </c>
      <c r="F808" t="str">
        <f t="shared" si="9"/>
        <v>ABST FEE</v>
      </c>
      <c r="G808" s="2">
        <v>60</v>
      </c>
      <c r="H808" t="str">
        <f t="shared" si="10"/>
        <v>ABST FEE</v>
      </c>
    </row>
    <row r="809" spans="1:8" x14ac:dyDescent="0.25">
      <c r="E809" t="str">
        <f>"12515"</f>
        <v>12515</v>
      </c>
      <c r="F809" t="str">
        <f t="shared" si="9"/>
        <v>ABST FEE</v>
      </c>
      <c r="G809" s="2">
        <v>175</v>
      </c>
      <c r="H809" t="str">
        <f t="shared" si="10"/>
        <v>ABST FEE</v>
      </c>
    </row>
    <row r="810" spans="1:8" x14ac:dyDescent="0.25">
      <c r="E810" t="str">
        <f>"12538"</f>
        <v>12538</v>
      </c>
      <c r="F810" t="str">
        <f t="shared" si="9"/>
        <v>ABST FEE</v>
      </c>
      <c r="G810" s="2">
        <v>175</v>
      </c>
      <c r="H810" t="str">
        <f t="shared" si="10"/>
        <v>ABST FEE</v>
      </c>
    </row>
    <row r="811" spans="1:8" x14ac:dyDescent="0.25">
      <c r="E811" t="str">
        <f>"12613"</f>
        <v>12613</v>
      </c>
      <c r="F811" t="str">
        <f t="shared" si="9"/>
        <v>ABST FEE</v>
      </c>
      <c r="G811" s="2">
        <v>225</v>
      </c>
      <c r="H811" t="str">
        <f t="shared" si="10"/>
        <v>ABST FEE</v>
      </c>
    </row>
    <row r="812" spans="1:8" x14ac:dyDescent="0.25">
      <c r="E812" t="str">
        <f>"12857"</f>
        <v>12857</v>
      </c>
      <c r="F812" t="str">
        <f t="shared" si="9"/>
        <v>ABST FEE</v>
      </c>
      <c r="G812" s="2">
        <v>225</v>
      </c>
      <c r="H812" t="str">
        <f t="shared" si="10"/>
        <v>ABST FEE</v>
      </c>
    </row>
    <row r="813" spans="1:8" x14ac:dyDescent="0.25">
      <c r="E813" t="str">
        <f>"12873"</f>
        <v>12873</v>
      </c>
      <c r="F813" t="str">
        <f t="shared" si="9"/>
        <v>ABST FEE</v>
      </c>
      <c r="G813" s="2">
        <v>225</v>
      </c>
      <c r="H813" t="str">
        <f t="shared" si="10"/>
        <v>ABST FEE</v>
      </c>
    </row>
    <row r="814" spans="1:8" x14ac:dyDescent="0.25">
      <c r="E814" t="str">
        <f>"12910"</f>
        <v>12910</v>
      </c>
      <c r="F814" t="str">
        <f t="shared" si="9"/>
        <v>ABST FEE</v>
      </c>
      <c r="G814" s="2">
        <v>225</v>
      </c>
      <c r="H814" t="str">
        <f t="shared" si="10"/>
        <v>ABST FEE</v>
      </c>
    </row>
    <row r="815" spans="1:8" x14ac:dyDescent="0.25">
      <c r="E815" t="str">
        <f>"12922"</f>
        <v>12922</v>
      </c>
      <c r="F815" t="str">
        <f t="shared" si="9"/>
        <v>ABST FEE</v>
      </c>
      <c r="G815" s="2">
        <v>225</v>
      </c>
      <c r="H815" t="str">
        <f t="shared" si="10"/>
        <v>ABST FEE</v>
      </c>
    </row>
    <row r="816" spans="1:8" x14ac:dyDescent="0.25">
      <c r="E816" t="str">
        <f>"13074"</f>
        <v>13074</v>
      </c>
      <c r="F816" t="str">
        <f t="shared" si="9"/>
        <v>ABST FEE</v>
      </c>
      <c r="G816" s="2">
        <v>225</v>
      </c>
      <c r="H816" t="str">
        <f t="shared" si="10"/>
        <v>ABST FEE</v>
      </c>
    </row>
    <row r="817" spans="1:8" x14ac:dyDescent="0.25">
      <c r="A817" t="s">
        <v>263</v>
      </c>
      <c r="B817">
        <v>80417</v>
      </c>
      <c r="C817" s="2">
        <v>717.68</v>
      </c>
      <c r="D817" s="1">
        <v>43479</v>
      </c>
      <c r="E817" t="str">
        <f>"201901096503"</f>
        <v>201901096503</v>
      </c>
      <c r="F817" t="str">
        <f>"INDIGENT HEALTH"</f>
        <v>INDIGENT HEALTH</v>
      </c>
      <c r="G817" s="2">
        <v>717.68</v>
      </c>
      <c r="H817" t="str">
        <f>"INDIGENT HEALTH"</f>
        <v>INDIGENT HEALTH</v>
      </c>
    </row>
    <row r="818" spans="1:8" x14ac:dyDescent="0.25">
      <c r="A818" t="s">
        <v>264</v>
      </c>
      <c r="B818">
        <v>80418</v>
      </c>
      <c r="C818" s="2">
        <v>2000</v>
      </c>
      <c r="D818" s="1">
        <v>43479</v>
      </c>
      <c r="E818" t="str">
        <f>"201901096474"</f>
        <v>201901096474</v>
      </c>
      <c r="F818" t="str">
        <f>"VET SURG SVCS-12/20/18-1/7/19"</f>
        <v>VET SURG SVCS-12/20/18-1/7/19</v>
      </c>
      <c r="G818" s="2">
        <v>2000</v>
      </c>
      <c r="H818" t="str">
        <f>"VET SURG SVCS-12/20/18-1/7/19"</f>
        <v>VET SURG SVCS-12/20/18-1/7/19</v>
      </c>
    </row>
    <row r="819" spans="1:8" x14ac:dyDescent="0.25">
      <c r="A819" t="s">
        <v>264</v>
      </c>
      <c r="B819">
        <v>80727</v>
      </c>
      <c r="C819" s="2">
        <v>500</v>
      </c>
      <c r="D819" s="1">
        <v>43493</v>
      </c>
      <c r="E819" t="str">
        <f>"201901226720"</f>
        <v>201901226720</v>
      </c>
      <c r="F819" t="str">
        <f>"SURGICAL SVCS JANUARY 17 2019"</f>
        <v>SURGICAL SVCS JANUARY 17 2019</v>
      </c>
      <c r="G819" s="2">
        <v>500</v>
      </c>
      <c r="H819" t="str">
        <f>"SURGICAL SVCS JANUARY 17 2019"</f>
        <v>SURGICAL SVCS JANUARY 17 2019</v>
      </c>
    </row>
    <row r="820" spans="1:8" x14ac:dyDescent="0.25">
      <c r="A820" t="s">
        <v>265</v>
      </c>
      <c r="B820">
        <v>80419</v>
      </c>
      <c r="C820" s="2">
        <v>6564.7</v>
      </c>
      <c r="D820" s="1">
        <v>43479</v>
      </c>
      <c r="E820" t="str">
        <f>"18639"</f>
        <v>18639</v>
      </c>
      <c r="F820" t="str">
        <f t="shared" ref="F820:F825" si="11">"FREIGHT SALES/PCT#2"</f>
        <v>FREIGHT SALES/PCT#2</v>
      </c>
      <c r="G820" s="2">
        <v>2141.4</v>
      </c>
      <c r="H820" t="str">
        <f t="shared" ref="H820:H825" si="12">"FREIGHT SALES/PCT#2"</f>
        <v>FREIGHT SALES/PCT#2</v>
      </c>
    </row>
    <row r="821" spans="1:8" x14ac:dyDescent="0.25">
      <c r="E821" t="str">
        <f>"18656"</f>
        <v>18656</v>
      </c>
      <c r="F821" t="str">
        <f t="shared" si="11"/>
        <v>FREIGHT SALES/PCT#2</v>
      </c>
      <c r="G821" s="2">
        <v>454.85</v>
      </c>
      <c r="H821" t="str">
        <f t="shared" si="12"/>
        <v>FREIGHT SALES/PCT#2</v>
      </c>
    </row>
    <row r="822" spans="1:8" x14ac:dyDescent="0.25">
      <c r="E822" t="str">
        <f>"18691"</f>
        <v>18691</v>
      </c>
      <c r="F822" t="str">
        <f t="shared" si="11"/>
        <v>FREIGHT SALES/PCT#2</v>
      </c>
      <c r="G822" s="2">
        <v>3491.55</v>
      </c>
      <c r="H822" t="str">
        <f t="shared" si="12"/>
        <v>FREIGHT SALES/PCT#2</v>
      </c>
    </row>
    <row r="823" spans="1:8" x14ac:dyDescent="0.25">
      <c r="E823" t="str">
        <f>"18729"</f>
        <v>18729</v>
      </c>
      <c r="F823" t="str">
        <f t="shared" si="11"/>
        <v>FREIGHT SALES/PCT#2</v>
      </c>
      <c r="G823" s="2">
        <v>476.9</v>
      </c>
      <c r="H823" t="str">
        <f t="shared" si="12"/>
        <v>FREIGHT SALES/PCT#2</v>
      </c>
    </row>
    <row r="824" spans="1:8" x14ac:dyDescent="0.25">
      <c r="A824" t="s">
        <v>265</v>
      </c>
      <c r="B824">
        <v>80728</v>
      </c>
      <c r="C824" s="2">
        <v>936.75</v>
      </c>
      <c r="D824" s="1">
        <v>43493</v>
      </c>
      <c r="E824" t="str">
        <f>"18757"</f>
        <v>18757</v>
      </c>
      <c r="F824" t="str">
        <f t="shared" si="11"/>
        <v>FREIGHT SALES/PCT#2</v>
      </c>
      <c r="G824" s="2">
        <v>818.65</v>
      </c>
      <c r="H824" t="str">
        <f t="shared" si="12"/>
        <v>FREIGHT SALES/PCT#2</v>
      </c>
    </row>
    <row r="825" spans="1:8" x14ac:dyDescent="0.25">
      <c r="E825" t="str">
        <f>"18787"</f>
        <v>18787</v>
      </c>
      <c r="F825" t="str">
        <f t="shared" si="11"/>
        <v>FREIGHT SALES/PCT#2</v>
      </c>
      <c r="G825" s="2">
        <v>118.1</v>
      </c>
      <c r="H825" t="str">
        <f t="shared" si="12"/>
        <v>FREIGHT SALES/PCT#2</v>
      </c>
    </row>
    <row r="826" spans="1:8" x14ac:dyDescent="0.25">
      <c r="A826" t="s">
        <v>266</v>
      </c>
      <c r="B826">
        <v>322</v>
      </c>
      <c r="C826" s="2">
        <v>417.95</v>
      </c>
      <c r="D826" s="1">
        <v>43480</v>
      </c>
      <c r="E826" t="str">
        <f>"127172  128527"</f>
        <v>127172  128527</v>
      </c>
      <c r="F826" t="str">
        <f>"INV 127172"</f>
        <v>INV 127172</v>
      </c>
      <c r="G826" s="2">
        <v>208.5</v>
      </c>
      <c r="H826" t="str">
        <f>"INV 127172"</f>
        <v>INV 127172</v>
      </c>
    </row>
    <row r="827" spans="1:8" x14ac:dyDescent="0.25">
      <c r="E827" t="str">
        <f>""</f>
        <v/>
      </c>
      <c r="F827" t="str">
        <f>""</f>
        <v/>
      </c>
      <c r="H827" t="str">
        <f>"INV 128527"</f>
        <v>INV 128527</v>
      </c>
    </row>
    <row r="828" spans="1:8" x14ac:dyDescent="0.25">
      <c r="E828" t="str">
        <f>"128308"</f>
        <v>128308</v>
      </c>
      <c r="F828" t="str">
        <f>"INV 128308"</f>
        <v>INV 128308</v>
      </c>
      <c r="G828" s="2">
        <v>12.5</v>
      </c>
      <c r="H828" t="str">
        <f>"INV 128308"</f>
        <v>INV 128308</v>
      </c>
    </row>
    <row r="829" spans="1:8" x14ac:dyDescent="0.25">
      <c r="E829" t="str">
        <f>"128528"</f>
        <v>128528</v>
      </c>
      <c r="F829" t="str">
        <f>"INV 128528"</f>
        <v>INV 128528</v>
      </c>
      <c r="G829" s="2">
        <v>20</v>
      </c>
      <c r="H829" t="str">
        <f>"INV 128528"</f>
        <v>INV 128528</v>
      </c>
    </row>
    <row r="830" spans="1:8" x14ac:dyDescent="0.25">
      <c r="E830" t="str">
        <f>"128529"</f>
        <v>128529</v>
      </c>
      <c r="F830" t="str">
        <f>"INV 128529"</f>
        <v>INV 128529</v>
      </c>
      <c r="G830" s="2">
        <v>83.45</v>
      </c>
      <c r="H830" t="str">
        <f>"INV 128529"</f>
        <v>INV 128529</v>
      </c>
    </row>
    <row r="831" spans="1:8" x14ac:dyDescent="0.25">
      <c r="E831" t="str">
        <f>"128530"</f>
        <v>128530</v>
      </c>
      <c r="F831" t="str">
        <f>"INV 128530"</f>
        <v>INV 128530</v>
      </c>
      <c r="G831" s="2">
        <v>93.5</v>
      </c>
      <c r="H831" t="str">
        <f>"INV 128530"</f>
        <v>INV 128530</v>
      </c>
    </row>
    <row r="832" spans="1:8" x14ac:dyDescent="0.25">
      <c r="A832" t="s">
        <v>266</v>
      </c>
      <c r="B832">
        <v>382</v>
      </c>
      <c r="C832" s="2">
        <v>976.25</v>
      </c>
      <c r="D832" s="1">
        <v>43494</v>
      </c>
      <c r="E832" t="str">
        <f>"127738  129659"</f>
        <v>127738  129659</v>
      </c>
      <c r="F832" t="str">
        <f>"INV 127738/129659"</f>
        <v>INV 127738/129659</v>
      </c>
      <c r="G832" s="2">
        <v>511.5</v>
      </c>
      <c r="H832" t="str">
        <f>"INV 127738"</f>
        <v>INV 127738</v>
      </c>
    </row>
    <row r="833" spans="1:8" x14ac:dyDescent="0.25">
      <c r="E833" t="str">
        <f>""</f>
        <v/>
      </c>
      <c r="F833" t="str">
        <f>""</f>
        <v/>
      </c>
      <c r="H833" t="str">
        <f>"INV 129659"</f>
        <v>INV 129659</v>
      </c>
    </row>
    <row r="834" spans="1:8" x14ac:dyDescent="0.25">
      <c r="E834" t="str">
        <f>"129657"</f>
        <v>129657</v>
      </c>
      <c r="F834" t="str">
        <f>"INV 129657"</f>
        <v>INV 129657</v>
      </c>
      <c r="G834" s="2">
        <v>12</v>
      </c>
      <c r="H834" t="str">
        <f>"INV 129657"</f>
        <v>INV 129657</v>
      </c>
    </row>
    <row r="835" spans="1:8" x14ac:dyDescent="0.25">
      <c r="E835" t="str">
        <f>"129660"</f>
        <v>129660</v>
      </c>
      <c r="F835" t="str">
        <f>"INV 129660"</f>
        <v>INV 129660</v>
      </c>
      <c r="G835" s="2">
        <v>89.5</v>
      </c>
      <c r="H835" t="str">
        <f>"INV 129660"</f>
        <v>INV 129660</v>
      </c>
    </row>
    <row r="836" spans="1:8" x14ac:dyDescent="0.25">
      <c r="E836" t="str">
        <f>"129661"</f>
        <v>129661</v>
      </c>
      <c r="F836" t="str">
        <f>"INV 129661"</f>
        <v>INV 129661</v>
      </c>
      <c r="G836" s="2">
        <v>363.25</v>
      </c>
      <c r="H836" t="str">
        <f>"INV 129661"</f>
        <v>INV 129661</v>
      </c>
    </row>
    <row r="837" spans="1:8" x14ac:dyDescent="0.25">
      <c r="A837" t="s">
        <v>267</v>
      </c>
      <c r="B837">
        <v>80522</v>
      </c>
      <c r="C837" s="2">
        <v>48</v>
      </c>
      <c r="D837" s="1">
        <v>43480</v>
      </c>
      <c r="E837" t="str">
        <f>"201901156519"</f>
        <v>201901156519</v>
      </c>
      <c r="F837" t="str">
        <f>"Miscell"</f>
        <v>Miscell</v>
      </c>
      <c r="G837" s="2">
        <v>48</v>
      </c>
      <c r="H837" t="str">
        <f>"Family Crisis Center"</f>
        <v>Family Crisis Center</v>
      </c>
    </row>
    <row r="838" spans="1:8" x14ac:dyDescent="0.25">
      <c r="A838" t="s">
        <v>268</v>
      </c>
      <c r="B838">
        <v>80523</v>
      </c>
      <c r="C838" s="2">
        <v>282</v>
      </c>
      <c r="D838" s="1">
        <v>43480</v>
      </c>
      <c r="E838" t="str">
        <f>"201901156520"</f>
        <v>201901156520</v>
      </c>
      <c r="F838" t="str">
        <f>"M"</f>
        <v>M</v>
      </c>
      <c r="G838" s="2">
        <v>282</v>
      </c>
      <c r="H838" t="str">
        <f>"Children's Advocacy Center"</f>
        <v>Children's Advocacy Center</v>
      </c>
    </row>
    <row r="839" spans="1:8" x14ac:dyDescent="0.25">
      <c r="A839" t="s">
        <v>269</v>
      </c>
      <c r="B839">
        <v>80524</v>
      </c>
      <c r="C839" s="2">
        <v>54</v>
      </c>
      <c r="D839" s="1">
        <v>43480</v>
      </c>
      <c r="E839" t="str">
        <f>"201901156521"</f>
        <v>201901156521</v>
      </c>
      <c r="F839" t="str">
        <f>"Mi"</f>
        <v>Mi</v>
      </c>
      <c r="G839" s="2">
        <v>54</v>
      </c>
      <c r="H839" t="str">
        <f>"Child Protective Services"</f>
        <v>Child Protective Services</v>
      </c>
    </row>
    <row r="840" spans="1:8" x14ac:dyDescent="0.25">
      <c r="A840" t="s">
        <v>270</v>
      </c>
      <c r="B840">
        <v>80525</v>
      </c>
      <c r="C840" s="2">
        <v>126</v>
      </c>
      <c r="D840" s="1">
        <v>43480</v>
      </c>
      <c r="E840" t="str">
        <f>"201901156522"</f>
        <v>201901156522</v>
      </c>
      <c r="F840" t="str">
        <f>"Miscellaneo"</f>
        <v>Miscellaneo</v>
      </c>
      <c r="G840" s="2">
        <v>126</v>
      </c>
      <c r="H840" t="str">
        <f>"RICKY PECK ADAMS"</f>
        <v>RICKY PECK ADAMS</v>
      </c>
    </row>
    <row r="841" spans="1:8" x14ac:dyDescent="0.25">
      <c r="A841" t="s">
        <v>271</v>
      </c>
      <c r="B841">
        <v>80526</v>
      </c>
      <c r="C841" s="2">
        <v>6</v>
      </c>
      <c r="D841" s="1">
        <v>43480</v>
      </c>
      <c r="E841" t="str">
        <f>"201901156523"</f>
        <v>201901156523</v>
      </c>
      <c r="F841" t="str">
        <f>"Miscellan"</f>
        <v>Miscellan</v>
      </c>
      <c r="G841" s="2">
        <v>6</v>
      </c>
      <c r="H841" t="str">
        <f>"ROBIN JOHNSON LUCK"</f>
        <v>ROBIN JOHNSON LUCK</v>
      </c>
    </row>
    <row r="842" spans="1:8" x14ac:dyDescent="0.25">
      <c r="A842" t="s">
        <v>272</v>
      </c>
      <c r="B842">
        <v>80527</v>
      </c>
      <c r="C842" s="2">
        <v>6</v>
      </c>
      <c r="D842" s="1">
        <v>43480</v>
      </c>
      <c r="E842" t="str">
        <f>"201901156524"</f>
        <v>201901156524</v>
      </c>
      <c r="F842" t="str">
        <f>"Miscellaneo"</f>
        <v>Miscellaneo</v>
      </c>
      <c r="G842" s="2">
        <v>6</v>
      </c>
      <c r="H842" t="str">
        <f>"MARTHA JAN LUTON"</f>
        <v>MARTHA JAN LUTON</v>
      </c>
    </row>
    <row r="843" spans="1:8" x14ac:dyDescent="0.25">
      <c r="A843" t="s">
        <v>273</v>
      </c>
      <c r="B843">
        <v>80528</v>
      </c>
      <c r="C843" s="2">
        <v>6</v>
      </c>
      <c r="D843" s="1">
        <v>43480</v>
      </c>
      <c r="E843" t="str">
        <f>"201901156525"</f>
        <v>201901156525</v>
      </c>
      <c r="F843" t="str">
        <f>"Miscellaneous"</f>
        <v>Miscellaneous</v>
      </c>
      <c r="G843" s="2">
        <v>6</v>
      </c>
      <c r="H843" t="str">
        <f>"CARL LEE MEEKS"</f>
        <v>CARL LEE MEEKS</v>
      </c>
    </row>
    <row r="844" spans="1:8" x14ac:dyDescent="0.25">
      <c r="A844" t="s">
        <v>274</v>
      </c>
      <c r="B844">
        <v>80529</v>
      </c>
      <c r="C844" s="2">
        <v>126</v>
      </c>
      <c r="D844" s="1">
        <v>43480</v>
      </c>
      <c r="E844" t="str">
        <f>"201901156526"</f>
        <v>201901156526</v>
      </c>
      <c r="F844" t="str">
        <f>"Miscel"</f>
        <v>Miscel</v>
      </c>
      <c r="G844" s="2">
        <v>126</v>
      </c>
      <c r="H844" t="str">
        <f>"ZACHARY JOSHUA MERINO"</f>
        <v>ZACHARY JOSHUA MERINO</v>
      </c>
    </row>
    <row r="845" spans="1:8" x14ac:dyDescent="0.25">
      <c r="A845" t="s">
        <v>275</v>
      </c>
      <c r="B845">
        <v>80530</v>
      </c>
      <c r="C845" s="2">
        <v>6</v>
      </c>
      <c r="D845" s="1">
        <v>43480</v>
      </c>
      <c r="E845" t="str">
        <f>"201901156527"</f>
        <v>201901156527</v>
      </c>
      <c r="F845" t="str">
        <f>"Miscellaneou"</f>
        <v>Miscellaneou</v>
      </c>
      <c r="G845" s="2">
        <v>6</v>
      </c>
      <c r="H845" t="str">
        <f>"REX ALLEN MYERS"</f>
        <v>REX ALLEN MYERS</v>
      </c>
    </row>
    <row r="846" spans="1:8" x14ac:dyDescent="0.25">
      <c r="A846" t="s">
        <v>276</v>
      </c>
      <c r="B846">
        <v>80531</v>
      </c>
      <c r="C846" s="2">
        <v>6</v>
      </c>
      <c r="D846" s="1">
        <v>43480</v>
      </c>
      <c r="E846" t="str">
        <f>"201901156528"</f>
        <v>201901156528</v>
      </c>
      <c r="F846" t="str">
        <f>"Misc"</f>
        <v>Misc</v>
      </c>
      <c r="G846" s="2">
        <v>6</v>
      </c>
      <c r="H846" t="str">
        <f>"CHRISTOPHER DONOVAN NEU"</f>
        <v>CHRISTOPHER DONOVAN NEU</v>
      </c>
    </row>
    <row r="847" spans="1:8" x14ac:dyDescent="0.25">
      <c r="A847" t="s">
        <v>277</v>
      </c>
      <c r="B847">
        <v>80532</v>
      </c>
      <c r="C847" s="2">
        <v>6</v>
      </c>
      <c r="D847" s="1">
        <v>43480</v>
      </c>
      <c r="E847" t="str">
        <f>"201901156529"</f>
        <v>201901156529</v>
      </c>
      <c r="F847" t="str">
        <f>"Miscella"</f>
        <v>Miscella</v>
      </c>
      <c r="G847" s="2">
        <v>6</v>
      </c>
      <c r="H847" t="str">
        <f>"DALLAS WAYNE NEWLIN"</f>
        <v>DALLAS WAYNE NEWLIN</v>
      </c>
    </row>
    <row r="848" spans="1:8" x14ac:dyDescent="0.25">
      <c r="A848" t="s">
        <v>278</v>
      </c>
      <c r="B848">
        <v>80533</v>
      </c>
      <c r="C848" s="2">
        <v>126</v>
      </c>
      <c r="D848" s="1">
        <v>43480</v>
      </c>
      <c r="E848" t="str">
        <f>"201901156530"</f>
        <v>201901156530</v>
      </c>
      <c r="F848" t="str">
        <f>"Miscellaneou"</f>
        <v>Miscellaneou</v>
      </c>
      <c r="G848" s="2">
        <v>126</v>
      </c>
      <c r="H848" t="str">
        <f>"ESMERALDA RAMOS"</f>
        <v>ESMERALDA RAMOS</v>
      </c>
    </row>
    <row r="849" spans="1:8" x14ac:dyDescent="0.25">
      <c r="A849" t="s">
        <v>279</v>
      </c>
      <c r="B849">
        <v>80534</v>
      </c>
      <c r="C849" s="2">
        <v>126</v>
      </c>
      <c r="D849" s="1">
        <v>43480</v>
      </c>
      <c r="E849" t="str">
        <f>"201901156531"</f>
        <v>201901156531</v>
      </c>
      <c r="F849" t="str">
        <f>"Misce"</f>
        <v>Misce</v>
      </c>
      <c r="G849" s="2">
        <v>126</v>
      </c>
      <c r="H849" t="str">
        <f>"CHELSEA MARIE RAWLINGS"</f>
        <v>CHELSEA MARIE RAWLINGS</v>
      </c>
    </row>
    <row r="850" spans="1:8" x14ac:dyDescent="0.25">
      <c r="A850" t="s">
        <v>280</v>
      </c>
      <c r="B850">
        <v>80535</v>
      </c>
      <c r="C850" s="2">
        <v>6</v>
      </c>
      <c r="D850" s="1">
        <v>43480</v>
      </c>
      <c r="E850" t="str">
        <f>"201901156532"</f>
        <v>201901156532</v>
      </c>
      <c r="F850" t="str">
        <f>"Misc"</f>
        <v>Misc</v>
      </c>
      <c r="G850" s="2">
        <v>6</v>
      </c>
      <c r="H850" t="str">
        <f>"DEWAYNE EARL RICHARDSON"</f>
        <v>DEWAYNE EARL RICHARDSON</v>
      </c>
    </row>
    <row r="851" spans="1:8" x14ac:dyDescent="0.25">
      <c r="A851" t="s">
        <v>281</v>
      </c>
      <c r="B851">
        <v>80536</v>
      </c>
      <c r="C851" s="2">
        <v>126</v>
      </c>
      <c r="D851" s="1">
        <v>43480</v>
      </c>
      <c r="E851" t="str">
        <f>"201901156533"</f>
        <v>201901156533</v>
      </c>
      <c r="F851" t="str">
        <f>"Miscellane"</f>
        <v>Miscellane</v>
      </c>
      <c r="G851" s="2">
        <v>126</v>
      </c>
      <c r="H851" t="str">
        <f>"MARK NEWTON SMITH"</f>
        <v>MARK NEWTON SMITH</v>
      </c>
    </row>
    <row r="852" spans="1:8" x14ac:dyDescent="0.25">
      <c r="A852" t="s">
        <v>282</v>
      </c>
      <c r="B852">
        <v>80537</v>
      </c>
      <c r="C852" s="2">
        <v>6</v>
      </c>
      <c r="D852" s="1">
        <v>43480</v>
      </c>
      <c r="E852" t="str">
        <f>"201901156534"</f>
        <v>201901156534</v>
      </c>
      <c r="F852" t="str">
        <f>"Miscella"</f>
        <v>Miscella</v>
      </c>
      <c r="G852" s="2">
        <v>6</v>
      </c>
      <c r="H852" t="str">
        <f>"DAVID ROLLAND SAGER"</f>
        <v>DAVID ROLLAND SAGER</v>
      </c>
    </row>
    <row r="853" spans="1:8" x14ac:dyDescent="0.25">
      <c r="A853" t="s">
        <v>283</v>
      </c>
      <c r="B853">
        <v>80538</v>
      </c>
      <c r="C853" s="2">
        <v>126</v>
      </c>
      <c r="D853" s="1">
        <v>43480</v>
      </c>
      <c r="E853" t="str">
        <f>"201901156535"</f>
        <v>201901156535</v>
      </c>
      <c r="F853" t="str">
        <f>"Miscellan"</f>
        <v>Miscellan</v>
      </c>
      <c r="G853" s="2">
        <v>126</v>
      </c>
      <c r="H853" t="str">
        <f>"GRAYSON DEWITT LEE"</f>
        <v>GRAYSON DEWITT LEE</v>
      </c>
    </row>
    <row r="854" spans="1:8" x14ac:dyDescent="0.25">
      <c r="A854" t="s">
        <v>284</v>
      </c>
      <c r="B854">
        <v>80539</v>
      </c>
      <c r="C854" s="2">
        <v>6</v>
      </c>
      <c r="D854" s="1">
        <v>43480</v>
      </c>
      <c r="E854" t="str">
        <f>"201901156536"</f>
        <v>201901156536</v>
      </c>
      <c r="F854" t="str">
        <f>"Misce"</f>
        <v>Misce</v>
      </c>
      <c r="G854" s="2">
        <v>6</v>
      </c>
      <c r="H854" t="str">
        <f>"SHAUN PATRICK SWEATMAN"</f>
        <v>SHAUN PATRICK SWEATMAN</v>
      </c>
    </row>
    <row r="855" spans="1:8" x14ac:dyDescent="0.25">
      <c r="A855" t="s">
        <v>285</v>
      </c>
      <c r="B855">
        <v>80540</v>
      </c>
      <c r="C855" s="2">
        <v>6</v>
      </c>
      <c r="D855" s="1">
        <v>43480</v>
      </c>
      <c r="E855" t="str">
        <f>"201901156537"</f>
        <v>201901156537</v>
      </c>
      <c r="F855" t="str">
        <f>"Miscella"</f>
        <v>Miscella</v>
      </c>
      <c r="G855" s="2">
        <v>6</v>
      </c>
      <c r="H855" t="str">
        <f>"REBECCA LYNN TAYLOR"</f>
        <v>REBECCA LYNN TAYLOR</v>
      </c>
    </row>
    <row r="856" spans="1:8" x14ac:dyDescent="0.25">
      <c r="A856" t="s">
        <v>286</v>
      </c>
      <c r="B856">
        <v>80541</v>
      </c>
      <c r="C856" s="2">
        <v>6</v>
      </c>
      <c r="D856" s="1">
        <v>43480</v>
      </c>
      <c r="E856" t="str">
        <f>"201901156538"</f>
        <v>201901156538</v>
      </c>
      <c r="F856" t="str">
        <f>"Miscel"</f>
        <v>Miscel</v>
      </c>
      <c r="G856" s="2">
        <v>6</v>
      </c>
      <c r="H856" t="str">
        <f>"PAMELA SAMANTHA TELLO"</f>
        <v>PAMELA SAMANTHA TELLO</v>
      </c>
    </row>
    <row r="857" spans="1:8" x14ac:dyDescent="0.25">
      <c r="A857" t="s">
        <v>287</v>
      </c>
      <c r="B857">
        <v>80542</v>
      </c>
      <c r="C857" s="2">
        <v>6</v>
      </c>
      <c r="D857" s="1">
        <v>43480</v>
      </c>
      <c r="E857" t="str">
        <f>"201901156539"</f>
        <v>201901156539</v>
      </c>
      <c r="F857" t="str">
        <f>"Miscellane"</f>
        <v>Miscellane</v>
      </c>
      <c r="G857" s="2">
        <v>6</v>
      </c>
      <c r="H857" t="str">
        <f>"BRYCE JAMES USHER"</f>
        <v>BRYCE JAMES USHER</v>
      </c>
    </row>
    <row r="858" spans="1:8" x14ac:dyDescent="0.25">
      <c r="A858" t="s">
        <v>288</v>
      </c>
      <c r="B858">
        <v>80543</v>
      </c>
      <c r="C858" s="2">
        <v>126</v>
      </c>
      <c r="D858" s="1">
        <v>43480</v>
      </c>
      <c r="E858" t="str">
        <f>"201901156540"</f>
        <v>201901156540</v>
      </c>
      <c r="F858" t="str">
        <f>"Misc"</f>
        <v>Misc</v>
      </c>
      <c r="G858" s="2">
        <v>126</v>
      </c>
      <c r="H858" t="str">
        <f>"RUSSELL WAYNE VAN CLEEF"</f>
        <v>RUSSELL WAYNE VAN CLEEF</v>
      </c>
    </row>
    <row r="859" spans="1:8" x14ac:dyDescent="0.25">
      <c r="A859" t="s">
        <v>289</v>
      </c>
      <c r="B859">
        <v>80544</v>
      </c>
      <c r="C859" s="2">
        <v>6</v>
      </c>
      <c r="D859" s="1">
        <v>43480</v>
      </c>
      <c r="E859" t="str">
        <f>"201901156541"</f>
        <v>201901156541</v>
      </c>
      <c r="F859" t="str">
        <f>"Misce"</f>
        <v>Misce</v>
      </c>
      <c r="G859" s="2">
        <v>6</v>
      </c>
      <c r="H859" t="str">
        <f>"TIMOTHY JOHN VAN-ALLEN"</f>
        <v>TIMOTHY JOHN VAN-ALLEN</v>
      </c>
    </row>
    <row r="860" spans="1:8" x14ac:dyDescent="0.25">
      <c r="A860" t="s">
        <v>290</v>
      </c>
      <c r="B860">
        <v>80545</v>
      </c>
      <c r="C860" s="2">
        <v>6</v>
      </c>
      <c r="D860" s="1">
        <v>43480</v>
      </c>
      <c r="E860" t="str">
        <f>"201901156542"</f>
        <v>201901156542</v>
      </c>
      <c r="F860" t="str">
        <f>"Miscel"</f>
        <v>Miscel</v>
      </c>
      <c r="G860" s="2">
        <v>6</v>
      </c>
      <c r="H860" t="str">
        <f>"JUAN GUTIERREZ VINTON"</f>
        <v>JUAN GUTIERREZ VINTON</v>
      </c>
    </row>
    <row r="861" spans="1:8" x14ac:dyDescent="0.25">
      <c r="A861" t="s">
        <v>291</v>
      </c>
      <c r="B861">
        <v>80546</v>
      </c>
      <c r="C861" s="2">
        <v>126</v>
      </c>
      <c r="D861" s="1">
        <v>43480</v>
      </c>
      <c r="E861" t="str">
        <f>"201901156543"</f>
        <v>201901156543</v>
      </c>
      <c r="F861" t="str">
        <f>"Miscel"</f>
        <v>Miscel</v>
      </c>
      <c r="G861" s="2">
        <v>126</v>
      </c>
      <c r="H861" t="str">
        <f>"MICHELLE RENEE WENZEL"</f>
        <v>MICHELLE RENEE WENZEL</v>
      </c>
    </row>
    <row r="862" spans="1:8" x14ac:dyDescent="0.25">
      <c r="A862" t="s">
        <v>292</v>
      </c>
      <c r="B862">
        <v>80547</v>
      </c>
      <c r="C862" s="2">
        <v>126</v>
      </c>
      <c r="D862" s="1">
        <v>43480</v>
      </c>
      <c r="E862" t="str">
        <f>"201901156544"</f>
        <v>201901156544</v>
      </c>
      <c r="F862" t="str">
        <f>"Miscell"</f>
        <v>Miscell</v>
      </c>
      <c r="G862" s="2">
        <v>126</v>
      </c>
      <c r="H862" t="str">
        <f>"SANDRA SCIPLES RICKS"</f>
        <v>SANDRA SCIPLES RICKS</v>
      </c>
    </row>
    <row r="863" spans="1:8" x14ac:dyDescent="0.25">
      <c r="A863" t="s">
        <v>293</v>
      </c>
      <c r="B863">
        <v>80548</v>
      </c>
      <c r="C863" s="2">
        <v>6</v>
      </c>
      <c r="D863" s="1">
        <v>43480</v>
      </c>
      <c r="E863" t="str">
        <f>"201901156545"</f>
        <v>201901156545</v>
      </c>
      <c r="F863" t="str">
        <f>"Miscellaneous"</f>
        <v>Miscellaneous</v>
      </c>
      <c r="G863" s="2">
        <v>6</v>
      </c>
      <c r="H863" t="str">
        <f>"RAYMOND LEAL"</f>
        <v>RAYMOND LEAL</v>
      </c>
    </row>
    <row r="864" spans="1:8" x14ac:dyDescent="0.25">
      <c r="A864" t="s">
        <v>294</v>
      </c>
      <c r="B864">
        <v>80549</v>
      </c>
      <c r="C864" s="2">
        <v>6</v>
      </c>
      <c r="D864" s="1">
        <v>43480</v>
      </c>
      <c r="E864" t="str">
        <f>"201901156546"</f>
        <v>201901156546</v>
      </c>
      <c r="F864" t="str">
        <f>"Miscel"</f>
        <v>Miscel</v>
      </c>
      <c r="G864" s="2">
        <v>6</v>
      </c>
      <c r="H864" t="str">
        <f>"MOLLY KRISTIAN HENSON"</f>
        <v>MOLLY KRISTIAN HENSON</v>
      </c>
    </row>
    <row r="865" spans="1:8" x14ac:dyDescent="0.25">
      <c r="A865" t="s">
        <v>295</v>
      </c>
      <c r="B865">
        <v>80550</v>
      </c>
      <c r="C865" s="2">
        <v>6</v>
      </c>
      <c r="D865" s="1">
        <v>43480</v>
      </c>
      <c r="E865" t="str">
        <f>"201901156547"</f>
        <v>201901156547</v>
      </c>
      <c r="F865" t="str">
        <f>"Miscellaneo"</f>
        <v>Miscellaneo</v>
      </c>
      <c r="G865" s="2">
        <v>6</v>
      </c>
      <c r="H865" t="str">
        <f>"DANIEL RAY HICKS"</f>
        <v>DANIEL RAY HICKS</v>
      </c>
    </row>
    <row r="866" spans="1:8" x14ac:dyDescent="0.25">
      <c r="A866" t="s">
        <v>296</v>
      </c>
      <c r="B866">
        <v>80551</v>
      </c>
      <c r="C866" s="2">
        <v>6</v>
      </c>
      <c r="D866" s="1">
        <v>43480</v>
      </c>
      <c r="E866" t="str">
        <f>"201901156548"</f>
        <v>201901156548</v>
      </c>
      <c r="F866" t="str">
        <f>"Miscella"</f>
        <v>Miscella</v>
      </c>
      <c r="G866" s="2">
        <v>6</v>
      </c>
      <c r="H866" t="str">
        <f>"PATRICIA MEEKE BASS"</f>
        <v>PATRICIA MEEKE BASS</v>
      </c>
    </row>
    <row r="867" spans="1:8" x14ac:dyDescent="0.25">
      <c r="A867" t="s">
        <v>297</v>
      </c>
      <c r="B867">
        <v>80552</v>
      </c>
      <c r="C867" s="2">
        <v>6</v>
      </c>
      <c r="D867" s="1">
        <v>43480</v>
      </c>
      <c r="E867" t="str">
        <f>"201901156549"</f>
        <v>201901156549</v>
      </c>
      <c r="F867" t="str">
        <f>"Miscel"</f>
        <v>Miscel</v>
      </c>
      <c r="G867" s="2">
        <v>6</v>
      </c>
      <c r="H867" t="str">
        <f>"LARONNA KAYE BRADFORD"</f>
        <v>LARONNA KAYE BRADFORD</v>
      </c>
    </row>
    <row r="868" spans="1:8" x14ac:dyDescent="0.25">
      <c r="A868" t="s">
        <v>298</v>
      </c>
      <c r="B868">
        <v>80553</v>
      </c>
      <c r="C868" s="2">
        <v>6</v>
      </c>
      <c r="D868" s="1">
        <v>43480</v>
      </c>
      <c r="E868" t="str">
        <f>"201901156550"</f>
        <v>201901156550</v>
      </c>
      <c r="F868" t="str">
        <f>"Misce"</f>
        <v>Misce</v>
      </c>
      <c r="G868" s="2">
        <v>6</v>
      </c>
      <c r="H868" t="str">
        <f>"JERAMY JOSEPH BRECKLES"</f>
        <v>JERAMY JOSEPH BRECKLES</v>
      </c>
    </row>
    <row r="869" spans="1:8" x14ac:dyDescent="0.25">
      <c r="A869" t="s">
        <v>299</v>
      </c>
      <c r="B869">
        <v>80554</v>
      </c>
      <c r="C869" s="2">
        <v>6</v>
      </c>
      <c r="D869" s="1">
        <v>43480</v>
      </c>
      <c r="E869" t="str">
        <f>"201901156551"</f>
        <v>201901156551</v>
      </c>
      <c r="F869" t="str">
        <f>"Miscel"</f>
        <v>Miscel</v>
      </c>
      <c r="G869" s="2">
        <v>6</v>
      </c>
      <c r="H869" t="str">
        <f>"DONALD SCOTT BROWN II"</f>
        <v>DONALD SCOTT BROWN II</v>
      </c>
    </row>
    <row r="870" spans="1:8" x14ac:dyDescent="0.25">
      <c r="A870" t="s">
        <v>300</v>
      </c>
      <c r="B870">
        <v>80555</v>
      </c>
      <c r="C870" s="2">
        <v>126</v>
      </c>
      <c r="D870" s="1">
        <v>43480</v>
      </c>
      <c r="E870" t="str">
        <f>"201901156552"</f>
        <v>201901156552</v>
      </c>
      <c r="F870" t="str">
        <f>"Miscella"</f>
        <v>Miscella</v>
      </c>
      <c r="G870" s="2">
        <v>126</v>
      </c>
      <c r="H870" t="str">
        <f>"DEAN HARRISON BROWN"</f>
        <v>DEAN HARRISON BROWN</v>
      </c>
    </row>
    <row r="871" spans="1:8" x14ac:dyDescent="0.25">
      <c r="A871" t="s">
        <v>301</v>
      </c>
      <c r="B871">
        <v>80556</v>
      </c>
      <c r="C871" s="2">
        <v>6</v>
      </c>
      <c r="D871" s="1">
        <v>43480</v>
      </c>
      <c r="E871" t="str">
        <f>"201901156553"</f>
        <v>201901156553</v>
      </c>
      <c r="F871" t="str">
        <f>"Miscel"</f>
        <v>Miscel</v>
      </c>
      <c r="G871" s="2">
        <v>6</v>
      </c>
      <c r="H871" t="str">
        <f>"KIMBERLY SUZANNE BUSH"</f>
        <v>KIMBERLY SUZANNE BUSH</v>
      </c>
    </row>
    <row r="872" spans="1:8" x14ac:dyDescent="0.25">
      <c r="A872" t="s">
        <v>302</v>
      </c>
      <c r="B872">
        <v>80557</v>
      </c>
      <c r="C872" s="2">
        <v>6</v>
      </c>
      <c r="D872" s="1">
        <v>43480</v>
      </c>
      <c r="E872" t="str">
        <f>"201901156554"</f>
        <v>201901156554</v>
      </c>
      <c r="F872" t="str">
        <f>"Misce"</f>
        <v>Misce</v>
      </c>
      <c r="G872" s="2">
        <v>6</v>
      </c>
      <c r="H872" t="str">
        <f>"CHARLES KELLY CAMPBELL"</f>
        <v>CHARLES KELLY CAMPBELL</v>
      </c>
    </row>
    <row r="873" spans="1:8" x14ac:dyDescent="0.25">
      <c r="A873" t="s">
        <v>303</v>
      </c>
      <c r="B873">
        <v>80558</v>
      </c>
      <c r="C873" s="2">
        <v>126</v>
      </c>
      <c r="D873" s="1">
        <v>43480</v>
      </c>
      <c r="E873" t="str">
        <f>"201901156555"</f>
        <v>201901156555</v>
      </c>
      <c r="F873" t="str">
        <f>"Miscellane"</f>
        <v>Miscellane</v>
      </c>
      <c r="G873" s="2">
        <v>126</v>
      </c>
      <c r="H873" t="str">
        <f>"CESAR JAVIER CANO"</f>
        <v>CESAR JAVIER CANO</v>
      </c>
    </row>
    <row r="874" spans="1:8" x14ac:dyDescent="0.25">
      <c r="A874" t="s">
        <v>304</v>
      </c>
      <c r="B874">
        <v>80559</v>
      </c>
      <c r="C874" s="2">
        <v>6</v>
      </c>
      <c r="D874" s="1">
        <v>43480</v>
      </c>
      <c r="E874" t="str">
        <f>"201901156556"</f>
        <v>201901156556</v>
      </c>
      <c r="F874" t="str">
        <f>"Misce"</f>
        <v>Misce</v>
      </c>
      <c r="G874" s="2">
        <v>6</v>
      </c>
      <c r="H874" t="str">
        <f>"LATANZA MICHELLE CLARK"</f>
        <v>LATANZA MICHELLE CLARK</v>
      </c>
    </row>
    <row r="875" spans="1:8" x14ac:dyDescent="0.25">
      <c r="A875" t="s">
        <v>305</v>
      </c>
      <c r="B875">
        <v>80560</v>
      </c>
      <c r="C875" s="2">
        <v>6</v>
      </c>
      <c r="D875" s="1">
        <v>43480</v>
      </c>
      <c r="E875" t="str">
        <f>"201901156557"</f>
        <v>201901156557</v>
      </c>
      <c r="F875" t="str">
        <f>"Miscellane"</f>
        <v>Miscellane</v>
      </c>
      <c r="G875" s="2">
        <v>6</v>
      </c>
      <c r="H875" t="str">
        <f>"LESLIE LEON CURRY"</f>
        <v>LESLIE LEON CURRY</v>
      </c>
    </row>
    <row r="876" spans="1:8" x14ac:dyDescent="0.25">
      <c r="A876" t="s">
        <v>306</v>
      </c>
      <c r="B876">
        <v>80561</v>
      </c>
      <c r="C876" s="2">
        <v>6</v>
      </c>
      <c r="D876" s="1">
        <v>43480</v>
      </c>
      <c r="E876" t="str">
        <f>"201901156558"</f>
        <v>201901156558</v>
      </c>
      <c r="F876" t="str">
        <f>"Misce"</f>
        <v>Misce</v>
      </c>
      <c r="G876" s="2">
        <v>6</v>
      </c>
      <c r="H876" t="str">
        <f>"TERESA DARLENE KADERKA"</f>
        <v>TERESA DARLENE KADERKA</v>
      </c>
    </row>
    <row r="877" spans="1:8" x14ac:dyDescent="0.25">
      <c r="A877" t="s">
        <v>307</v>
      </c>
      <c r="B877">
        <v>80562</v>
      </c>
      <c r="C877" s="2">
        <v>6</v>
      </c>
      <c r="D877" s="1">
        <v>43480</v>
      </c>
      <c r="E877" t="str">
        <f>"201901156559"</f>
        <v>201901156559</v>
      </c>
      <c r="F877" t="str">
        <f>"Miscellan"</f>
        <v>Miscellan</v>
      </c>
      <c r="G877" s="2">
        <v>6</v>
      </c>
      <c r="H877" t="str">
        <f>"ANNE BACON DAYLONG"</f>
        <v>ANNE BACON DAYLONG</v>
      </c>
    </row>
    <row r="878" spans="1:8" x14ac:dyDescent="0.25">
      <c r="A878" t="s">
        <v>308</v>
      </c>
      <c r="B878">
        <v>80563</v>
      </c>
      <c r="C878" s="2">
        <v>6</v>
      </c>
      <c r="D878" s="1">
        <v>43480</v>
      </c>
      <c r="E878" t="str">
        <f>"201901156560"</f>
        <v>201901156560</v>
      </c>
      <c r="F878" t="str">
        <f>"Miscell"</f>
        <v>Miscell</v>
      </c>
      <c r="G878" s="2">
        <v>6</v>
      </c>
      <c r="H878" t="str">
        <f>"JASON MICHAEL FARRIS"</f>
        <v>JASON MICHAEL FARRIS</v>
      </c>
    </row>
    <row r="879" spans="1:8" x14ac:dyDescent="0.25">
      <c r="A879" t="s">
        <v>309</v>
      </c>
      <c r="B879">
        <v>80564</v>
      </c>
      <c r="C879" s="2">
        <v>6</v>
      </c>
      <c r="D879" s="1">
        <v>43480</v>
      </c>
      <c r="E879" t="str">
        <f>"201901156561"</f>
        <v>201901156561</v>
      </c>
      <c r="F879" t="str">
        <f>"Miscellaneou"</f>
        <v>Miscellaneou</v>
      </c>
      <c r="G879" s="2">
        <v>6</v>
      </c>
      <c r="H879" t="str">
        <f>"AMANDA F FRICKE"</f>
        <v>AMANDA F FRICKE</v>
      </c>
    </row>
    <row r="880" spans="1:8" x14ac:dyDescent="0.25">
      <c r="A880" t="s">
        <v>310</v>
      </c>
      <c r="B880">
        <v>80565</v>
      </c>
      <c r="C880" s="2">
        <v>6</v>
      </c>
      <c r="D880" s="1">
        <v>43480</v>
      </c>
      <c r="E880" t="str">
        <f>"201901156562"</f>
        <v>201901156562</v>
      </c>
      <c r="F880" t="str">
        <f>"Miscellane"</f>
        <v>Miscellane</v>
      </c>
      <c r="G880" s="2">
        <v>6</v>
      </c>
      <c r="H880" t="str">
        <f>"AUGUST ALEX FUCHS"</f>
        <v>AUGUST ALEX FUCHS</v>
      </c>
    </row>
    <row r="881" spans="1:8" x14ac:dyDescent="0.25">
      <c r="A881" t="s">
        <v>311</v>
      </c>
      <c r="B881">
        <v>80566</v>
      </c>
      <c r="C881" s="2">
        <v>6</v>
      </c>
      <c r="D881" s="1">
        <v>43480</v>
      </c>
      <c r="E881" t="str">
        <f>"201901156563"</f>
        <v>201901156563</v>
      </c>
      <c r="F881" t="str">
        <f>"Miscella"</f>
        <v>Miscella</v>
      </c>
      <c r="G881" s="2">
        <v>6</v>
      </c>
      <c r="H881" t="str">
        <f>"JAMES EVERETT GARON"</f>
        <v>JAMES EVERETT GARON</v>
      </c>
    </row>
    <row r="882" spans="1:8" x14ac:dyDescent="0.25">
      <c r="A882" t="s">
        <v>312</v>
      </c>
      <c r="B882">
        <v>80567</v>
      </c>
      <c r="C882" s="2">
        <v>6</v>
      </c>
      <c r="D882" s="1">
        <v>43480</v>
      </c>
      <c r="E882" t="str">
        <f>"201901156564"</f>
        <v>201901156564</v>
      </c>
      <c r="F882" t="str">
        <f>"Miscellan"</f>
        <v>Miscellan</v>
      </c>
      <c r="G882" s="2">
        <v>6</v>
      </c>
      <c r="H882" t="str">
        <f>"CALVIN RAY GILMORE"</f>
        <v>CALVIN RAY GILMORE</v>
      </c>
    </row>
    <row r="883" spans="1:8" x14ac:dyDescent="0.25">
      <c r="A883" t="s">
        <v>313</v>
      </c>
      <c r="B883">
        <v>80568</v>
      </c>
      <c r="C883" s="2">
        <v>6</v>
      </c>
      <c r="D883" s="1">
        <v>43480</v>
      </c>
      <c r="E883" t="str">
        <f>"201901156565"</f>
        <v>201901156565</v>
      </c>
      <c r="F883" t="str">
        <f>"Miscella"</f>
        <v>Miscella</v>
      </c>
      <c r="G883" s="2">
        <v>6</v>
      </c>
      <c r="H883" t="str">
        <f>"ROSEMARY Y GONZALES"</f>
        <v>ROSEMARY Y GONZALES</v>
      </c>
    </row>
    <row r="884" spans="1:8" x14ac:dyDescent="0.25">
      <c r="A884" t="s">
        <v>314</v>
      </c>
      <c r="B884">
        <v>80569</v>
      </c>
      <c r="C884" s="2">
        <v>6</v>
      </c>
      <c r="D884" s="1">
        <v>43480</v>
      </c>
      <c r="E884" t="str">
        <f>"201901156566"</f>
        <v>201901156566</v>
      </c>
      <c r="F884" t="str">
        <f>"Miscellaneou"</f>
        <v>Miscellaneou</v>
      </c>
      <c r="G884" s="2">
        <v>6</v>
      </c>
      <c r="H884" t="str">
        <f>"CARMEN GONZALEZ"</f>
        <v>CARMEN GONZALEZ</v>
      </c>
    </row>
    <row r="885" spans="1:8" x14ac:dyDescent="0.25">
      <c r="A885" t="s">
        <v>315</v>
      </c>
      <c r="B885">
        <v>80570</v>
      </c>
      <c r="C885" s="2">
        <v>6</v>
      </c>
      <c r="D885" s="1">
        <v>43480</v>
      </c>
      <c r="E885" t="str">
        <f>"201901156567"</f>
        <v>201901156567</v>
      </c>
      <c r="F885" t="str">
        <f>"Miscellaneo"</f>
        <v>Miscellaneo</v>
      </c>
      <c r="G885" s="2">
        <v>6</v>
      </c>
      <c r="H885" t="str">
        <f>"LEON CALVIN HALL"</f>
        <v>LEON CALVIN HALL</v>
      </c>
    </row>
    <row r="886" spans="1:8" x14ac:dyDescent="0.25">
      <c r="A886" t="s">
        <v>316</v>
      </c>
      <c r="B886">
        <v>80571</v>
      </c>
      <c r="C886" s="2">
        <v>126</v>
      </c>
      <c r="D886" s="1">
        <v>43480</v>
      </c>
      <c r="E886" t="str">
        <f>"201901156568"</f>
        <v>201901156568</v>
      </c>
      <c r="F886" t="str">
        <f>"Miscellane"</f>
        <v>Miscellane</v>
      </c>
      <c r="G886" s="2">
        <v>126</v>
      </c>
      <c r="H886" t="str">
        <f>"BRYCE ALLEN HANNA"</f>
        <v>BRYCE ALLEN HANNA</v>
      </c>
    </row>
    <row r="887" spans="1:8" x14ac:dyDescent="0.25">
      <c r="A887" t="s">
        <v>317</v>
      </c>
      <c r="B887">
        <v>80572</v>
      </c>
      <c r="C887" s="2">
        <v>6</v>
      </c>
      <c r="D887" s="1">
        <v>43480</v>
      </c>
      <c r="E887" t="str">
        <f>"201901156569"</f>
        <v>201901156569</v>
      </c>
      <c r="F887" t="str">
        <f>"Miscellane"</f>
        <v>Miscellane</v>
      </c>
      <c r="G887" s="2">
        <v>6</v>
      </c>
      <c r="H887" t="str">
        <f>"RONALD JAY WESSON"</f>
        <v>RONALD JAY WESSON</v>
      </c>
    </row>
    <row r="888" spans="1:8" x14ac:dyDescent="0.25">
      <c r="A888" t="s">
        <v>318</v>
      </c>
      <c r="B888">
        <v>80573</v>
      </c>
      <c r="C888" s="2">
        <v>6</v>
      </c>
      <c r="D888" s="1">
        <v>43480</v>
      </c>
      <c r="E888" t="str">
        <f>"201901156570"</f>
        <v>201901156570</v>
      </c>
      <c r="F888" t="str">
        <f>"Miscell"</f>
        <v>Miscell</v>
      </c>
      <c r="G888" s="2">
        <v>6</v>
      </c>
      <c r="H888" t="str">
        <f>"YVETTE MARIE EMMRICH"</f>
        <v>YVETTE MARIE EMMRICH</v>
      </c>
    </row>
    <row r="889" spans="1:8" x14ac:dyDescent="0.25">
      <c r="A889" t="s">
        <v>319</v>
      </c>
      <c r="B889">
        <v>80574</v>
      </c>
      <c r="C889" s="2">
        <v>6</v>
      </c>
      <c r="D889" s="1">
        <v>43480</v>
      </c>
      <c r="E889" t="str">
        <f>"201901156571"</f>
        <v>201901156571</v>
      </c>
      <c r="F889" t="str">
        <f>"Miscellaneo"</f>
        <v>Miscellaneo</v>
      </c>
      <c r="G889" s="2">
        <v>6</v>
      </c>
      <c r="H889" t="str">
        <f>"RICKY LEE WILSON"</f>
        <v>RICKY LEE WILSON</v>
      </c>
    </row>
    <row r="890" spans="1:8" x14ac:dyDescent="0.25">
      <c r="A890" t="s">
        <v>320</v>
      </c>
      <c r="B890">
        <v>80581</v>
      </c>
      <c r="C890" s="2">
        <v>20</v>
      </c>
      <c r="D890" s="1">
        <v>43489</v>
      </c>
      <c r="E890" t="str">
        <f>"201901246767"</f>
        <v>201901246767</v>
      </c>
      <c r="F890" t="str">
        <f>"Misc"</f>
        <v>Misc</v>
      </c>
      <c r="G890" s="2">
        <v>20</v>
      </c>
      <c r="H890" t="str">
        <f>"ADREA LETRICE BRIDGEMAN"</f>
        <v>ADREA LETRICE BRIDGEMAN</v>
      </c>
    </row>
    <row r="891" spans="1:8" x14ac:dyDescent="0.25">
      <c r="A891" t="s">
        <v>321</v>
      </c>
      <c r="B891">
        <v>80582</v>
      </c>
      <c r="C891" s="2">
        <v>20</v>
      </c>
      <c r="D891" s="1">
        <v>43489</v>
      </c>
      <c r="E891" t="str">
        <f>"201901246768"</f>
        <v>201901246768</v>
      </c>
      <c r="F891" t="str">
        <f>"Mi"</f>
        <v>Mi</v>
      </c>
      <c r="G891" s="2">
        <v>20</v>
      </c>
      <c r="H891" t="str">
        <f>"WILLIAM BERNARD BARNES JR"</f>
        <v>WILLIAM BERNARD BARNES JR</v>
      </c>
    </row>
    <row r="892" spans="1:8" x14ac:dyDescent="0.25">
      <c r="A892" t="s">
        <v>322</v>
      </c>
      <c r="B892">
        <v>80583</v>
      </c>
      <c r="C892" s="2">
        <v>20</v>
      </c>
      <c r="D892" s="1">
        <v>43489</v>
      </c>
      <c r="E892" t="str">
        <f>"201901246769"</f>
        <v>201901246769</v>
      </c>
      <c r="F892" t="str">
        <f>"Miscel"</f>
        <v>Miscel</v>
      </c>
      <c r="G892" s="2">
        <v>20</v>
      </c>
      <c r="H892" t="str">
        <f>"JERRIMY DANNIEL PEREZ"</f>
        <v>JERRIMY DANNIEL PEREZ</v>
      </c>
    </row>
    <row r="893" spans="1:8" x14ac:dyDescent="0.25">
      <c r="A893" t="s">
        <v>323</v>
      </c>
      <c r="B893">
        <v>80584</v>
      </c>
      <c r="C893" s="2">
        <v>20</v>
      </c>
      <c r="D893" s="1">
        <v>43489</v>
      </c>
      <c r="E893" t="str">
        <f>"201901246770"</f>
        <v>201901246770</v>
      </c>
      <c r="F893" t="str">
        <f>"Miscellane"</f>
        <v>Miscellane</v>
      </c>
      <c r="G893" s="2">
        <v>20</v>
      </c>
      <c r="H893" t="str">
        <f>"ROSA ISABEL BAZAN"</f>
        <v>ROSA ISABEL BAZAN</v>
      </c>
    </row>
    <row r="894" spans="1:8" x14ac:dyDescent="0.25">
      <c r="A894" t="s">
        <v>324</v>
      </c>
      <c r="B894">
        <v>80585</v>
      </c>
      <c r="C894" s="2">
        <v>20</v>
      </c>
      <c r="D894" s="1">
        <v>43489</v>
      </c>
      <c r="E894" t="str">
        <f>"201901246771"</f>
        <v>201901246771</v>
      </c>
      <c r="F894" t="str">
        <f>"Miscell"</f>
        <v>Miscell</v>
      </c>
      <c r="G894" s="2">
        <v>20</v>
      </c>
      <c r="H894" t="str">
        <f>"RONALD DEAN REYNOLDS"</f>
        <v>RONALD DEAN REYNOLDS</v>
      </c>
    </row>
    <row r="895" spans="1:8" x14ac:dyDescent="0.25">
      <c r="A895" t="s">
        <v>325</v>
      </c>
      <c r="B895">
        <v>80586</v>
      </c>
      <c r="C895" s="2">
        <v>20</v>
      </c>
      <c r="D895" s="1">
        <v>43489</v>
      </c>
      <c r="E895" t="str">
        <f>"201901246772"</f>
        <v>201901246772</v>
      </c>
      <c r="F895" t="str">
        <f>"Misce"</f>
        <v>Misce</v>
      </c>
      <c r="G895" s="2">
        <v>20</v>
      </c>
      <c r="H895" t="str">
        <f>"CHRISTINE DEE CHRISPEN"</f>
        <v>CHRISTINE DEE CHRISPEN</v>
      </c>
    </row>
    <row r="896" spans="1:8" x14ac:dyDescent="0.25">
      <c r="A896" t="s">
        <v>326</v>
      </c>
      <c r="B896">
        <v>80587</v>
      </c>
      <c r="C896" s="2">
        <v>20</v>
      </c>
      <c r="D896" s="1">
        <v>43489</v>
      </c>
      <c r="E896" t="str">
        <f>"201901246773"</f>
        <v>201901246773</v>
      </c>
      <c r="F896" t="str">
        <f>"Miscel"</f>
        <v>Miscel</v>
      </c>
      <c r="G896" s="2">
        <v>20</v>
      </c>
      <c r="H896" t="str">
        <f>"KENNETH ALFONS KASPAR"</f>
        <v>KENNETH ALFONS KASPAR</v>
      </c>
    </row>
    <row r="897" spans="1:8" x14ac:dyDescent="0.25">
      <c r="A897" t="s">
        <v>327</v>
      </c>
      <c r="B897">
        <v>80588</v>
      </c>
      <c r="C897" s="2">
        <v>20</v>
      </c>
      <c r="D897" s="1">
        <v>43489</v>
      </c>
      <c r="E897" t="str">
        <f>"201901246774"</f>
        <v>201901246774</v>
      </c>
      <c r="F897" t="str">
        <f>"Miscella"</f>
        <v>Miscella</v>
      </c>
      <c r="G897" s="2">
        <v>20</v>
      </c>
      <c r="H897" t="str">
        <f>"DEANNA MARIE BODINE"</f>
        <v>DEANNA MARIE BODINE</v>
      </c>
    </row>
    <row r="898" spans="1:8" x14ac:dyDescent="0.25">
      <c r="A898" t="s">
        <v>328</v>
      </c>
      <c r="B898">
        <v>80589</v>
      </c>
      <c r="C898" s="2">
        <v>20</v>
      </c>
      <c r="D898" s="1">
        <v>43489</v>
      </c>
      <c r="E898" t="str">
        <f>"201901246775"</f>
        <v>201901246775</v>
      </c>
      <c r="F898" t="str">
        <f>"Miscel"</f>
        <v>Miscel</v>
      </c>
      <c r="G898" s="2">
        <v>20</v>
      </c>
      <c r="H898" t="str">
        <f>"MADELAINE MORTON SEAY"</f>
        <v>MADELAINE MORTON SEAY</v>
      </c>
    </row>
    <row r="899" spans="1:8" x14ac:dyDescent="0.25">
      <c r="A899" t="s">
        <v>329</v>
      </c>
      <c r="B899">
        <v>80590</v>
      </c>
      <c r="C899" s="2">
        <v>20</v>
      </c>
      <c r="D899" s="1">
        <v>43489</v>
      </c>
      <c r="E899" t="str">
        <f>"201901246776"</f>
        <v>201901246776</v>
      </c>
      <c r="F899" t="str">
        <f>"M"</f>
        <v>M</v>
      </c>
      <c r="G899" s="2">
        <v>20</v>
      </c>
      <c r="H899" t="str">
        <f>"STERLIN GEORG DENAE RIVERS"</f>
        <v>STERLIN GEORG DENAE RIVERS</v>
      </c>
    </row>
    <row r="900" spans="1:8" x14ac:dyDescent="0.25">
      <c r="A900" t="s">
        <v>330</v>
      </c>
      <c r="B900">
        <v>80591</v>
      </c>
      <c r="C900" s="2">
        <v>20</v>
      </c>
      <c r="D900" s="1">
        <v>43489</v>
      </c>
      <c r="E900" t="str">
        <f>"201901246777"</f>
        <v>201901246777</v>
      </c>
      <c r="F900" t="str">
        <f>"Miscella"</f>
        <v>Miscella</v>
      </c>
      <c r="G900" s="2">
        <v>20</v>
      </c>
      <c r="H900" t="str">
        <f>"CARLOS MIGUEL LOPEZ"</f>
        <v>CARLOS MIGUEL LOPEZ</v>
      </c>
    </row>
    <row r="901" spans="1:8" x14ac:dyDescent="0.25">
      <c r="A901" t="s">
        <v>331</v>
      </c>
      <c r="B901">
        <v>80592</v>
      </c>
      <c r="C901" s="2">
        <v>20</v>
      </c>
      <c r="D901" s="1">
        <v>43489</v>
      </c>
      <c r="E901" t="str">
        <f>"201901246778"</f>
        <v>201901246778</v>
      </c>
      <c r="F901" t="str">
        <f>"Miscella"</f>
        <v>Miscella</v>
      </c>
      <c r="G901" s="2">
        <v>20</v>
      </c>
      <c r="H901" t="str">
        <f>"GRANT CURTIS HENNIG"</f>
        <v>GRANT CURTIS HENNIG</v>
      </c>
    </row>
    <row r="902" spans="1:8" x14ac:dyDescent="0.25">
      <c r="A902" t="s">
        <v>332</v>
      </c>
      <c r="B902">
        <v>80593</v>
      </c>
      <c r="C902" s="2">
        <v>20</v>
      </c>
      <c r="D902" s="1">
        <v>43489</v>
      </c>
      <c r="E902" t="str">
        <f>"201901246779"</f>
        <v>201901246779</v>
      </c>
      <c r="F902" t="str">
        <f>"Misce"</f>
        <v>Misce</v>
      </c>
      <c r="G902" s="2">
        <v>20</v>
      </c>
      <c r="H902" t="str">
        <f>"JUAN RODRIGUEZ MIRELES"</f>
        <v>JUAN RODRIGUEZ MIRELES</v>
      </c>
    </row>
    <row r="903" spans="1:8" x14ac:dyDescent="0.25">
      <c r="A903" t="s">
        <v>333</v>
      </c>
      <c r="B903">
        <v>80594</v>
      </c>
      <c r="C903" s="2">
        <v>20</v>
      </c>
      <c r="D903" s="1">
        <v>43489</v>
      </c>
      <c r="E903" t="str">
        <f>"201901246780"</f>
        <v>201901246780</v>
      </c>
      <c r="F903" t="str">
        <f>"Misc"</f>
        <v>Misc</v>
      </c>
      <c r="G903" s="2">
        <v>20</v>
      </c>
      <c r="H903" t="str">
        <f>"MATTHEW ALLEN WOERNDELL"</f>
        <v>MATTHEW ALLEN WOERNDELL</v>
      </c>
    </row>
    <row r="904" spans="1:8" x14ac:dyDescent="0.25">
      <c r="A904" t="s">
        <v>334</v>
      </c>
      <c r="B904">
        <v>80595</v>
      </c>
      <c r="C904" s="2">
        <v>20</v>
      </c>
      <c r="D904" s="1">
        <v>43489</v>
      </c>
      <c r="E904" t="str">
        <f>"201901246781"</f>
        <v>201901246781</v>
      </c>
      <c r="F904" t="str">
        <f>"Miscellane"</f>
        <v>Miscellane</v>
      </c>
      <c r="G904" s="2">
        <v>20</v>
      </c>
      <c r="H904" t="str">
        <f>"ENES BALANDRAN JR"</f>
        <v>ENES BALANDRAN JR</v>
      </c>
    </row>
    <row r="905" spans="1:8" x14ac:dyDescent="0.25">
      <c r="A905" t="s">
        <v>335</v>
      </c>
      <c r="B905">
        <v>80596</v>
      </c>
      <c r="C905" s="2">
        <v>20</v>
      </c>
      <c r="D905" s="1">
        <v>43489</v>
      </c>
      <c r="E905" t="str">
        <f>"201901246782"</f>
        <v>201901246782</v>
      </c>
      <c r="F905" t="str">
        <f>"Misce"</f>
        <v>Misce</v>
      </c>
      <c r="G905" s="2">
        <v>20</v>
      </c>
      <c r="H905" t="str">
        <f>"THOMAS JAMES STANISLAV"</f>
        <v>THOMAS JAMES STANISLAV</v>
      </c>
    </row>
    <row r="906" spans="1:8" x14ac:dyDescent="0.25">
      <c r="A906" t="s">
        <v>336</v>
      </c>
      <c r="B906">
        <v>80597</v>
      </c>
      <c r="C906" s="2">
        <v>20</v>
      </c>
      <c r="D906" s="1">
        <v>43489</v>
      </c>
      <c r="E906" t="str">
        <f>"201901246783"</f>
        <v>201901246783</v>
      </c>
      <c r="F906" t="str">
        <f>"Mi"</f>
        <v>Mi</v>
      </c>
      <c r="G906" s="2">
        <v>20</v>
      </c>
      <c r="H906" t="str">
        <f>"DARRELL LEE BELLINGHAUSEN"</f>
        <v>DARRELL LEE BELLINGHAUSEN</v>
      </c>
    </row>
    <row r="907" spans="1:8" x14ac:dyDescent="0.25">
      <c r="A907" t="s">
        <v>337</v>
      </c>
      <c r="B907">
        <v>80598</v>
      </c>
      <c r="C907" s="2">
        <v>20</v>
      </c>
      <c r="D907" s="1">
        <v>43489</v>
      </c>
      <c r="E907" t="str">
        <f>"201901246784"</f>
        <v>201901246784</v>
      </c>
      <c r="F907" t="str">
        <f>"Miscel"</f>
        <v>Miscel</v>
      </c>
      <c r="G907" s="2">
        <v>20</v>
      </c>
      <c r="H907" t="str">
        <f>"SERGE ALISON PONTEJOS"</f>
        <v>SERGE ALISON PONTEJOS</v>
      </c>
    </row>
    <row r="908" spans="1:8" x14ac:dyDescent="0.25">
      <c r="A908" t="s">
        <v>338</v>
      </c>
      <c r="B908">
        <v>80599</v>
      </c>
      <c r="C908" s="2">
        <v>20</v>
      </c>
      <c r="D908" s="1">
        <v>43489</v>
      </c>
      <c r="E908" t="str">
        <f>"201901246785"</f>
        <v>201901246785</v>
      </c>
      <c r="F908" t="str">
        <f>"Miscell"</f>
        <v>Miscell</v>
      </c>
      <c r="G908" s="2">
        <v>20</v>
      </c>
      <c r="H908" t="str">
        <f>"LUIS ALFREDO GUEVARA"</f>
        <v>LUIS ALFREDO GUEVARA</v>
      </c>
    </row>
    <row r="909" spans="1:8" x14ac:dyDescent="0.25">
      <c r="A909" t="s">
        <v>339</v>
      </c>
      <c r="B909">
        <v>80600</v>
      </c>
      <c r="C909" s="2">
        <v>20</v>
      </c>
      <c r="D909" s="1">
        <v>43489</v>
      </c>
      <c r="E909" t="str">
        <f>"201901246786"</f>
        <v>201901246786</v>
      </c>
      <c r="F909" t="str">
        <f>"Miscell"</f>
        <v>Miscell</v>
      </c>
      <c r="G909" s="2">
        <v>20</v>
      </c>
      <c r="H909" t="str">
        <f>"MARKEISHA RUTH WHITE"</f>
        <v>MARKEISHA RUTH WHITE</v>
      </c>
    </row>
    <row r="910" spans="1:8" x14ac:dyDescent="0.25">
      <c r="A910" t="s">
        <v>340</v>
      </c>
      <c r="B910">
        <v>80601</v>
      </c>
      <c r="C910" s="2">
        <v>20</v>
      </c>
      <c r="D910" s="1">
        <v>43489</v>
      </c>
      <c r="E910" t="str">
        <f>"201901246787"</f>
        <v>201901246787</v>
      </c>
      <c r="F910" t="str">
        <f>"Mis"</f>
        <v>Mis</v>
      </c>
      <c r="G910" s="2">
        <v>20</v>
      </c>
      <c r="H910" t="str">
        <f>"MARY HERNANDEZ RUBALCABA"</f>
        <v>MARY HERNANDEZ RUBALCABA</v>
      </c>
    </row>
    <row r="911" spans="1:8" x14ac:dyDescent="0.25">
      <c r="A911" t="s">
        <v>341</v>
      </c>
      <c r="B911">
        <v>80602</v>
      </c>
      <c r="C911" s="2">
        <v>20</v>
      </c>
      <c r="D911" s="1">
        <v>43489</v>
      </c>
      <c r="E911" t="str">
        <f>"201901246788"</f>
        <v>201901246788</v>
      </c>
      <c r="F911" t="str">
        <f>"Miscellan"</f>
        <v>Miscellan</v>
      </c>
      <c r="G911" s="2">
        <v>20</v>
      </c>
      <c r="H911" t="str">
        <f>"JOAN MARIE SWANSON"</f>
        <v>JOAN MARIE SWANSON</v>
      </c>
    </row>
    <row r="912" spans="1:8" x14ac:dyDescent="0.25">
      <c r="A912" t="s">
        <v>342</v>
      </c>
      <c r="B912">
        <v>80603</v>
      </c>
      <c r="C912" s="2">
        <v>20</v>
      </c>
      <c r="D912" s="1">
        <v>43489</v>
      </c>
      <c r="E912" t="str">
        <f>"201901246789"</f>
        <v>201901246789</v>
      </c>
      <c r="F912" t="str">
        <f>"Mis"</f>
        <v>Mis</v>
      </c>
      <c r="G912" s="2">
        <v>20</v>
      </c>
      <c r="H912" t="str">
        <f>"MARIANNE ELIZABETH ALVES"</f>
        <v>MARIANNE ELIZABETH ALVES</v>
      </c>
    </row>
    <row r="913" spans="1:8" x14ac:dyDescent="0.25">
      <c r="A913" t="s">
        <v>343</v>
      </c>
      <c r="B913">
        <v>80604</v>
      </c>
      <c r="C913" s="2">
        <v>20</v>
      </c>
      <c r="D913" s="1">
        <v>43489</v>
      </c>
      <c r="E913" t="str">
        <f>"201901246790"</f>
        <v>201901246790</v>
      </c>
      <c r="F913" t="str">
        <f>""</f>
        <v/>
      </c>
      <c r="G913" s="2">
        <v>20</v>
      </c>
      <c r="H913" t="str">
        <f>"ADRIAN ALEJANDRO VARGAS MOSELE"</f>
        <v>ADRIAN ALEJANDRO VARGAS MOSELE</v>
      </c>
    </row>
    <row r="914" spans="1:8" x14ac:dyDescent="0.25">
      <c r="A914" t="s">
        <v>344</v>
      </c>
      <c r="B914">
        <v>80605</v>
      </c>
      <c r="C914" s="2">
        <v>20</v>
      </c>
      <c r="D914" s="1">
        <v>43489</v>
      </c>
      <c r="E914" t="str">
        <f>"201901246791"</f>
        <v>201901246791</v>
      </c>
      <c r="F914" t="str">
        <f>"Miscellaneous"</f>
        <v>Miscellaneous</v>
      </c>
      <c r="G914" s="2">
        <v>20</v>
      </c>
      <c r="H914" t="str">
        <f>"BARRY PEREZ"</f>
        <v>BARRY PEREZ</v>
      </c>
    </row>
    <row r="915" spans="1:8" x14ac:dyDescent="0.25">
      <c r="A915" t="s">
        <v>345</v>
      </c>
      <c r="B915">
        <v>80606</v>
      </c>
      <c r="C915" s="2">
        <v>20</v>
      </c>
      <c r="D915" s="1">
        <v>43489</v>
      </c>
      <c r="E915" t="str">
        <f>"201901246792"</f>
        <v>201901246792</v>
      </c>
      <c r="F915" t="str">
        <f>"Miscell"</f>
        <v>Miscell</v>
      </c>
      <c r="G915" s="2">
        <v>20</v>
      </c>
      <c r="H915" t="str">
        <f>"SCOTT JULIAN LIRIANO"</f>
        <v>SCOTT JULIAN LIRIANO</v>
      </c>
    </row>
    <row r="916" spans="1:8" x14ac:dyDescent="0.25">
      <c r="A916" t="s">
        <v>346</v>
      </c>
      <c r="B916">
        <v>80607</v>
      </c>
      <c r="C916" s="2">
        <v>20</v>
      </c>
      <c r="D916" s="1">
        <v>43489</v>
      </c>
      <c r="E916" t="str">
        <f>"201901246793"</f>
        <v>201901246793</v>
      </c>
      <c r="F916" t="str">
        <f>"Miscell"</f>
        <v>Miscell</v>
      </c>
      <c r="G916" s="2">
        <v>20</v>
      </c>
      <c r="H916" t="str">
        <f>"JASON MATTHEW FARLEY"</f>
        <v>JASON MATTHEW FARLEY</v>
      </c>
    </row>
    <row r="917" spans="1:8" x14ac:dyDescent="0.25">
      <c r="A917" t="s">
        <v>347</v>
      </c>
      <c r="B917">
        <v>80608</v>
      </c>
      <c r="C917" s="2">
        <v>20</v>
      </c>
      <c r="D917" s="1">
        <v>43489</v>
      </c>
      <c r="E917" t="str">
        <f>"201901246794"</f>
        <v>201901246794</v>
      </c>
      <c r="F917" t="str">
        <f>"Miscellaneous"</f>
        <v>Miscellaneous</v>
      </c>
      <c r="G917" s="2">
        <v>20</v>
      </c>
      <c r="H917" t="str">
        <f>"RICKY NOELL"</f>
        <v>RICKY NOELL</v>
      </c>
    </row>
    <row r="918" spans="1:8" x14ac:dyDescent="0.25">
      <c r="A918" t="s">
        <v>348</v>
      </c>
      <c r="B918">
        <v>80609</v>
      </c>
      <c r="C918" s="2">
        <v>20</v>
      </c>
      <c r="D918" s="1">
        <v>43489</v>
      </c>
      <c r="E918" t="str">
        <f>"201901246795"</f>
        <v>201901246795</v>
      </c>
      <c r="F918" t="str">
        <f>"Miscella"</f>
        <v>Miscella</v>
      </c>
      <c r="G918" s="2">
        <v>20</v>
      </c>
      <c r="H918" t="str">
        <f>"MARTIN DAVID GIBSON"</f>
        <v>MARTIN DAVID GIBSON</v>
      </c>
    </row>
    <row r="919" spans="1:8" x14ac:dyDescent="0.25">
      <c r="A919" t="s">
        <v>349</v>
      </c>
      <c r="B919">
        <v>80610</v>
      </c>
      <c r="C919" s="2">
        <v>20</v>
      </c>
      <c r="D919" s="1">
        <v>43489</v>
      </c>
      <c r="E919" t="str">
        <f>"201901246796"</f>
        <v>201901246796</v>
      </c>
      <c r="F919" t="str">
        <f>"Miscellaneo"</f>
        <v>Miscellaneo</v>
      </c>
      <c r="G919" s="2">
        <v>20</v>
      </c>
      <c r="H919" t="str">
        <f>"ASA FROST POTTER"</f>
        <v>ASA FROST POTTER</v>
      </c>
    </row>
    <row r="920" spans="1:8" x14ac:dyDescent="0.25">
      <c r="A920" t="s">
        <v>350</v>
      </c>
      <c r="B920">
        <v>80611</v>
      </c>
      <c r="C920" s="2">
        <v>20</v>
      </c>
      <c r="D920" s="1">
        <v>43489</v>
      </c>
      <c r="E920" t="str">
        <f>"201901246797"</f>
        <v>201901246797</v>
      </c>
      <c r="F920" t="str">
        <f>"Misc"</f>
        <v>Misc</v>
      </c>
      <c r="G920" s="2">
        <v>20</v>
      </c>
      <c r="H920" t="str">
        <f>"JOSEPH EDWARD GRUNINGER"</f>
        <v>JOSEPH EDWARD GRUNINGER</v>
      </c>
    </row>
    <row r="921" spans="1:8" x14ac:dyDescent="0.25">
      <c r="A921" t="s">
        <v>351</v>
      </c>
      <c r="B921">
        <v>80612</v>
      </c>
      <c r="C921" s="2">
        <v>20</v>
      </c>
      <c r="D921" s="1">
        <v>43489</v>
      </c>
      <c r="E921" t="str">
        <f>"201901246798"</f>
        <v>201901246798</v>
      </c>
      <c r="F921" t="str">
        <f>"Miscel"</f>
        <v>Miscel</v>
      </c>
      <c r="G921" s="2">
        <v>20</v>
      </c>
      <c r="H921" t="str">
        <f>"JEFFREY RUSSELL KRITZ"</f>
        <v>JEFFREY RUSSELL KRITZ</v>
      </c>
    </row>
    <row r="922" spans="1:8" x14ac:dyDescent="0.25">
      <c r="A922" t="s">
        <v>352</v>
      </c>
      <c r="B922">
        <v>80613</v>
      </c>
      <c r="C922" s="2">
        <v>20</v>
      </c>
      <c r="D922" s="1">
        <v>43489</v>
      </c>
      <c r="E922" t="str">
        <f>"201901246799"</f>
        <v>201901246799</v>
      </c>
      <c r="F922" t="str">
        <f>"Miscell"</f>
        <v>Miscell</v>
      </c>
      <c r="G922" s="2">
        <v>20</v>
      </c>
      <c r="H922" t="str">
        <f>"MICHELLE LYNN HARRIS"</f>
        <v>MICHELLE LYNN HARRIS</v>
      </c>
    </row>
    <row r="923" spans="1:8" x14ac:dyDescent="0.25">
      <c r="A923" t="s">
        <v>353</v>
      </c>
      <c r="B923">
        <v>80614</v>
      </c>
      <c r="C923" s="2">
        <v>20</v>
      </c>
      <c r="D923" s="1">
        <v>43489</v>
      </c>
      <c r="E923" t="str">
        <f>"201901246800"</f>
        <v>201901246800</v>
      </c>
      <c r="F923" t="str">
        <f>"Misce"</f>
        <v>Misce</v>
      </c>
      <c r="G923" s="2">
        <v>20</v>
      </c>
      <c r="H923" t="str">
        <f>"MELANIE MARLENE EASLEY"</f>
        <v>MELANIE MARLENE EASLEY</v>
      </c>
    </row>
    <row r="924" spans="1:8" x14ac:dyDescent="0.25">
      <c r="A924" t="s">
        <v>354</v>
      </c>
      <c r="B924">
        <v>80615</v>
      </c>
      <c r="C924" s="2">
        <v>20</v>
      </c>
      <c r="D924" s="1">
        <v>43489</v>
      </c>
      <c r="E924" t="str">
        <f>"201901246801"</f>
        <v>201901246801</v>
      </c>
      <c r="F924" t="str">
        <f>"Miscellane"</f>
        <v>Miscellane</v>
      </c>
      <c r="G924" s="2">
        <v>20</v>
      </c>
      <c r="H924" t="str">
        <f>"JOHN MICHAEL COON"</f>
        <v>JOHN MICHAEL COON</v>
      </c>
    </row>
    <row r="925" spans="1:8" x14ac:dyDescent="0.25">
      <c r="A925" t="s">
        <v>355</v>
      </c>
      <c r="B925">
        <v>80616</v>
      </c>
      <c r="C925" s="2">
        <v>20</v>
      </c>
      <c r="D925" s="1">
        <v>43489</v>
      </c>
      <c r="E925" t="str">
        <f>"201901246802"</f>
        <v>201901246802</v>
      </c>
      <c r="F925" t="str">
        <f>"Miscel"</f>
        <v>Miscel</v>
      </c>
      <c r="G925" s="2">
        <v>20</v>
      </c>
      <c r="H925" t="str">
        <f>"ELIZABETH RICHVOLDSEN"</f>
        <v>ELIZABETH RICHVOLDSEN</v>
      </c>
    </row>
    <row r="926" spans="1:8" x14ac:dyDescent="0.25">
      <c r="A926" t="s">
        <v>356</v>
      </c>
      <c r="B926">
        <v>80617</v>
      </c>
      <c r="C926" s="2">
        <v>20</v>
      </c>
      <c r="D926" s="1">
        <v>43489</v>
      </c>
      <c r="E926" t="str">
        <f>"201901246803"</f>
        <v>201901246803</v>
      </c>
      <c r="F926" t="str">
        <f>"Miscella"</f>
        <v>Miscella</v>
      </c>
      <c r="G926" s="2">
        <v>20</v>
      </c>
      <c r="H926" t="str">
        <f>"DAVID EARL MCMULLEN"</f>
        <v>DAVID EARL MCMULLEN</v>
      </c>
    </row>
    <row r="927" spans="1:8" x14ac:dyDescent="0.25">
      <c r="A927" t="s">
        <v>357</v>
      </c>
      <c r="B927">
        <v>80618</v>
      </c>
      <c r="C927" s="2">
        <v>20</v>
      </c>
      <c r="D927" s="1">
        <v>43489</v>
      </c>
      <c r="E927" t="str">
        <f>"201901246804"</f>
        <v>201901246804</v>
      </c>
      <c r="F927" t="str">
        <f>"Miscella"</f>
        <v>Miscella</v>
      </c>
      <c r="G927" s="2">
        <v>20</v>
      </c>
      <c r="H927" t="str">
        <f>"BRUCE WAYNE CALVERY"</f>
        <v>BRUCE WAYNE CALVERY</v>
      </c>
    </row>
    <row r="928" spans="1:8" x14ac:dyDescent="0.25">
      <c r="A928" t="s">
        <v>358</v>
      </c>
      <c r="B928">
        <v>80619</v>
      </c>
      <c r="C928" s="2">
        <v>20</v>
      </c>
      <c r="D928" s="1">
        <v>43489</v>
      </c>
      <c r="E928" t="str">
        <f>"201901246805"</f>
        <v>201901246805</v>
      </c>
      <c r="F928" t="str">
        <f>"Miscellaneous"</f>
        <v>Miscellaneous</v>
      </c>
      <c r="G928" s="2">
        <v>20</v>
      </c>
      <c r="H928" t="str">
        <f>"CHARL ANN MICK"</f>
        <v>CHARL ANN MICK</v>
      </c>
    </row>
    <row r="929" spans="1:8" x14ac:dyDescent="0.25">
      <c r="A929" t="s">
        <v>359</v>
      </c>
      <c r="B929">
        <v>80620</v>
      </c>
      <c r="C929" s="2">
        <v>20</v>
      </c>
      <c r="D929" s="1">
        <v>43489</v>
      </c>
      <c r="E929" t="str">
        <f>"201901246806"</f>
        <v>201901246806</v>
      </c>
      <c r="F929" t="str">
        <f>"Misce"</f>
        <v>Misce</v>
      </c>
      <c r="G929" s="2">
        <v>20</v>
      </c>
      <c r="H929" t="str">
        <f>"ARRION SAVINO ESPINOZA"</f>
        <v>ARRION SAVINO ESPINOZA</v>
      </c>
    </row>
    <row r="930" spans="1:8" x14ac:dyDescent="0.25">
      <c r="A930" t="s">
        <v>360</v>
      </c>
      <c r="B930">
        <v>80621</v>
      </c>
      <c r="C930" s="2">
        <v>20</v>
      </c>
      <c r="D930" s="1">
        <v>43489</v>
      </c>
      <c r="E930" t="str">
        <f>"201901246807"</f>
        <v>201901246807</v>
      </c>
      <c r="F930" t="str">
        <f>"Miscellaneous"</f>
        <v>Miscellaneous</v>
      </c>
      <c r="G930" s="2">
        <v>20</v>
      </c>
      <c r="H930" t="str">
        <f>"DIXIE ANN KING"</f>
        <v>DIXIE ANN KING</v>
      </c>
    </row>
    <row r="931" spans="1:8" x14ac:dyDescent="0.25">
      <c r="A931" t="s">
        <v>361</v>
      </c>
      <c r="B931">
        <v>80622</v>
      </c>
      <c r="C931" s="2">
        <v>20</v>
      </c>
      <c r="D931" s="1">
        <v>43489</v>
      </c>
      <c r="E931" t="str">
        <f>"201901246808"</f>
        <v>201901246808</v>
      </c>
      <c r="F931" t="str">
        <f>"Miscellaneou"</f>
        <v>Miscellaneou</v>
      </c>
      <c r="G931" s="2">
        <v>20</v>
      </c>
      <c r="H931" t="str">
        <f>"ROBYNE M TAYLOR"</f>
        <v>ROBYNE M TAYLOR</v>
      </c>
    </row>
    <row r="932" spans="1:8" x14ac:dyDescent="0.25">
      <c r="A932" t="s">
        <v>362</v>
      </c>
      <c r="B932">
        <v>80623</v>
      </c>
      <c r="C932" s="2">
        <v>20</v>
      </c>
      <c r="D932" s="1">
        <v>43489</v>
      </c>
      <c r="E932" t="str">
        <f>"201901246809"</f>
        <v>201901246809</v>
      </c>
      <c r="F932" t="str">
        <f>"Miscella"</f>
        <v>Miscella</v>
      </c>
      <c r="G932" s="2">
        <v>20</v>
      </c>
      <c r="H932" t="str">
        <f>"LENNART DAVID ADAMS"</f>
        <v>LENNART DAVID ADAMS</v>
      </c>
    </row>
    <row r="933" spans="1:8" x14ac:dyDescent="0.25">
      <c r="A933" t="s">
        <v>363</v>
      </c>
      <c r="B933">
        <v>80624</v>
      </c>
      <c r="C933" s="2">
        <v>20</v>
      </c>
      <c r="D933" s="1">
        <v>43489</v>
      </c>
      <c r="E933" t="str">
        <f>"201901246810"</f>
        <v>201901246810</v>
      </c>
      <c r="F933" t="str">
        <f>"Miscella"</f>
        <v>Miscella</v>
      </c>
      <c r="G933" s="2">
        <v>20</v>
      </c>
      <c r="H933" t="str">
        <f>"MAIRA LORENA GORMAN"</f>
        <v>MAIRA LORENA GORMAN</v>
      </c>
    </row>
    <row r="934" spans="1:8" x14ac:dyDescent="0.25">
      <c r="A934" t="s">
        <v>364</v>
      </c>
      <c r="B934">
        <v>80625</v>
      </c>
      <c r="C934" s="2">
        <v>20</v>
      </c>
      <c r="D934" s="1">
        <v>43489</v>
      </c>
      <c r="E934" t="str">
        <f>"201901246811"</f>
        <v>201901246811</v>
      </c>
      <c r="F934" t="str">
        <f>"Mis"</f>
        <v>Mis</v>
      </c>
      <c r="G934" s="2">
        <v>20</v>
      </c>
      <c r="H934" t="str">
        <f>"VALERIE CHRISTINA MILLER"</f>
        <v>VALERIE CHRISTINA MILLER</v>
      </c>
    </row>
    <row r="935" spans="1:8" x14ac:dyDescent="0.25">
      <c r="A935" t="s">
        <v>365</v>
      </c>
      <c r="B935">
        <v>80626</v>
      </c>
      <c r="C935" s="2">
        <v>20</v>
      </c>
      <c r="D935" s="1">
        <v>43489</v>
      </c>
      <c r="E935" t="str">
        <f>"201901246812"</f>
        <v>201901246812</v>
      </c>
      <c r="F935" t="str">
        <f>""</f>
        <v/>
      </c>
      <c r="G935" s="2">
        <v>20</v>
      </c>
      <c r="H935" t="str">
        <f>"DESTINY KEANDRIA CHEREE HIGGIN"</f>
        <v>DESTINY KEANDRIA CHEREE HIGGIN</v>
      </c>
    </row>
    <row r="936" spans="1:8" x14ac:dyDescent="0.25">
      <c r="A936" t="s">
        <v>366</v>
      </c>
      <c r="B936">
        <v>80627</v>
      </c>
      <c r="C936" s="2">
        <v>20</v>
      </c>
      <c r="D936" s="1">
        <v>43489</v>
      </c>
      <c r="E936" t="str">
        <f>"201901246813"</f>
        <v>201901246813</v>
      </c>
      <c r="F936" t="str">
        <f>"Miscella"</f>
        <v>Miscella</v>
      </c>
      <c r="G936" s="2">
        <v>20</v>
      </c>
      <c r="H936" t="str">
        <f>"KENNETH KARL KNEBEL"</f>
        <v>KENNETH KARL KNEBEL</v>
      </c>
    </row>
    <row r="937" spans="1:8" x14ac:dyDescent="0.25">
      <c r="A937" t="s">
        <v>367</v>
      </c>
      <c r="B937">
        <v>80628</v>
      </c>
      <c r="C937" s="2">
        <v>20</v>
      </c>
      <c r="D937" s="1">
        <v>43489</v>
      </c>
      <c r="E937" t="str">
        <f>"201901246814"</f>
        <v>201901246814</v>
      </c>
      <c r="F937" t="str">
        <f>"Miscellan"</f>
        <v>Miscellan</v>
      </c>
      <c r="G937" s="2">
        <v>20</v>
      </c>
      <c r="H937" t="str">
        <f>"COOPER REED CARTER"</f>
        <v>COOPER REED CARTER</v>
      </c>
    </row>
    <row r="938" spans="1:8" x14ac:dyDescent="0.25">
      <c r="A938" t="s">
        <v>368</v>
      </c>
      <c r="B938">
        <v>80629</v>
      </c>
      <c r="C938" s="2">
        <v>20</v>
      </c>
      <c r="D938" s="1">
        <v>43489</v>
      </c>
      <c r="E938" t="str">
        <f>"201901246815"</f>
        <v>201901246815</v>
      </c>
      <c r="F938" t="str">
        <f>"Mis"</f>
        <v>Mis</v>
      </c>
      <c r="G938" s="2">
        <v>20</v>
      </c>
      <c r="H938" t="str">
        <f>"GEORGE WILFORD UPTAIN JR"</f>
        <v>GEORGE WILFORD UPTAIN JR</v>
      </c>
    </row>
    <row r="939" spans="1:8" x14ac:dyDescent="0.25">
      <c r="A939" t="s">
        <v>369</v>
      </c>
      <c r="B939">
        <v>80630</v>
      </c>
      <c r="C939" s="2">
        <v>20</v>
      </c>
      <c r="D939" s="1">
        <v>43489</v>
      </c>
      <c r="E939" t="str">
        <f>"201901246816"</f>
        <v>201901246816</v>
      </c>
      <c r="F939" t="str">
        <f>"Miscel"</f>
        <v>Miscel</v>
      </c>
      <c r="G939" s="2">
        <v>20</v>
      </c>
      <c r="H939" t="str">
        <f>"ALLISON JUNE STRESING"</f>
        <v>ALLISON JUNE STRESING</v>
      </c>
    </row>
    <row r="940" spans="1:8" x14ac:dyDescent="0.25">
      <c r="A940" t="s">
        <v>370</v>
      </c>
      <c r="B940">
        <v>80631</v>
      </c>
      <c r="C940" s="2">
        <v>20</v>
      </c>
      <c r="D940" s="1">
        <v>43489</v>
      </c>
      <c r="E940" t="str">
        <f>"201901246817"</f>
        <v>201901246817</v>
      </c>
      <c r="F940" t="str">
        <f>"Miscellan"</f>
        <v>Miscellan</v>
      </c>
      <c r="G940" s="2">
        <v>20</v>
      </c>
      <c r="H940" t="str">
        <f>"LORI DAWN HAMILTON"</f>
        <v>LORI DAWN HAMILTON</v>
      </c>
    </row>
    <row r="941" spans="1:8" x14ac:dyDescent="0.25">
      <c r="A941" t="s">
        <v>371</v>
      </c>
      <c r="B941">
        <v>80632</v>
      </c>
      <c r="C941" s="2">
        <v>20</v>
      </c>
      <c r="D941" s="1">
        <v>43489</v>
      </c>
      <c r="E941" t="str">
        <f>"201901246818"</f>
        <v>201901246818</v>
      </c>
      <c r="F941" t="str">
        <f>"Miscella"</f>
        <v>Miscella</v>
      </c>
      <c r="G941" s="2">
        <v>20</v>
      </c>
      <c r="H941" t="str">
        <f>"GREGORY BRUCE CLOER"</f>
        <v>GREGORY BRUCE CLOER</v>
      </c>
    </row>
    <row r="942" spans="1:8" x14ac:dyDescent="0.25">
      <c r="A942" t="s">
        <v>372</v>
      </c>
      <c r="B942">
        <v>80633</v>
      </c>
      <c r="C942" s="2">
        <v>20</v>
      </c>
      <c r="D942" s="1">
        <v>43489</v>
      </c>
      <c r="E942" t="str">
        <f>"201901246819"</f>
        <v>201901246819</v>
      </c>
      <c r="F942" t="str">
        <f>"Miscellaneous"</f>
        <v>Miscellaneous</v>
      </c>
      <c r="G942" s="2">
        <v>20</v>
      </c>
      <c r="H942" t="str">
        <f>"ROEL FLORES"</f>
        <v>ROEL FLORES</v>
      </c>
    </row>
    <row r="943" spans="1:8" x14ac:dyDescent="0.25">
      <c r="A943" t="s">
        <v>373</v>
      </c>
      <c r="B943">
        <v>80634</v>
      </c>
      <c r="C943" s="2">
        <v>20</v>
      </c>
      <c r="D943" s="1">
        <v>43489</v>
      </c>
      <c r="E943" t="str">
        <f>"201901246820"</f>
        <v>201901246820</v>
      </c>
      <c r="F943" t="str">
        <f>"Miscellane"</f>
        <v>Miscellane</v>
      </c>
      <c r="G943" s="2">
        <v>20</v>
      </c>
      <c r="H943" t="str">
        <f>"KATHRYN KAY WELCH"</f>
        <v>KATHRYN KAY WELCH</v>
      </c>
    </row>
    <row r="944" spans="1:8" x14ac:dyDescent="0.25">
      <c r="A944" t="s">
        <v>374</v>
      </c>
      <c r="B944">
        <v>80635</v>
      </c>
      <c r="C944" s="2">
        <v>20</v>
      </c>
      <c r="D944" s="1">
        <v>43489</v>
      </c>
      <c r="E944" t="str">
        <f>"201901246821"</f>
        <v>201901246821</v>
      </c>
      <c r="F944" t="str">
        <f>"Miscellan"</f>
        <v>Miscellan</v>
      </c>
      <c r="G944" s="2">
        <v>20</v>
      </c>
      <c r="H944" t="str">
        <f>"CLAYTON L LAMBERTY"</f>
        <v>CLAYTON L LAMBERTY</v>
      </c>
    </row>
    <row r="945" spans="1:8" x14ac:dyDescent="0.25">
      <c r="A945" t="s">
        <v>375</v>
      </c>
      <c r="B945">
        <v>80636</v>
      </c>
      <c r="C945" s="2">
        <v>20</v>
      </c>
      <c r="D945" s="1">
        <v>43489</v>
      </c>
      <c r="E945" t="str">
        <f>"201901246822"</f>
        <v>201901246822</v>
      </c>
      <c r="F945" t="str">
        <f>"Miscellane"</f>
        <v>Miscellane</v>
      </c>
      <c r="G945" s="2">
        <v>20</v>
      </c>
      <c r="H945" t="str">
        <f>"KENNETH RAY WINES"</f>
        <v>KENNETH RAY WINES</v>
      </c>
    </row>
    <row r="946" spans="1:8" x14ac:dyDescent="0.25">
      <c r="A946" t="s">
        <v>376</v>
      </c>
      <c r="B946">
        <v>80420</v>
      </c>
      <c r="C946" s="2">
        <v>1873.83</v>
      </c>
      <c r="D946" s="1">
        <v>43479</v>
      </c>
      <c r="E946" t="str">
        <f>"43402364"</f>
        <v>43402364</v>
      </c>
      <c r="F946" t="str">
        <f>"INV 43402364"</f>
        <v>INV 43402364</v>
      </c>
      <c r="G946" s="2">
        <v>155.53</v>
      </c>
      <c r="H946" t="str">
        <f>"INV 43402364"</f>
        <v>INV 43402364</v>
      </c>
    </row>
    <row r="947" spans="1:8" x14ac:dyDescent="0.25">
      <c r="E947" t="str">
        <f>"43832108 43885535"</f>
        <v>43832108 43885535</v>
      </c>
      <c r="F947" t="str">
        <f>"INV 43832108"</f>
        <v>INV 43832108</v>
      </c>
      <c r="G947" s="2">
        <v>1718.3</v>
      </c>
      <c r="H947" t="str">
        <f>"INV 43832108"</f>
        <v>INV 43832108</v>
      </c>
    </row>
    <row r="948" spans="1:8" x14ac:dyDescent="0.25">
      <c r="E948" t="str">
        <f>""</f>
        <v/>
      </c>
      <c r="F948" t="str">
        <f>""</f>
        <v/>
      </c>
      <c r="H948" t="str">
        <f>"INV 43885535"</f>
        <v>INV 43885535</v>
      </c>
    </row>
    <row r="949" spans="1:8" x14ac:dyDescent="0.25">
      <c r="A949" t="s">
        <v>377</v>
      </c>
      <c r="B949">
        <v>80729</v>
      </c>
      <c r="C949" s="2">
        <v>9271.83</v>
      </c>
      <c r="D949" s="1">
        <v>43493</v>
      </c>
      <c r="E949" t="str">
        <f>"201901166586"</f>
        <v>201901166586</v>
      </c>
      <c r="F949" t="str">
        <f>"423-2327"</f>
        <v>423-2327</v>
      </c>
      <c r="G949" s="2">
        <v>4433.41</v>
      </c>
      <c r="H949" t="str">
        <f>"423-2327"</f>
        <v>423-2327</v>
      </c>
    </row>
    <row r="950" spans="1:8" x14ac:dyDescent="0.25">
      <c r="E950" t="str">
        <f>"201901166587"</f>
        <v>201901166587</v>
      </c>
      <c r="F950" t="str">
        <f>"18-19013"</f>
        <v>18-19013</v>
      </c>
      <c r="G950" s="2">
        <v>4838.42</v>
      </c>
      <c r="H950" t="str">
        <f>"18-19013"</f>
        <v>18-19013</v>
      </c>
    </row>
    <row r="951" spans="1:8" x14ac:dyDescent="0.25">
      <c r="A951" t="s">
        <v>378</v>
      </c>
      <c r="B951">
        <v>80730</v>
      </c>
      <c r="C951" s="2">
        <v>23516.22</v>
      </c>
      <c r="D951" s="1">
        <v>43493</v>
      </c>
      <c r="E951" t="str">
        <f>"16028195"</f>
        <v>16028195</v>
      </c>
      <c r="F951" t="str">
        <f>"2 IMPRESS NIMH 2100 MAH"</f>
        <v>2 IMPRESS NIMH 2100 MAH</v>
      </c>
      <c r="G951" s="2">
        <v>168</v>
      </c>
      <c r="H951" t="str">
        <f>"NTN9858C"</f>
        <v>NTN9858C</v>
      </c>
    </row>
    <row r="952" spans="1:8" x14ac:dyDescent="0.25">
      <c r="E952" t="str">
        <f>"16031045"</f>
        <v>16031045</v>
      </c>
      <c r="F952" t="str">
        <f>"Mobile Radio For Andy Bak"</f>
        <v>Mobile Radio For Andy Bak</v>
      </c>
      <c r="G952" s="2">
        <v>2853.49</v>
      </c>
      <c r="H952" t="str">
        <f>"APX4500 7/800"</f>
        <v>APX4500 7/800</v>
      </c>
    </row>
    <row r="953" spans="1:8" x14ac:dyDescent="0.25">
      <c r="E953" t="str">
        <f>""</f>
        <v/>
      </c>
      <c r="F953" t="str">
        <f>""</f>
        <v/>
      </c>
      <c r="H953" t="str">
        <f>"ADD: 3600 OR 9600 TR"</f>
        <v>ADD: 3600 OR 9600 TR</v>
      </c>
    </row>
    <row r="954" spans="1:8" x14ac:dyDescent="0.25">
      <c r="E954" t="str">
        <f>""</f>
        <v/>
      </c>
      <c r="F954" t="str">
        <f>""</f>
        <v/>
      </c>
      <c r="H954" t="str">
        <f>"ADD: ADVANCED SYSTE"</f>
        <v>ADD: ADVANCED SYSTE</v>
      </c>
    </row>
    <row r="955" spans="1:8" x14ac:dyDescent="0.25">
      <c r="E955" t="str">
        <f>""</f>
        <v/>
      </c>
      <c r="F955" t="str">
        <f>""</f>
        <v/>
      </c>
      <c r="H955" t="str">
        <f>"ADD: APX O2 CONTROL"</f>
        <v>ADD: APX O2 CONTROL</v>
      </c>
    </row>
    <row r="956" spans="1:8" x14ac:dyDescent="0.25">
      <c r="E956" t="str">
        <f>""</f>
        <v/>
      </c>
      <c r="F956" t="str">
        <f>""</f>
        <v/>
      </c>
      <c r="H956" t="str">
        <f>"ADD: DASH MOUNT"</f>
        <v>ADD: DASH MOUNT</v>
      </c>
    </row>
    <row r="957" spans="1:8" x14ac:dyDescent="0.25">
      <c r="E957" t="str">
        <f>""</f>
        <v/>
      </c>
      <c r="F957" t="str">
        <f>""</f>
        <v/>
      </c>
      <c r="H957" t="str">
        <f>"ADD: ANT 3DB LOW-PRO"</f>
        <v>ADD: ANT 3DB LOW-PRO</v>
      </c>
    </row>
    <row r="958" spans="1:8" x14ac:dyDescent="0.25">
      <c r="E958" t="str">
        <f>""</f>
        <v/>
      </c>
      <c r="F958" t="str">
        <f>""</f>
        <v/>
      </c>
      <c r="H958" t="str">
        <f>"ADD: KEYPAD MIC GCAI"</f>
        <v>ADD: KEYPAD MIC GCAI</v>
      </c>
    </row>
    <row r="959" spans="1:8" x14ac:dyDescent="0.25">
      <c r="E959" t="str">
        <f>""</f>
        <v/>
      </c>
      <c r="F959" t="str">
        <f>""</f>
        <v/>
      </c>
      <c r="H959" t="str">
        <f>"ADD: AUXILARY SPKR 7"</f>
        <v>ADD: AUXILARY SPKR 7</v>
      </c>
    </row>
    <row r="960" spans="1:8" x14ac:dyDescent="0.25">
      <c r="E960" t="str">
        <f>""</f>
        <v/>
      </c>
      <c r="F960" t="str">
        <f>""</f>
        <v/>
      </c>
      <c r="H960" t="str">
        <f>"ADD: 5 YEAR SERVICE"</f>
        <v>ADD: 5 YEAR SERVICE</v>
      </c>
    </row>
    <row r="961" spans="1:8" x14ac:dyDescent="0.25">
      <c r="E961" t="str">
        <f>""</f>
        <v/>
      </c>
      <c r="F961" t="str">
        <f>""</f>
        <v/>
      </c>
      <c r="H961" t="str">
        <f>"ADD: APX MOBILE RADI"</f>
        <v>ADD: APX MOBILE RADI</v>
      </c>
    </row>
    <row r="962" spans="1:8" x14ac:dyDescent="0.25">
      <c r="E962" t="str">
        <f>""</f>
        <v/>
      </c>
      <c r="F962" t="str">
        <f>""</f>
        <v/>
      </c>
      <c r="H962" t="str">
        <f>"ADD: MULTIPLE KEY EN"</f>
        <v>ADD: MULTIPLE KEY EN</v>
      </c>
    </row>
    <row r="963" spans="1:8" x14ac:dyDescent="0.25">
      <c r="E963" t="str">
        <f>""</f>
        <v/>
      </c>
      <c r="F963" t="str">
        <f>""</f>
        <v/>
      </c>
      <c r="H963" t="str">
        <f>"Multikey Credit"</f>
        <v>Multikey Credit</v>
      </c>
    </row>
    <row r="964" spans="1:8" x14ac:dyDescent="0.25">
      <c r="E964" t="str">
        <f>""</f>
        <v/>
      </c>
      <c r="F964" t="str">
        <f>""</f>
        <v/>
      </c>
      <c r="H964" t="str">
        <f>"PROMO"</f>
        <v>PROMO</v>
      </c>
    </row>
    <row r="965" spans="1:8" x14ac:dyDescent="0.25">
      <c r="E965" t="str">
        <f>""</f>
        <v/>
      </c>
      <c r="F965" t="str">
        <f>""</f>
        <v/>
      </c>
      <c r="H965" t="str">
        <f>"ADD: GROUP SERVICES"</f>
        <v>ADD: GROUP SERVICES</v>
      </c>
    </row>
    <row r="966" spans="1:8" x14ac:dyDescent="0.25">
      <c r="E966" t="str">
        <f>"16031046"</f>
        <v>16031046</v>
      </c>
      <c r="F966" t="str">
        <f>"Motorola XTL 2500 Antenna"</f>
        <v>Motorola XTL 2500 Antenna</v>
      </c>
      <c r="G966" s="2">
        <v>32.25</v>
      </c>
      <c r="H966" t="str">
        <f>"HAF4014"</f>
        <v>HAF4014</v>
      </c>
    </row>
    <row r="967" spans="1:8" x14ac:dyDescent="0.25">
      <c r="E967" t="str">
        <f>"201901226744"</f>
        <v>201901226744</v>
      </c>
      <c r="F967" t="str">
        <f>"RADIO SERVICE AGREEMENT"</f>
        <v>RADIO SERVICE AGREEMENT</v>
      </c>
      <c r="G967" s="2">
        <v>20462.48</v>
      </c>
      <c r="H967" t="str">
        <f>"RADIO SERVICE AGREEMENT"</f>
        <v>RADIO SERVICE AGREEMENT</v>
      </c>
    </row>
    <row r="968" spans="1:8" x14ac:dyDescent="0.25">
      <c r="A968" t="s">
        <v>379</v>
      </c>
      <c r="B968">
        <v>80421</v>
      </c>
      <c r="C968" s="2">
        <v>826.8</v>
      </c>
      <c r="D968" s="1">
        <v>43479</v>
      </c>
      <c r="E968" t="str">
        <f>"86585665"</f>
        <v>86585665</v>
      </c>
      <c r="F968" t="str">
        <f>"ACCT#150344157/GEN SVCS"</f>
        <v>ACCT#150344157/GEN SVCS</v>
      </c>
      <c r="G968" s="2">
        <v>826.8</v>
      </c>
      <c r="H968" t="str">
        <f>"ACCT#150344157/GEN SVCS"</f>
        <v>ACCT#150344157/GEN SVCS</v>
      </c>
    </row>
    <row r="969" spans="1:8" x14ac:dyDescent="0.25">
      <c r="A969" t="s">
        <v>379</v>
      </c>
      <c r="B969">
        <v>80731</v>
      </c>
      <c r="C969" s="2">
        <v>826.8</v>
      </c>
      <c r="D969" s="1">
        <v>43493</v>
      </c>
      <c r="E969" t="str">
        <f>"86600247"</f>
        <v>86600247</v>
      </c>
      <c r="F969" t="str">
        <f>"ACCT#150344157/GEN SVCS"</f>
        <v>ACCT#150344157/GEN SVCS</v>
      </c>
      <c r="G969" s="2">
        <v>826.8</v>
      </c>
      <c r="H969" t="str">
        <f>"ACCT#150344157/GEN SVCS"</f>
        <v>ACCT#150344157/GEN SVCS</v>
      </c>
    </row>
    <row r="970" spans="1:8" x14ac:dyDescent="0.25">
      <c r="A970" t="s">
        <v>380</v>
      </c>
      <c r="B970">
        <v>80422</v>
      </c>
      <c r="C970" s="2">
        <v>5840</v>
      </c>
      <c r="D970" s="1">
        <v>43479</v>
      </c>
      <c r="E970" t="str">
        <f>"201901096464"</f>
        <v>201901096464</v>
      </c>
      <c r="F970" t="str">
        <f>"NALLEY HVAC MECHANICAL LLC"</f>
        <v>NALLEY HVAC MECHANICAL LLC</v>
      </c>
      <c r="G970" s="2">
        <v>935</v>
      </c>
      <c r="H970" t="str">
        <f>""</f>
        <v/>
      </c>
    </row>
    <row r="971" spans="1:8" x14ac:dyDescent="0.25">
      <c r="E971" t="str">
        <f>"201901096465"</f>
        <v>201901096465</v>
      </c>
      <c r="F971" t="str">
        <f>"NALLEY HVAC MECHANICAL LLC"</f>
        <v>NALLEY HVAC MECHANICAL LLC</v>
      </c>
      <c r="G971" s="2">
        <v>1360</v>
      </c>
      <c r="H971" t="str">
        <f>""</f>
        <v/>
      </c>
    </row>
    <row r="972" spans="1:8" x14ac:dyDescent="0.25">
      <c r="E972" t="str">
        <f>""</f>
        <v/>
      </c>
      <c r="F972" t="str">
        <f>""</f>
        <v/>
      </c>
      <c r="H972" t="str">
        <f>""</f>
        <v/>
      </c>
    </row>
    <row r="973" spans="1:8" x14ac:dyDescent="0.25">
      <c r="E973" t="str">
        <f>""</f>
        <v/>
      </c>
      <c r="F973" t="str">
        <f>""</f>
        <v/>
      </c>
      <c r="H973" t="str">
        <f>""</f>
        <v/>
      </c>
    </row>
    <row r="974" spans="1:8" x14ac:dyDescent="0.25">
      <c r="E974" t="str">
        <f>"201901096466"</f>
        <v>201901096466</v>
      </c>
      <c r="F974" t="str">
        <f>"NALLEY HVAC MECHANICAL LLC"</f>
        <v>NALLEY HVAC MECHANICAL LLC</v>
      </c>
      <c r="G974" s="2">
        <v>1025</v>
      </c>
      <c r="H974" t="str">
        <f>""</f>
        <v/>
      </c>
    </row>
    <row r="975" spans="1:8" x14ac:dyDescent="0.25">
      <c r="E975" t="str">
        <f>""</f>
        <v/>
      </c>
      <c r="F975" t="str">
        <f>""</f>
        <v/>
      </c>
      <c r="H975" t="str">
        <f>""</f>
        <v/>
      </c>
    </row>
    <row r="976" spans="1:8" x14ac:dyDescent="0.25">
      <c r="E976" t="str">
        <f>"201901096467"</f>
        <v>201901096467</v>
      </c>
      <c r="F976" t="str">
        <f>"NALLEY HVAC MECHANICAL LLC"</f>
        <v>NALLEY HVAC MECHANICAL LLC</v>
      </c>
      <c r="G976" s="2">
        <v>1395</v>
      </c>
      <c r="H976" t="str">
        <f>""</f>
        <v/>
      </c>
    </row>
    <row r="977" spans="1:8" x14ac:dyDescent="0.25">
      <c r="E977" t="str">
        <f>""</f>
        <v/>
      </c>
      <c r="F977" t="str">
        <f>""</f>
        <v/>
      </c>
      <c r="H977" t="str">
        <f>""</f>
        <v/>
      </c>
    </row>
    <row r="978" spans="1:8" x14ac:dyDescent="0.25">
      <c r="E978" t="str">
        <f>""</f>
        <v/>
      </c>
      <c r="F978" t="str">
        <f>""</f>
        <v/>
      </c>
      <c r="H978" t="str">
        <f>""</f>
        <v/>
      </c>
    </row>
    <row r="979" spans="1:8" x14ac:dyDescent="0.25">
      <c r="E979" t="str">
        <f>"201901096468"</f>
        <v>201901096468</v>
      </c>
      <c r="F979" t="str">
        <f>"NALLEY HVAC MECHANICAL LLC"</f>
        <v>NALLEY HVAC MECHANICAL LLC</v>
      </c>
      <c r="G979" s="2">
        <v>445</v>
      </c>
      <c r="H979" t="str">
        <f>""</f>
        <v/>
      </c>
    </row>
    <row r="980" spans="1:8" x14ac:dyDescent="0.25">
      <c r="E980" t="str">
        <f>""</f>
        <v/>
      </c>
      <c r="F980" t="str">
        <f>""</f>
        <v/>
      </c>
      <c r="H980" t="str">
        <f>""</f>
        <v/>
      </c>
    </row>
    <row r="981" spans="1:8" x14ac:dyDescent="0.25">
      <c r="E981" t="str">
        <f>"201901096469"</f>
        <v>201901096469</v>
      </c>
      <c r="F981" t="str">
        <f>"NALLEY HVAC MECHANICAL LLC"</f>
        <v>NALLEY HVAC MECHANICAL LLC</v>
      </c>
      <c r="G981" s="2">
        <v>680</v>
      </c>
      <c r="H981" t="str">
        <f>""</f>
        <v/>
      </c>
    </row>
    <row r="982" spans="1:8" x14ac:dyDescent="0.25">
      <c r="A982" t="s">
        <v>381</v>
      </c>
      <c r="B982">
        <v>80732</v>
      </c>
      <c r="C982" s="2">
        <v>5</v>
      </c>
      <c r="D982" s="1">
        <v>43493</v>
      </c>
      <c r="E982" t="str">
        <f>"201901176696"</f>
        <v>201901176696</v>
      </c>
      <c r="F982" t="str">
        <f>"FERAL HOGS"</f>
        <v>FERAL HOGS</v>
      </c>
      <c r="G982" s="2">
        <v>5</v>
      </c>
      <c r="H982" t="str">
        <f>"FERAL HOGS"</f>
        <v>FERAL HOGS</v>
      </c>
    </row>
    <row r="983" spans="1:8" x14ac:dyDescent="0.25">
      <c r="A983" t="s">
        <v>382</v>
      </c>
      <c r="B983">
        <v>282</v>
      </c>
      <c r="C983" s="2">
        <v>7797.51</v>
      </c>
      <c r="D983" s="1">
        <v>43480</v>
      </c>
      <c r="E983" t="str">
        <f>"IN0815522 IN081576"</f>
        <v>IN0815522 IN081576</v>
      </c>
      <c r="F983" t="str">
        <f>"INV IN0815522"</f>
        <v>INV IN0815522</v>
      </c>
      <c r="G983" s="2">
        <v>4844.71</v>
      </c>
      <c r="H983" t="str">
        <f>"INV IN0815522"</f>
        <v>INV IN0815522</v>
      </c>
    </row>
    <row r="984" spans="1:8" x14ac:dyDescent="0.25">
      <c r="E984" t="str">
        <f>""</f>
        <v/>
      </c>
      <c r="F984" t="str">
        <f>""</f>
        <v/>
      </c>
      <c r="H984" t="str">
        <f>"INV IN0815769"</f>
        <v>INV IN0815769</v>
      </c>
    </row>
    <row r="985" spans="1:8" x14ac:dyDescent="0.25">
      <c r="E985" t="str">
        <f>"IN081743 IN0815208"</f>
        <v>IN081743 IN0815208</v>
      </c>
      <c r="F985" t="str">
        <f>"INV IN081743"</f>
        <v>INV IN081743</v>
      </c>
      <c r="G985" s="2">
        <v>2952.8</v>
      </c>
      <c r="H985" t="str">
        <f>"INV IN081743"</f>
        <v>INV IN081743</v>
      </c>
    </row>
    <row r="986" spans="1:8" x14ac:dyDescent="0.25">
      <c r="E986" t="str">
        <f>""</f>
        <v/>
      </c>
      <c r="F986" t="str">
        <f>""</f>
        <v/>
      </c>
      <c r="H986" t="str">
        <f>"INV IN0815208"</f>
        <v>INV IN0815208</v>
      </c>
    </row>
    <row r="987" spans="1:8" x14ac:dyDescent="0.25">
      <c r="A987" t="s">
        <v>383</v>
      </c>
      <c r="B987">
        <v>80733</v>
      </c>
      <c r="C987" s="2">
        <v>2502</v>
      </c>
      <c r="D987" s="1">
        <v>43493</v>
      </c>
      <c r="E987" t="str">
        <f>"8873"</f>
        <v>8873</v>
      </c>
      <c r="F987" t="str">
        <f>"ANNUAL EQUIP WARR &amp; SOFTWARE L"</f>
        <v>ANNUAL EQUIP WARR &amp; SOFTWARE L</v>
      </c>
      <c r="G987" s="2">
        <v>2502</v>
      </c>
      <c r="H987" t="str">
        <f>"ANNUAL EQUIP WARR &amp; SOFTWARE L"</f>
        <v>ANNUAL EQUIP WARR &amp; SOFTWARE L</v>
      </c>
    </row>
    <row r="988" spans="1:8" x14ac:dyDescent="0.25">
      <c r="A988" t="s">
        <v>384</v>
      </c>
      <c r="B988">
        <v>80423</v>
      </c>
      <c r="C988" s="2">
        <v>900</v>
      </c>
      <c r="D988" s="1">
        <v>43479</v>
      </c>
      <c r="E988" t="str">
        <f>"201901076402"</f>
        <v>201901076402</v>
      </c>
      <c r="F988" t="str">
        <f>"INV JAN. 02  2019"</f>
        <v>INV JAN. 02  2019</v>
      </c>
      <c r="G988" s="2">
        <v>900</v>
      </c>
      <c r="H988" t="str">
        <f>"INV JAN. 02  2019"</f>
        <v>INV JAN. 02  2019</v>
      </c>
    </row>
    <row r="989" spans="1:8" x14ac:dyDescent="0.25">
      <c r="A989" t="s">
        <v>385</v>
      </c>
      <c r="B989">
        <v>80424</v>
      </c>
      <c r="C989" s="2">
        <v>636</v>
      </c>
      <c r="D989" s="1">
        <v>43479</v>
      </c>
      <c r="E989" t="str">
        <f>"201901046383"</f>
        <v>201901046383</v>
      </c>
      <c r="F989" t="str">
        <f>"REIMBURSE OSSF INSTALLER LIC"</f>
        <v>REIMBURSE OSSF INSTALLER LIC</v>
      </c>
      <c r="G989" s="2">
        <v>111</v>
      </c>
      <c r="H989" t="str">
        <f>"REIMBURSE OSSF INSTALLER LIC"</f>
        <v>REIMBURSE OSSF INSTALLER LIC</v>
      </c>
    </row>
    <row r="990" spans="1:8" x14ac:dyDescent="0.25">
      <c r="E990" t="str">
        <f>"201901046396"</f>
        <v>201901046396</v>
      </c>
      <c r="F990" t="str">
        <f>"REIMBURSE-TEEX CLASS"</f>
        <v>REIMBURSE-TEEX CLASS</v>
      </c>
      <c r="G990" s="2">
        <v>525</v>
      </c>
      <c r="H990" t="str">
        <f>"REIMBURSE-TEEX CLASS"</f>
        <v>REIMBURSE-TEEX CLASS</v>
      </c>
    </row>
    <row r="991" spans="1:8" x14ac:dyDescent="0.25">
      <c r="A991" t="s">
        <v>386</v>
      </c>
      <c r="B991">
        <v>336</v>
      </c>
      <c r="C991" s="2">
        <v>81.13</v>
      </c>
      <c r="D991" s="1">
        <v>43480</v>
      </c>
      <c r="E991" t="str">
        <f>"201901086428"</f>
        <v>201901086428</v>
      </c>
      <c r="F991" t="str">
        <f>"CUST#99088/PCT#4"</f>
        <v>CUST#99088/PCT#4</v>
      </c>
      <c r="G991" s="2">
        <v>81.13</v>
      </c>
      <c r="H991" t="str">
        <f>"CUST#99088/PCT#4"</f>
        <v>CUST#99088/PCT#4</v>
      </c>
    </row>
    <row r="992" spans="1:8" x14ac:dyDescent="0.25">
      <c r="A992" t="s">
        <v>386</v>
      </c>
      <c r="B992">
        <v>395</v>
      </c>
      <c r="C992" s="2">
        <v>6.63</v>
      </c>
      <c r="D992" s="1">
        <v>43494</v>
      </c>
      <c r="E992" t="str">
        <f>"0581-418018"</f>
        <v>0581-418018</v>
      </c>
      <c r="F992" t="str">
        <f>"INV 0581-418018"</f>
        <v>INV 0581-418018</v>
      </c>
      <c r="G992" s="2">
        <v>6.63</v>
      </c>
      <c r="H992" t="str">
        <f>"INV 0581-418018"</f>
        <v>INV 0581-418018</v>
      </c>
    </row>
    <row r="993" spans="1:8" x14ac:dyDescent="0.25">
      <c r="A993" t="s">
        <v>387</v>
      </c>
      <c r="B993">
        <v>80425</v>
      </c>
      <c r="C993" s="2">
        <v>1151.04</v>
      </c>
      <c r="D993" s="1">
        <v>43479</v>
      </c>
      <c r="E993" t="str">
        <f>"201901096461"</f>
        <v>201901096461</v>
      </c>
      <c r="F993" t="str">
        <f>"INV 1469865"</f>
        <v>INV 1469865</v>
      </c>
      <c r="G993" s="2">
        <v>1151.04</v>
      </c>
      <c r="H993" t="str">
        <f>"INV 1469865"</f>
        <v>INV 1469865</v>
      </c>
    </row>
    <row r="994" spans="1:8" x14ac:dyDescent="0.25">
      <c r="E994" t="str">
        <f>""</f>
        <v/>
      </c>
      <c r="F994" t="str">
        <f>""</f>
        <v/>
      </c>
      <c r="H994" t="str">
        <f>"INV 1220003529"</f>
        <v>INV 1220003529</v>
      </c>
    </row>
    <row r="995" spans="1:8" x14ac:dyDescent="0.25">
      <c r="E995" t="str">
        <f>""</f>
        <v/>
      </c>
      <c r="F995" t="str">
        <f>""</f>
        <v/>
      </c>
      <c r="H995" t="str">
        <f>"INV 1476675"</f>
        <v>INV 1476675</v>
      </c>
    </row>
    <row r="996" spans="1:8" x14ac:dyDescent="0.25">
      <c r="E996" t="str">
        <f>""</f>
        <v/>
      </c>
      <c r="F996" t="str">
        <f>""</f>
        <v/>
      </c>
      <c r="H996" t="str">
        <f>"INV 1479027"</f>
        <v>INV 1479027</v>
      </c>
    </row>
    <row r="997" spans="1:8" x14ac:dyDescent="0.25">
      <c r="E997" t="str">
        <f>""</f>
        <v/>
      </c>
      <c r="F997" t="str">
        <f>""</f>
        <v/>
      </c>
      <c r="H997" t="str">
        <f>"INV 122003745"</f>
        <v>INV 122003745</v>
      </c>
    </row>
    <row r="998" spans="1:8" x14ac:dyDescent="0.25">
      <c r="E998" t="str">
        <f>""</f>
        <v/>
      </c>
      <c r="F998" t="str">
        <f>""</f>
        <v/>
      </c>
      <c r="H998" t="str">
        <f>"INV 1484132"</f>
        <v>INV 1484132</v>
      </c>
    </row>
    <row r="999" spans="1:8" x14ac:dyDescent="0.25">
      <c r="A999" t="s">
        <v>387</v>
      </c>
      <c r="B999">
        <v>80734</v>
      </c>
      <c r="C999" s="2">
        <v>819.68</v>
      </c>
      <c r="D999" s="1">
        <v>43493</v>
      </c>
      <c r="E999" t="str">
        <f>"1491414 1486703 14"</f>
        <v>1491414 1486703 14</v>
      </c>
      <c r="F999" t="str">
        <f>"INV 1491414"</f>
        <v>INV 1491414</v>
      </c>
      <c r="G999" s="2">
        <v>819.68</v>
      </c>
      <c r="H999" t="str">
        <f>"INV 1491414"</f>
        <v>INV 1491414</v>
      </c>
    </row>
    <row r="1000" spans="1:8" x14ac:dyDescent="0.25">
      <c r="E1000" t="str">
        <f>""</f>
        <v/>
      </c>
      <c r="F1000" t="str">
        <f>""</f>
        <v/>
      </c>
      <c r="H1000" t="str">
        <f>"INV 1486703"</f>
        <v>INV 1486703</v>
      </c>
    </row>
    <row r="1001" spans="1:8" x14ac:dyDescent="0.25">
      <c r="E1001" t="str">
        <f>""</f>
        <v/>
      </c>
      <c r="F1001" t="str">
        <f>""</f>
        <v/>
      </c>
      <c r="H1001" t="str">
        <f>"INV 1494733"</f>
        <v>INV 1494733</v>
      </c>
    </row>
    <row r="1002" spans="1:8" x14ac:dyDescent="0.25">
      <c r="E1002" t="str">
        <f>""</f>
        <v/>
      </c>
      <c r="F1002" t="str">
        <f>""</f>
        <v/>
      </c>
      <c r="H1002" t="str">
        <f>"INV 1499393"</f>
        <v>INV 1499393</v>
      </c>
    </row>
    <row r="1003" spans="1:8" x14ac:dyDescent="0.25">
      <c r="A1003" t="s">
        <v>388</v>
      </c>
      <c r="B1003">
        <v>80426</v>
      </c>
      <c r="C1003" s="2">
        <v>7034.85</v>
      </c>
      <c r="D1003" s="1">
        <v>43479</v>
      </c>
      <c r="E1003" t="str">
        <f>"10509420"</f>
        <v>10509420</v>
      </c>
      <c r="F1003" t="str">
        <f>"Bill# 10509420"</f>
        <v>Bill# 10509420</v>
      </c>
      <c r="G1003" s="2">
        <v>5351.97</v>
      </c>
      <c r="H1003" t="str">
        <f>"Ord# 243375243001"</f>
        <v>Ord# 243375243001</v>
      </c>
    </row>
    <row r="1004" spans="1:8" x14ac:dyDescent="0.25">
      <c r="E1004" t="str">
        <f>""</f>
        <v/>
      </c>
      <c r="F1004" t="str">
        <f>""</f>
        <v/>
      </c>
      <c r="H1004" t="str">
        <f>"Ord# 243375243002"</f>
        <v>Ord# 243375243002</v>
      </c>
    </row>
    <row r="1005" spans="1:8" x14ac:dyDescent="0.25">
      <c r="E1005" t="str">
        <f>""</f>
        <v/>
      </c>
      <c r="F1005" t="str">
        <f>""</f>
        <v/>
      </c>
      <c r="H1005" t="str">
        <f>"Ord# 243403239001"</f>
        <v>Ord# 243403239001</v>
      </c>
    </row>
    <row r="1006" spans="1:8" x14ac:dyDescent="0.25">
      <c r="E1006" t="str">
        <f>""</f>
        <v/>
      </c>
      <c r="F1006" t="str">
        <f>""</f>
        <v/>
      </c>
      <c r="H1006" t="str">
        <f>"Ord# 243403240001"</f>
        <v>Ord# 243403240001</v>
      </c>
    </row>
    <row r="1007" spans="1:8" x14ac:dyDescent="0.25">
      <c r="E1007" t="str">
        <f>""</f>
        <v/>
      </c>
      <c r="F1007" t="str">
        <f>""</f>
        <v/>
      </c>
      <c r="H1007" t="str">
        <f>"Ord# 248240332001"</f>
        <v>Ord# 248240332001</v>
      </c>
    </row>
    <row r="1008" spans="1:8" x14ac:dyDescent="0.25">
      <c r="E1008" t="str">
        <f>""</f>
        <v/>
      </c>
      <c r="F1008" t="str">
        <f>""</f>
        <v/>
      </c>
      <c r="H1008" t="str">
        <f>"Ord# 246883936001"</f>
        <v>Ord# 246883936001</v>
      </c>
    </row>
    <row r="1009" spans="5:8" x14ac:dyDescent="0.25">
      <c r="E1009" t="str">
        <f>""</f>
        <v/>
      </c>
      <c r="F1009" t="str">
        <f>""</f>
        <v/>
      </c>
      <c r="H1009" t="str">
        <f>"Ord# 246883936002"</f>
        <v>Ord# 246883936002</v>
      </c>
    </row>
    <row r="1010" spans="5:8" x14ac:dyDescent="0.25">
      <c r="E1010" t="str">
        <f>""</f>
        <v/>
      </c>
      <c r="F1010" t="str">
        <f>""</f>
        <v/>
      </c>
      <c r="H1010" t="str">
        <f>"Ord# 242675407001"</f>
        <v>Ord# 242675407001</v>
      </c>
    </row>
    <row r="1011" spans="5:8" x14ac:dyDescent="0.25">
      <c r="E1011" t="str">
        <f>""</f>
        <v/>
      </c>
      <c r="F1011" t="str">
        <f>""</f>
        <v/>
      </c>
      <c r="H1011" t="str">
        <f>"Ord# 242676805001"</f>
        <v>Ord# 242676805001</v>
      </c>
    </row>
    <row r="1012" spans="5:8" x14ac:dyDescent="0.25">
      <c r="E1012" t="str">
        <f>""</f>
        <v/>
      </c>
      <c r="F1012" t="str">
        <f>""</f>
        <v/>
      </c>
      <c r="H1012" t="str">
        <f>"Ord# 246814672001"</f>
        <v>Ord# 246814672001</v>
      </c>
    </row>
    <row r="1013" spans="5:8" x14ac:dyDescent="0.25">
      <c r="E1013" t="str">
        <f>""</f>
        <v/>
      </c>
      <c r="F1013" t="str">
        <f>""</f>
        <v/>
      </c>
      <c r="H1013" t="str">
        <f>"Ord# 246815575001"</f>
        <v>Ord# 246815575001</v>
      </c>
    </row>
    <row r="1014" spans="5:8" x14ac:dyDescent="0.25">
      <c r="E1014" t="str">
        <f>""</f>
        <v/>
      </c>
      <c r="F1014" t="str">
        <f>""</f>
        <v/>
      </c>
      <c r="H1014" t="str">
        <f>"Ord# 246815576001"</f>
        <v>Ord# 246815576001</v>
      </c>
    </row>
    <row r="1015" spans="5:8" x14ac:dyDescent="0.25">
      <c r="E1015" t="str">
        <f>""</f>
        <v/>
      </c>
      <c r="F1015" t="str">
        <f>""</f>
        <v/>
      </c>
      <c r="H1015" t="str">
        <f>"Ord# 246532588001"</f>
        <v>Ord# 246532588001</v>
      </c>
    </row>
    <row r="1016" spans="5:8" x14ac:dyDescent="0.25">
      <c r="E1016" t="str">
        <f>""</f>
        <v/>
      </c>
      <c r="F1016" t="str">
        <f>""</f>
        <v/>
      </c>
      <c r="H1016" t="str">
        <f>"Ord# 246887203001"</f>
        <v>Ord# 246887203001</v>
      </c>
    </row>
    <row r="1017" spans="5:8" x14ac:dyDescent="0.25">
      <c r="E1017" t="str">
        <f>""</f>
        <v/>
      </c>
      <c r="F1017" t="str">
        <f>""</f>
        <v/>
      </c>
      <c r="H1017" t="str">
        <f>"Ord# 245350263001"</f>
        <v>Ord# 245350263001</v>
      </c>
    </row>
    <row r="1018" spans="5:8" x14ac:dyDescent="0.25">
      <c r="E1018" t="str">
        <f>""</f>
        <v/>
      </c>
      <c r="F1018" t="str">
        <f>""</f>
        <v/>
      </c>
      <c r="H1018" t="str">
        <f>"Ord# 245353041001"</f>
        <v>Ord# 245353041001</v>
      </c>
    </row>
    <row r="1019" spans="5:8" x14ac:dyDescent="0.25">
      <c r="E1019" t="str">
        <f>"10600486"</f>
        <v>10600486</v>
      </c>
      <c r="F1019" t="str">
        <f>"Bill# 10600486"</f>
        <v>Bill# 10600486</v>
      </c>
      <c r="G1019" s="2">
        <v>1682.88</v>
      </c>
      <c r="H1019" t="str">
        <f>"Ord# 253584475001"</f>
        <v>Ord# 253584475001</v>
      </c>
    </row>
    <row r="1020" spans="5:8" x14ac:dyDescent="0.25">
      <c r="E1020" t="str">
        <f>""</f>
        <v/>
      </c>
      <c r="F1020" t="str">
        <f>""</f>
        <v/>
      </c>
      <c r="H1020" t="str">
        <f>"Ord# 253599623001"</f>
        <v>Ord# 253599623001</v>
      </c>
    </row>
    <row r="1021" spans="5:8" x14ac:dyDescent="0.25">
      <c r="E1021" t="str">
        <f>""</f>
        <v/>
      </c>
      <c r="F1021" t="str">
        <f>""</f>
        <v/>
      </c>
      <c r="H1021" t="str">
        <f>"Ord# 254139623001"</f>
        <v>Ord# 254139623001</v>
      </c>
    </row>
    <row r="1022" spans="5:8" x14ac:dyDescent="0.25">
      <c r="E1022" t="str">
        <f>""</f>
        <v/>
      </c>
      <c r="F1022" t="str">
        <f>""</f>
        <v/>
      </c>
      <c r="H1022" t="str">
        <f>"Ord# 253551639001"</f>
        <v>Ord# 253551639001</v>
      </c>
    </row>
    <row r="1023" spans="5:8" x14ac:dyDescent="0.25">
      <c r="E1023" t="str">
        <f>""</f>
        <v/>
      </c>
      <c r="F1023" t="str">
        <f>""</f>
        <v/>
      </c>
      <c r="H1023" t="str">
        <f>"Ord# 253551639001"</f>
        <v>Ord# 253551639001</v>
      </c>
    </row>
    <row r="1024" spans="5:8" x14ac:dyDescent="0.25">
      <c r="E1024" t="str">
        <f>""</f>
        <v/>
      </c>
      <c r="F1024" t="str">
        <f>""</f>
        <v/>
      </c>
      <c r="H1024" t="str">
        <f>"Ord# 253552347001"</f>
        <v>Ord# 253552347001</v>
      </c>
    </row>
    <row r="1025" spans="1:8" x14ac:dyDescent="0.25">
      <c r="E1025" t="str">
        <f>""</f>
        <v/>
      </c>
      <c r="F1025" t="str">
        <f>""</f>
        <v/>
      </c>
      <c r="H1025" t="str">
        <f>"Ord# 254297099001"</f>
        <v>Ord# 254297099001</v>
      </c>
    </row>
    <row r="1026" spans="1:8" x14ac:dyDescent="0.25">
      <c r="E1026" t="str">
        <f>""</f>
        <v/>
      </c>
      <c r="F1026" t="str">
        <f>""</f>
        <v/>
      </c>
      <c r="H1026" t="str">
        <f>"Ord# 254298126001"</f>
        <v>Ord# 254298126001</v>
      </c>
    </row>
    <row r="1027" spans="1:8" x14ac:dyDescent="0.25">
      <c r="E1027" t="str">
        <f>""</f>
        <v/>
      </c>
      <c r="F1027" t="str">
        <f>""</f>
        <v/>
      </c>
      <c r="H1027" t="str">
        <f>"Ord# 253642125001"</f>
        <v>Ord# 253642125001</v>
      </c>
    </row>
    <row r="1028" spans="1:8" x14ac:dyDescent="0.25">
      <c r="E1028" t="str">
        <f>""</f>
        <v/>
      </c>
      <c r="F1028" t="str">
        <f>""</f>
        <v/>
      </c>
      <c r="H1028" t="str">
        <f>"Ord# 249880388001"</f>
        <v>Ord# 249880388001</v>
      </c>
    </row>
    <row r="1029" spans="1:8" x14ac:dyDescent="0.25">
      <c r="E1029" t="str">
        <f>""</f>
        <v/>
      </c>
      <c r="F1029" t="str">
        <f>""</f>
        <v/>
      </c>
      <c r="H1029" t="str">
        <f>"Ord# 250412634001"</f>
        <v>Ord# 250412634001</v>
      </c>
    </row>
    <row r="1030" spans="1:8" x14ac:dyDescent="0.25">
      <c r="E1030" t="str">
        <f>""</f>
        <v/>
      </c>
      <c r="F1030" t="str">
        <f>""</f>
        <v/>
      </c>
      <c r="H1030" t="str">
        <f>"Ord# 250365479001"</f>
        <v>Ord# 250365479001</v>
      </c>
    </row>
    <row r="1031" spans="1:8" x14ac:dyDescent="0.25">
      <c r="E1031" t="str">
        <f>""</f>
        <v/>
      </c>
      <c r="F1031" t="str">
        <f>""</f>
        <v/>
      </c>
      <c r="H1031" t="str">
        <f>"Ord# 253866313001"</f>
        <v>Ord# 253866313001</v>
      </c>
    </row>
    <row r="1032" spans="1:8" x14ac:dyDescent="0.25">
      <c r="A1032" t="s">
        <v>388</v>
      </c>
      <c r="B1032">
        <v>80735</v>
      </c>
      <c r="C1032" s="2">
        <v>2512.33</v>
      </c>
      <c r="D1032" s="1">
        <v>43493</v>
      </c>
      <c r="E1032" t="str">
        <f>"10661322"</f>
        <v>10661322</v>
      </c>
      <c r="F1032" t="str">
        <f>"Bill# 10661322"</f>
        <v>Bill# 10661322</v>
      </c>
      <c r="G1032" s="2">
        <v>2512.33</v>
      </c>
      <c r="H1032" t="str">
        <f>"Ord# 258123641001"</f>
        <v>Ord# 258123641001</v>
      </c>
    </row>
    <row r="1033" spans="1:8" x14ac:dyDescent="0.25">
      <c r="E1033" t="str">
        <f>""</f>
        <v/>
      </c>
      <c r="F1033" t="str">
        <f>""</f>
        <v/>
      </c>
      <c r="H1033" t="str">
        <f>"Ord# 258129927001"</f>
        <v>Ord# 258129927001</v>
      </c>
    </row>
    <row r="1034" spans="1:8" x14ac:dyDescent="0.25">
      <c r="E1034" t="str">
        <f>""</f>
        <v/>
      </c>
      <c r="F1034" t="str">
        <f>""</f>
        <v/>
      </c>
      <c r="H1034" t="str">
        <f>"Ord# 261126718001"</f>
        <v>Ord# 261126718001</v>
      </c>
    </row>
    <row r="1035" spans="1:8" x14ac:dyDescent="0.25">
      <c r="E1035" t="str">
        <f>""</f>
        <v/>
      </c>
      <c r="F1035" t="str">
        <f>""</f>
        <v/>
      </c>
      <c r="H1035" t="str">
        <f>"Ord# 254826753001"</f>
        <v>Ord# 254826753001</v>
      </c>
    </row>
    <row r="1036" spans="1:8" x14ac:dyDescent="0.25">
      <c r="E1036" t="str">
        <f>""</f>
        <v/>
      </c>
      <c r="F1036" t="str">
        <f>""</f>
        <v/>
      </c>
      <c r="H1036" t="str">
        <f>"Ord# 258252862001"</f>
        <v>Ord# 258252862001</v>
      </c>
    </row>
    <row r="1037" spans="1:8" x14ac:dyDescent="0.25">
      <c r="E1037" t="str">
        <f>""</f>
        <v/>
      </c>
      <c r="F1037" t="str">
        <f>""</f>
        <v/>
      </c>
      <c r="H1037" t="str">
        <f>"Ord# 258253395001"</f>
        <v>Ord# 258253395001</v>
      </c>
    </row>
    <row r="1038" spans="1:8" x14ac:dyDescent="0.25">
      <c r="E1038" t="str">
        <f>""</f>
        <v/>
      </c>
      <c r="F1038" t="str">
        <f>""</f>
        <v/>
      </c>
      <c r="H1038" t="str">
        <f>"Ord# 257902478001"</f>
        <v>Ord# 257902478001</v>
      </c>
    </row>
    <row r="1039" spans="1:8" x14ac:dyDescent="0.25">
      <c r="E1039" t="str">
        <f>""</f>
        <v/>
      </c>
      <c r="F1039" t="str">
        <f>""</f>
        <v/>
      </c>
      <c r="H1039" t="str">
        <f>"Ord# 261558892001"</f>
        <v>Ord# 261558892001</v>
      </c>
    </row>
    <row r="1040" spans="1:8" x14ac:dyDescent="0.25">
      <c r="E1040" t="str">
        <f>""</f>
        <v/>
      </c>
      <c r="F1040" t="str">
        <f>""</f>
        <v/>
      </c>
      <c r="H1040" t="str">
        <f>"Ord# 259701043001"</f>
        <v>Ord# 259701043001</v>
      </c>
    </row>
    <row r="1041" spans="1:8" x14ac:dyDescent="0.25">
      <c r="E1041" t="str">
        <f>""</f>
        <v/>
      </c>
      <c r="F1041" t="str">
        <f>""</f>
        <v/>
      </c>
      <c r="H1041" t="str">
        <f>"Ord# 260581547001"</f>
        <v>Ord# 260581547001</v>
      </c>
    </row>
    <row r="1042" spans="1:8" x14ac:dyDescent="0.25">
      <c r="E1042" t="str">
        <f>""</f>
        <v/>
      </c>
      <c r="F1042" t="str">
        <f>""</f>
        <v/>
      </c>
      <c r="H1042" t="str">
        <f>"Ord# 256033010001"</f>
        <v>Ord# 256033010001</v>
      </c>
    </row>
    <row r="1043" spans="1:8" x14ac:dyDescent="0.25">
      <c r="E1043" t="str">
        <f>""</f>
        <v/>
      </c>
      <c r="F1043" t="str">
        <f>""</f>
        <v/>
      </c>
      <c r="H1043" t="str">
        <f>"Ord# 256035362001"</f>
        <v>Ord# 256035362001</v>
      </c>
    </row>
    <row r="1044" spans="1:8" x14ac:dyDescent="0.25">
      <c r="E1044" t="str">
        <f>""</f>
        <v/>
      </c>
      <c r="F1044" t="str">
        <f>""</f>
        <v/>
      </c>
      <c r="H1044" t="str">
        <f>"Ord# 256035363001"</f>
        <v>Ord# 256035363001</v>
      </c>
    </row>
    <row r="1045" spans="1:8" x14ac:dyDescent="0.25">
      <c r="E1045" t="str">
        <f>""</f>
        <v/>
      </c>
      <c r="F1045" t="str">
        <f>""</f>
        <v/>
      </c>
      <c r="H1045" t="str">
        <f>"Ord# 256450049001"</f>
        <v>Ord# 256450049001</v>
      </c>
    </row>
    <row r="1046" spans="1:8" x14ac:dyDescent="0.25">
      <c r="E1046" t="str">
        <f>""</f>
        <v/>
      </c>
      <c r="F1046" t="str">
        <f>""</f>
        <v/>
      </c>
      <c r="H1046" t="str">
        <f>"Ord# 254567794001"</f>
        <v>Ord# 254567794001</v>
      </c>
    </row>
    <row r="1047" spans="1:8" x14ac:dyDescent="0.25">
      <c r="E1047" t="str">
        <f>""</f>
        <v/>
      </c>
      <c r="F1047" t="str">
        <f>""</f>
        <v/>
      </c>
      <c r="H1047" t="str">
        <f>"Ord# 258196644001"</f>
        <v>Ord# 258196644001</v>
      </c>
    </row>
    <row r="1048" spans="1:8" x14ac:dyDescent="0.25">
      <c r="E1048" t="str">
        <f>""</f>
        <v/>
      </c>
      <c r="F1048" t="str">
        <f>""</f>
        <v/>
      </c>
      <c r="H1048" t="str">
        <f>"Ord# 257591917001"</f>
        <v>Ord# 257591917001</v>
      </c>
    </row>
    <row r="1049" spans="1:8" x14ac:dyDescent="0.25">
      <c r="E1049" t="str">
        <f>""</f>
        <v/>
      </c>
      <c r="F1049" t="str">
        <f>""</f>
        <v/>
      </c>
      <c r="H1049" t="str">
        <f>"Ord# 257604983001"</f>
        <v>Ord# 257604983001</v>
      </c>
    </row>
    <row r="1050" spans="1:8" x14ac:dyDescent="0.25">
      <c r="A1050" t="s">
        <v>389</v>
      </c>
      <c r="B1050">
        <v>80427</v>
      </c>
      <c r="C1050" s="2">
        <v>2016</v>
      </c>
      <c r="D1050" s="1">
        <v>43479</v>
      </c>
      <c r="E1050" t="str">
        <f>"418-001011"</f>
        <v>418-001011</v>
      </c>
      <c r="F1050" t="str">
        <f>"4TH QTR ACTIVITY/PCT#1"</f>
        <v>4TH QTR ACTIVITY/PCT#1</v>
      </c>
      <c r="G1050" s="2">
        <v>462</v>
      </c>
      <c r="H1050" t="str">
        <f>"4TH QTR ACTIVITY/PCT#1"</f>
        <v>4TH QTR ACTIVITY/PCT#1</v>
      </c>
    </row>
    <row r="1051" spans="1:8" x14ac:dyDescent="0.25">
      <c r="E1051" t="str">
        <f>"418-003011"</f>
        <v>418-003011</v>
      </c>
      <c r="F1051" t="str">
        <f>"4TH QTR ACTIVITY-PCT#3"</f>
        <v>4TH QTR ACTIVITY-PCT#3</v>
      </c>
      <c r="G1051" s="2">
        <v>888</v>
      </c>
      <c r="H1051" t="str">
        <f>"4TH QTR ACTIVITY-PCT#3"</f>
        <v>4TH QTR ACTIVITY-PCT#3</v>
      </c>
    </row>
    <row r="1052" spans="1:8" x14ac:dyDescent="0.25">
      <c r="E1052" t="str">
        <f>"418-004011"</f>
        <v>418-004011</v>
      </c>
      <c r="F1052" t="str">
        <f>"4TH QTR ACTIVITY/PCT#4"</f>
        <v>4TH QTR ACTIVITY/PCT#4</v>
      </c>
      <c r="G1052" s="2">
        <v>624</v>
      </c>
      <c r="H1052" t="str">
        <f>"4TH QTR ACTIVITY"</f>
        <v>4TH QTR ACTIVITY</v>
      </c>
    </row>
    <row r="1053" spans="1:8" x14ac:dyDescent="0.25">
      <c r="E1053" t="str">
        <f>"418-008011"</f>
        <v>418-008011</v>
      </c>
      <c r="F1053" t="str">
        <f>"4TH QTR ACTIVITY/MISDEMEANOR"</f>
        <v>4TH QTR ACTIVITY/MISDEMEANOR</v>
      </c>
      <c r="G1053" s="2">
        <v>42</v>
      </c>
      <c r="H1053" t="str">
        <f>"4TH QTR ACTIVITY"</f>
        <v>4TH QTR ACTIVITY</v>
      </c>
    </row>
    <row r="1054" spans="1:8" x14ac:dyDescent="0.25">
      <c r="A1054" t="s">
        <v>389</v>
      </c>
      <c r="B1054">
        <v>80736</v>
      </c>
      <c r="C1054" s="2">
        <v>642</v>
      </c>
      <c r="D1054" s="1">
        <v>43493</v>
      </c>
      <c r="E1054" t="str">
        <f>"418-002011"</f>
        <v>418-002011</v>
      </c>
      <c r="F1054" t="str">
        <f>"4TH QTR ACTIVITY-2019"</f>
        <v>4TH QTR ACTIVITY-2019</v>
      </c>
      <c r="G1054" s="2">
        <v>636</v>
      </c>
      <c r="H1054" t="str">
        <f>"4TH QTR ACTIVITY-2019"</f>
        <v>4TH QTR ACTIVITY-2019</v>
      </c>
    </row>
    <row r="1055" spans="1:8" x14ac:dyDescent="0.25">
      <c r="E1055" t="str">
        <f>"418-009011"</f>
        <v>418-009011</v>
      </c>
      <c r="F1055" t="str">
        <f>"4TH QTR ACTIVITY 2019"</f>
        <v>4TH QTR ACTIVITY 2019</v>
      </c>
      <c r="G1055" s="2">
        <v>6</v>
      </c>
      <c r="H1055" t="str">
        <f>"4TH QTR ACTIVITY 2019"</f>
        <v>4TH QTR ACTIVITY 2019</v>
      </c>
    </row>
    <row r="1056" spans="1:8" x14ac:dyDescent="0.25">
      <c r="A1056" t="s">
        <v>390</v>
      </c>
      <c r="B1056">
        <v>80428</v>
      </c>
      <c r="C1056" s="2">
        <v>1567.23</v>
      </c>
      <c r="D1056" s="1">
        <v>43479</v>
      </c>
      <c r="E1056" t="str">
        <f>"18478"</f>
        <v>18478</v>
      </c>
      <c r="F1056" t="str">
        <f>"PLUMBING SVCS/ANIMAL CONTROL"</f>
        <v>PLUMBING SVCS/ANIMAL CONTROL</v>
      </c>
      <c r="G1056" s="2">
        <v>1567.23</v>
      </c>
      <c r="H1056" t="str">
        <f>"PLUMBING SVCS/ANIMAL CONTROL"</f>
        <v>PLUMBING SVCS/ANIMAL CONTROL</v>
      </c>
    </row>
    <row r="1057" spans="1:8" x14ac:dyDescent="0.25">
      <c r="A1057" t="s">
        <v>390</v>
      </c>
      <c r="B1057">
        <v>80737</v>
      </c>
      <c r="C1057" s="2">
        <v>420</v>
      </c>
      <c r="D1057" s="1">
        <v>43493</v>
      </c>
      <c r="E1057" t="str">
        <f>"18605"</f>
        <v>18605</v>
      </c>
      <c r="F1057" t="str">
        <f>"SEWER LINE/LABOR/ANNEX BLDG"</f>
        <v>SEWER LINE/LABOR/ANNEX BLDG</v>
      </c>
      <c r="G1057" s="2">
        <v>245</v>
      </c>
      <c r="H1057" t="str">
        <f>"SEWER LINE/LABOR/ANNEX BLDG"</f>
        <v>SEWER LINE/LABOR/ANNEX BLDG</v>
      </c>
    </row>
    <row r="1058" spans="1:8" x14ac:dyDescent="0.25">
      <c r="E1058" t="str">
        <f>"18606"</f>
        <v>18606</v>
      </c>
      <c r="F1058" t="str">
        <f>"PLUMBING SVCS-ANNEX CEDAR CREE"</f>
        <v>PLUMBING SVCS-ANNEX CEDAR CREE</v>
      </c>
      <c r="G1058" s="2">
        <v>175</v>
      </c>
      <c r="H1058" t="str">
        <f>"PLUMBING SVCS-ANNEX CEDAR CREE"</f>
        <v>PLUMBING SVCS-ANNEX CEDAR CREE</v>
      </c>
    </row>
    <row r="1059" spans="1:8" x14ac:dyDescent="0.25">
      <c r="A1059" t="s">
        <v>391</v>
      </c>
      <c r="B1059">
        <v>80738</v>
      </c>
      <c r="C1059" s="2">
        <v>128.94999999999999</v>
      </c>
      <c r="D1059" s="1">
        <v>43493</v>
      </c>
      <c r="E1059" t="str">
        <f>"7657155"</f>
        <v>7657155</v>
      </c>
      <c r="F1059" t="str">
        <f>"ACCT#042551868/EXT SVC"</f>
        <v>ACCT#042551868/EXT SVC</v>
      </c>
      <c r="G1059" s="2">
        <v>128.94999999999999</v>
      </c>
      <c r="H1059" t="str">
        <f>"ACCT#042551868/EXT SVC"</f>
        <v>ACCT#042551868/EXT SVC</v>
      </c>
    </row>
    <row r="1060" spans="1:8" x14ac:dyDescent="0.25">
      <c r="A1060" t="s">
        <v>392</v>
      </c>
      <c r="B1060">
        <v>80429</v>
      </c>
      <c r="C1060" s="2">
        <v>38.729999999999997</v>
      </c>
      <c r="D1060" s="1">
        <v>43479</v>
      </c>
      <c r="E1060" t="str">
        <f>"201901086429"</f>
        <v>201901086429</v>
      </c>
      <c r="F1060" t="str">
        <f>"ACCT#1137/PCT#4"</f>
        <v>ACCT#1137/PCT#4</v>
      </c>
      <c r="G1060" s="2">
        <v>38.729999999999997</v>
      </c>
      <c r="H1060" t="str">
        <f>"ACCT#1137/PCT#4"</f>
        <v>ACCT#1137/PCT#4</v>
      </c>
    </row>
    <row r="1061" spans="1:8" x14ac:dyDescent="0.25">
      <c r="A1061" t="s">
        <v>393</v>
      </c>
      <c r="B1061">
        <v>80430</v>
      </c>
      <c r="C1061" s="2">
        <v>2483.9899999999998</v>
      </c>
      <c r="D1061" s="1">
        <v>43479</v>
      </c>
      <c r="E1061" t="str">
        <f>"201901096475"</f>
        <v>201901096475</v>
      </c>
      <c r="F1061" t="str">
        <f>"ACCT#0200140783/ANIMAL CONTROL"</f>
        <v>ACCT#0200140783/ANIMAL CONTROL</v>
      </c>
      <c r="G1061" s="2">
        <v>2483.9899999999998</v>
      </c>
      <c r="H1061" t="str">
        <f>"ACCT#0200140783/ANIMAL CONTROL"</f>
        <v>ACCT#0200140783/ANIMAL CONTROL</v>
      </c>
    </row>
    <row r="1062" spans="1:8" x14ac:dyDescent="0.25">
      <c r="A1062" t="s">
        <v>394</v>
      </c>
      <c r="B1062">
        <v>80739</v>
      </c>
      <c r="C1062" s="2">
        <v>47053.49</v>
      </c>
      <c r="D1062" s="1">
        <v>43493</v>
      </c>
      <c r="E1062" t="str">
        <f>"IVC00044121"</f>
        <v>IVC00044121</v>
      </c>
      <c r="F1062" t="str">
        <f>"ATTORNEY FEES-OCT TO DEC 2018"</f>
        <v>ATTORNEY FEES-OCT TO DEC 2018</v>
      </c>
      <c r="G1062" s="2">
        <v>3448.39</v>
      </c>
      <c r="H1062" t="str">
        <f>"ATTORNEY FEES-OCT TO DEC 2018"</f>
        <v>ATTORNEY FEES-OCT TO DEC 2018</v>
      </c>
    </row>
    <row r="1063" spans="1:8" x14ac:dyDescent="0.25">
      <c r="E1063" t="str">
        <f>"IVC00044122"</f>
        <v>IVC00044122</v>
      </c>
      <c r="F1063" t="str">
        <f>"ATTORNEY FEES-OCT THRU DEC '18"</f>
        <v>ATTORNEY FEES-OCT THRU DEC '18</v>
      </c>
      <c r="G1063" s="2">
        <v>21896.54</v>
      </c>
      <c r="H1063" t="str">
        <f>"ATTORNEY FEES-OCT THRU DEC '18"</f>
        <v>ATTORNEY FEES-OCT THRU DEC '18</v>
      </c>
    </row>
    <row r="1064" spans="1:8" x14ac:dyDescent="0.25">
      <c r="E1064" t="str">
        <f>"IVC00044123"</f>
        <v>IVC00044123</v>
      </c>
      <c r="F1064" t="str">
        <f>"ATTORNEY FEES-OCT TO DEC 2018"</f>
        <v>ATTORNEY FEES-OCT TO DEC 2018</v>
      </c>
      <c r="G1064" s="2">
        <v>8189.99</v>
      </c>
      <c r="H1064" t="str">
        <f>"ATTORNEY FEES-OCT TO DEC 2018"</f>
        <v>ATTORNEY FEES-OCT TO DEC 2018</v>
      </c>
    </row>
    <row r="1065" spans="1:8" x14ac:dyDescent="0.25">
      <c r="E1065" t="str">
        <f>"IVC00044124"</f>
        <v>IVC00044124</v>
      </c>
      <c r="F1065" t="str">
        <f>"ATTORNEY FEES OCT-DEC 2018"</f>
        <v>ATTORNEY FEES OCT-DEC 2018</v>
      </c>
      <c r="G1065" s="2">
        <v>13518.57</v>
      </c>
      <c r="H1065" t="str">
        <f>"ATTORNEY FEES OCT-DEC 2018"</f>
        <v>ATTORNEY FEES OCT-DEC 2018</v>
      </c>
    </row>
    <row r="1066" spans="1:8" x14ac:dyDescent="0.25">
      <c r="A1066" t="s">
        <v>395</v>
      </c>
      <c r="B1066">
        <v>324</v>
      </c>
      <c r="C1066" s="2">
        <v>1250</v>
      </c>
      <c r="D1066" s="1">
        <v>43480</v>
      </c>
      <c r="E1066" t="str">
        <f>"201901036116"</f>
        <v>201901036116</v>
      </c>
      <c r="F1066" t="str">
        <f>"02.0726.9"</f>
        <v>02.0726.9</v>
      </c>
      <c r="G1066" s="2">
        <v>250</v>
      </c>
      <c r="H1066" t="str">
        <f>"02.0726.9"</f>
        <v>02.0726.9</v>
      </c>
    </row>
    <row r="1067" spans="1:8" x14ac:dyDescent="0.25">
      <c r="E1067" t="str">
        <f>"201901036121"</f>
        <v>201901036121</v>
      </c>
      <c r="F1067" t="str">
        <f>"54641  54642  54643"</f>
        <v>54641  54642  54643</v>
      </c>
      <c r="G1067" s="2">
        <v>500</v>
      </c>
      <c r="H1067" t="str">
        <f>"54641  54642  54643"</f>
        <v>54641  54642  54643</v>
      </c>
    </row>
    <row r="1068" spans="1:8" x14ac:dyDescent="0.25">
      <c r="E1068" t="str">
        <f>"201901096479"</f>
        <v>201901096479</v>
      </c>
      <c r="F1068" t="str">
        <f>"1122382-2"</f>
        <v>1122382-2</v>
      </c>
      <c r="G1068" s="2">
        <v>250</v>
      </c>
      <c r="H1068" t="str">
        <f>"1122382-2"</f>
        <v>1122382-2</v>
      </c>
    </row>
    <row r="1069" spans="1:8" x14ac:dyDescent="0.25">
      <c r="E1069" t="str">
        <f>"201901096480"</f>
        <v>201901096480</v>
      </c>
      <c r="F1069" t="str">
        <f>"55987"</f>
        <v>55987</v>
      </c>
      <c r="G1069" s="2">
        <v>250</v>
      </c>
      <c r="H1069" t="str">
        <f>"55987"</f>
        <v>55987</v>
      </c>
    </row>
    <row r="1070" spans="1:8" x14ac:dyDescent="0.25">
      <c r="A1070" t="s">
        <v>395</v>
      </c>
      <c r="B1070">
        <v>385</v>
      </c>
      <c r="C1070" s="2">
        <v>375</v>
      </c>
      <c r="D1070" s="1">
        <v>43494</v>
      </c>
      <c r="E1070" t="str">
        <f>"201901176651"</f>
        <v>201901176651</v>
      </c>
      <c r="F1070" t="str">
        <f>"55034  55035"</f>
        <v>55034  55035</v>
      </c>
      <c r="G1070" s="2">
        <v>375</v>
      </c>
      <c r="H1070" t="str">
        <f>"55034  55035"</f>
        <v>55034  55035</v>
      </c>
    </row>
    <row r="1071" spans="1:8" x14ac:dyDescent="0.25">
      <c r="A1071" t="s">
        <v>396</v>
      </c>
      <c r="B1071">
        <v>80431</v>
      </c>
      <c r="C1071" s="2">
        <v>148</v>
      </c>
      <c r="D1071" s="1">
        <v>43479</v>
      </c>
      <c r="E1071" t="str">
        <f>"003152"</f>
        <v>003152</v>
      </c>
      <c r="F1071" t="str">
        <f>"INSPECTION/PCT#3"</f>
        <v>INSPECTION/PCT#3</v>
      </c>
      <c r="G1071" s="2">
        <v>148</v>
      </c>
      <c r="H1071" t="str">
        <f>"INSPECTION/PCT#3"</f>
        <v>INSPECTION/PCT#3</v>
      </c>
    </row>
    <row r="1072" spans="1:8" x14ac:dyDescent="0.25">
      <c r="A1072" t="s">
        <v>397</v>
      </c>
      <c r="B1072">
        <v>80740</v>
      </c>
      <c r="C1072" s="2">
        <v>440.47</v>
      </c>
      <c r="D1072" s="1">
        <v>43493</v>
      </c>
      <c r="E1072" t="str">
        <f>"1010785518"</f>
        <v>1010785518</v>
      </c>
      <c r="F1072" t="str">
        <f>"INV 1010785518"</f>
        <v>INV 1010785518</v>
      </c>
      <c r="G1072" s="2">
        <v>32.25</v>
      </c>
      <c r="H1072" t="str">
        <f>"INV 1010785518"</f>
        <v>INV 1010785518</v>
      </c>
    </row>
    <row r="1073" spans="1:8" x14ac:dyDescent="0.25">
      <c r="E1073" t="str">
        <f>"1010826421"</f>
        <v>1010826421</v>
      </c>
      <c r="F1073" t="str">
        <f>"INV 1010826421"</f>
        <v>INV 1010826421</v>
      </c>
      <c r="G1073" s="2">
        <v>408.22</v>
      </c>
      <c r="H1073" t="str">
        <f>"INV 1010826421"</f>
        <v>INV 1010826421</v>
      </c>
    </row>
    <row r="1074" spans="1:8" x14ac:dyDescent="0.25">
      <c r="A1074" t="s">
        <v>398</v>
      </c>
      <c r="B1074">
        <v>384</v>
      </c>
      <c r="C1074" s="2">
        <v>1631.01</v>
      </c>
      <c r="D1074" s="1">
        <v>43494</v>
      </c>
      <c r="E1074" t="str">
        <f>"3307908704"</f>
        <v>3307908704</v>
      </c>
      <c r="F1074" t="str">
        <f>"ACCT#0011198047/LEASING"</f>
        <v>ACCT#0011198047/LEASING</v>
      </c>
      <c r="G1074" s="2">
        <v>1631.01</v>
      </c>
      <c r="H1074" t="str">
        <f>"ACCT#0011198047/LEASING"</f>
        <v>ACCT#0011198047/LEASING</v>
      </c>
    </row>
    <row r="1075" spans="1:8" x14ac:dyDescent="0.25">
      <c r="A1075" t="s">
        <v>399</v>
      </c>
      <c r="B1075">
        <v>80741</v>
      </c>
      <c r="C1075" s="2">
        <v>159.79</v>
      </c>
      <c r="D1075" s="1">
        <v>43493</v>
      </c>
      <c r="E1075" t="str">
        <f>"209454"</f>
        <v>209454</v>
      </c>
      <c r="F1075" t="str">
        <f>"REIMBURSE-FOOD FOR JURY"</f>
        <v>REIMBURSE-FOOD FOR JURY</v>
      </c>
      <c r="G1075" s="2">
        <v>159.79</v>
      </c>
      <c r="H1075" t="str">
        <f>"REIMBURSE-FOOD FOR JURY"</f>
        <v>REIMBURSE-FOOD FOR JURY</v>
      </c>
    </row>
    <row r="1076" spans="1:8" x14ac:dyDescent="0.25">
      <c r="A1076" t="s">
        <v>400</v>
      </c>
      <c r="B1076">
        <v>80742</v>
      </c>
      <c r="C1076" s="2">
        <v>750</v>
      </c>
      <c r="D1076" s="1">
        <v>43493</v>
      </c>
      <c r="E1076" t="str">
        <f>"201901176642"</f>
        <v>201901176642</v>
      </c>
      <c r="F1076" t="str">
        <f>"56 220"</f>
        <v>56 220</v>
      </c>
      <c r="G1076" s="2">
        <v>250</v>
      </c>
      <c r="H1076" t="str">
        <f>"56 220"</f>
        <v>56 220</v>
      </c>
    </row>
    <row r="1077" spans="1:8" x14ac:dyDescent="0.25">
      <c r="E1077" t="str">
        <f>"201901176643"</f>
        <v>201901176643</v>
      </c>
      <c r="F1077" t="str">
        <f>"55 622"</f>
        <v>55 622</v>
      </c>
      <c r="G1077" s="2">
        <v>250</v>
      </c>
      <c r="H1077" t="str">
        <f>"55 622"</f>
        <v>55 622</v>
      </c>
    </row>
    <row r="1078" spans="1:8" x14ac:dyDescent="0.25">
      <c r="E1078" t="str">
        <f>"201901176644"</f>
        <v>201901176644</v>
      </c>
      <c r="F1078" t="str">
        <f>"56 244"</f>
        <v>56 244</v>
      </c>
      <c r="G1078" s="2">
        <v>250</v>
      </c>
      <c r="H1078" t="str">
        <f>"56 244"</f>
        <v>56 244</v>
      </c>
    </row>
    <row r="1079" spans="1:8" x14ac:dyDescent="0.25">
      <c r="A1079" t="s">
        <v>401</v>
      </c>
      <c r="B1079">
        <v>306</v>
      </c>
      <c r="C1079" s="2">
        <v>555.75</v>
      </c>
      <c r="D1079" s="1">
        <v>43480</v>
      </c>
      <c r="E1079" t="str">
        <f>"201901086444"</f>
        <v>201901086444</v>
      </c>
      <c r="F1079" t="str">
        <f>"ACCT#0005/PCT#4"</f>
        <v>ACCT#0005/PCT#4</v>
      </c>
      <c r="G1079" s="2">
        <v>555.75</v>
      </c>
      <c r="H1079" t="str">
        <f>"ACCT#0005/PCT#4"</f>
        <v>ACCT#0005/PCT#4</v>
      </c>
    </row>
    <row r="1080" spans="1:8" x14ac:dyDescent="0.25">
      <c r="A1080" t="s">
        <v>402</v>
      </c>
      <c r="B1080">
        <v>80432</v>
      </c>
      <c r="C1080" s="2">
        <v>1025</v>
      </c>
      <c r="D1080" s="1">
        <v>43479</v>
      </c>
      <c r="E1080" t="str">
        <f>"201901096456"</f>
        <v>201901096456</v>
      </c>
      <c r="F1080" t="str">
        <f>"TRAINING - BENNETT"</f>
        <v>TRAINING - BENNETT</v>
      </c>
      <c r="G1080" s="2">
        <v>325</v>
      </c>
      <c r="H1080" t="str">
        <f>"TRAINING - BENNETT"</f>
        <v>TRAINING - BENNETT</v>
      </c>
    </row>
    <row r="1081" spans="1:8" x14ac:dyDescent="0.25">
      <c r="E1081" t="str">
        <f>"201901096457"</f>
        <v>201901096457</v>
      </c>
      <c r="F1081" t="str">
        <f>"TRAINING - L. PARKER"</f>
        <v>TRAINING - L. PARKER</v>
      </c>
      <c r="G1081" s="2">
        <v>700</v>
      </c>
      <c r="H1081" t="str">
        <f>"TRAINING - L. PARKER"</f>
        <v>TRAINING - L. PARKER</v>
      </c>
    </row>
    <row r="1082" spans="1:8" x14ac:dyDescent="0.25">
      <c r="E1082" t="str">
        <f>""</f>
        <v/>
      </c>
      <c r="F1082" t="str">
        <f>""</f>
        <v/>
      </c>
      <c r="H1082" t="str">
        <f>"TRAINING -B. KISTLER"</f>
        <v>TRAINING -B. KISTLER</v>
      </c>
    </row>
    <row r="1083" spans="1:8" x14ac:dyDescent="0.25">
      <c r="A1083" t="s">
        <v>403</v>
      </c>
      <c r="B1083">
        <v>80433</v>
      </c>
      <c r="C1083" s="2">
        <v>1134</v>
      </c>
      <c r="D1083" s="1">
        <v>43479</v>
      </c>
      <c r="E1083" t="str">
        <f>"042178"</f>
        <v>042178</v>
      </c>
      <c r="F1083" t="str">
        <f>"INV 042178"</f>
        <v>INV 042178</v>
      </c>
      <c r="G1083" s="2">
        <v>1134</v>
      </c>
      <c r="H1083" t="str">
        <f>"INV 042178"</f>
        <v>INV 042178</v>
      </c>
    </row>
    <row r="1084" spans="1:8" x14ac:dyDescent="0.25">
      <c r="A1084" t="s">
        <v>404</v>
      </c>
      <c r="B1084">
        <v>348</v>
      </c>
      <c r="C1084" s="2">
        <v>124.56</v>
      </c>
      <c r="D1084" s="1">
        <v>43494</v>
      </c>
      <c r="E1084" t="str">
        <f>"19A0121569859"</f>
        <v>19A0121569859</v>
      </c>
      <c r="F1084" t="str">
        <f>"ACCT#0121569859/JP#4"</f>
        <v>ACCT#0121569859/JP#4</v>
      </c>
      <c r="G1084" s="2">
        <v>18.91</v>
      </c>
      <c r="H1084" t="str">
        <f>"ACCT#0121569859/JP#4"</f>
        <v>ACCT#0121569859/JP#4</v>
      </c>
    </row>
    <row r="1085" spans="1:8" x14ac:dyDescent="0.25">
      <c r="E1085" t="str">
        <f>"19A0121587851"</f>
        <v>19A0121587851</v>
      </c>
      <c r="F1085" t="str">
        <f>"ACCT#0121587851/PCT#4"</f>
        <v>ACCT#0121587851/PCT#4</v>
      </c>
      <c r="G1085" s="2">
        <v>105.65</v>
      </c>
      <c r="H1085" t="str">
        <f>"ACCT#0121587851/PCT#4"</f>
        <v>ACCT#0121587851/PCT#4</v>
      </c>
    </row>
    <row r="1086" spans="1:8" x14ac:dyDescent="0.25">
      <c r="A1086" t="s">
        <v>405</v>
      </c>
      <c r="B1086">
        <v>80743</v>
      </c>
      <c r="C1086" s="2">
        <v>901.95</v>
      </c>
      <c r="D1086" s="1">
        <v>43493</v>
      </c>
      <c r="E1086" t="str">
        <f>"20190110019610"</f>
        <v>20190110019610</v>
      </c>
      <c r="F1086" t="str">
        <f>"ACCT#19610/GEN SVCS"</f>
        <v>ACCT#19610/GEN SVCS</v>
      </c>
      <c r="G1086" s="2">
        <v>651.95000000000005</v>
      </c>
      <c r="H1086" t="str">
        <f>"ACCT#19610/GEN SVCS"</f>
        <v>ACCT#19610/GEN SVCS</v>
      </c>
    </row>
    <row r="1087" spans="1:8" x14ac:dyDescent="0.25">
      <c r="E1087" t="str">
        <f>"201901226714"</f>
        <v>201901226714</v>
      </c>
      <c r="F1087" t="str">
        <f>"ACCT#19610/PCT#4"</f>
        <v>ACCT#19610/PCT#4</v>
      </c>
      <c r="G1087" s="2">
        <v>250</v>
      </c>
      <c r="H1087" t="str">
        <f>"ACCT#19610/PCT#4"</f>
        <v>ACCT#19610/PCT#4</v>
      </c>
    </row>
    <row r="1088" spans="1:8" x14ac:dyDescent="0.25">
      <c r="A1088" t="s">
        <v>406</v>
      </c>
      <c r="B1088">
        <v>284</v>
      </c>
      <c r="C1088" s="2">
        <v>1558.2</v>
      </c>
      <c r="D1088" s="1">
        <v>43480</v>
      </c>
      <c r="E1088" t="str">
        <f>"5055395854"</f>
        <v>5055395854</v>
      </c>
      <c r="F1088" t="str">
        <f>"CONTRACT#4746243"</f>
        <v>CONTRACT#4746243</v>
      </c>
      <c r="G1088" s="2">
        <v>1488.2</v>
      </c>
      <c r="H1088" t="str">
        <f t="shared" ref="H1088:H1111" si="13">"CONTRACT#4746243"</f>
        <v>CONTRACT#4746243</v>
      </c>
    </row>
    <row r="1089" spans="5:8" x14ac:dyDescent="0.25">
      <c r="E1089" t="str">
        <f>""</f>
        <v/>
      </c>
      <c r="F1089" t="str">
        <f>""</f>
        <v/>
      </c>
      <c r="H1089" t="str">
        <f t="shared" si="13"/>
        <v>CONTRACT#4746243</v>
      </c>
    </row>
    <row r="1090" spans="5:8" x14ac:dyDescent="0.25">
      <c r="E1090" t="str">
        <f>""</f>
        <v/>
      </c>
      <c r="F1090" t="str">
        <f>""</f>
        <v/>
      </c>
      <c r="H1090" t="str">
        <f t="shared" si="13"/>
        <v>CONTRACT#4746243</v>
      </c>
    </row>
    <row r="1091" spans="5:8" x14ac:dyDescent="0.25">
      <c r="E1091" t="str">
        <f>""</f>
        <v/>
      </c>
      <c r="F1091" t="str">
        <f>""</f>
        <v/>
      </c>
      <c r="H1091" t="str">
        <f t="shared" si="13"/>
        <v>CONTRACT#4746243</v>
      </c>
    </row>
    <row r="1092" spans="5:8" x14ac:dyDescent="0.25">
      <c r="E1092" t="str">
        <f>""</f>
        <v/>
      </c>
      <c r="F1092" t="str">
        <f>""</f>
        <v/>
      </c>
      <c r="H1092" t="str">
        <f t="shared" si="13"/>
        <v>CONTRACT#4746243</v>
      </c>
    </row>
    <row r="1093" spans="5:8" x14ac:dyDescent="0.25">
      <c r="E1093" t="str">
        <f>""</f>
        <v/>
      </c>
      <c r="F1093" t="str">
        <f>""</f>
        <v/>
      </c>
      <c r="H1093" t="str">
        <f t="shared" si="13"/>
        <v>CONTRACT#4746243</v>
      </c>
    </row>
    <row r="1094" spans="5:8" x14ac:dyDescent="0.25">
      <c r="E1094" t="str">
        <f>""</f>
        <v/>
      </c>
      <c r="F1094" t="str">
        <f>""</f>
        <v/>
      </c>
      <c r="H1094" t="str">
        <f t="shared" si="13"/>
        <v>CONTRACT#4746243</v>
      </c>
    </row>
    <row r="1095" spans="5:8" x14ac:dyDescent="0.25">
      <c r="E1095" t="str">
        <f>""</f>
        <v/>
      </c>
      <c r="F1095" t="str">
        <f>""</f>
        <v/>
      </c>
      <c r="H1095" t="str">
        <f t="shared" si="13"/>
        <v>CONTRACT#4746243</v>
      </c>
    </row>
    <row r="1096" spans="5:8" x14ac:dyDescent="0.25">
      <c r="E1096" t="str">
        <f>""</f>
        <v/>
      </c>
      <c r="F1096" t="str">
        <f>""</f>
        <v/>
      </c>
      <c r="H1096" t="str">
        <f t="shared" si="13"/>
        <v>CONTRACT#4746243</v>
      </c>
    </row>
    <row r="1097" spans="5:8" x14ac:dyDescent="0.25">
      <c r="E1097" t="str">
        <f>""</f>
        <v/>
      </c>
      <c r="F1097" t="str">
        <f>""</f>
        <v/>
      </c>
      <c r="H1097" t="str">
        <f t="shared" si="13"/>
        <v>CONTRACT#4746243</v>
      </c>
    </row>
    <row r="1098" spans="5:8" x14ac:dyDescent="0.25">
      <c r="E1098" t="str">
        <f>""</f>
        <v/>
      </c>
      <c r="F1098" t="str">
        <f>""</f>
        <v/>
      </c>
      <c r="H1098" t="str">
        <f t="shared" si="13"/>
        <v>CONTRACT#4746243</v>
      </c>
    </row>
    <row r="1099" spans="5:8" x14ac:dyDescent="0.25">
      <c r="E1099" t="str">
        <f>""</f>
        <v/>
      </c>
      <c r="F1099" t="str">
        <f>""</f>
        <v/>
      </c>
      <c r="H1099" t="str">
        <f t="shared" si="13"/>
        <v>CONTRACT#4746243</v>
      </c>
    </row>
    <row r="1100" spans="5:8" x14ac:dyDescent="0.25">
      <c r="E1100" t="str">
        <f>""</f>
        <v/>
      </c>
      <c r="F1100" t="str">
        <f>""</f>
        <v/>
      </c>
      <c r="H1100" t="str">
        <f t="shared" si="13"/>
        <v>CONTRACT#4746243</v>
      </c>
    </row>
    <row r="1101" spans="5:8" x14ac:dyDescent="0.25">
      <c r="E1101" t="str">
        <f>""</f>
        <v/>
      </c>
      <c r="F1101" t="str">
        <f>""</f>
        <v/>
      </c>
      <c r="H1101" t="str">
        <f t="shared" si="13"/>
        <v>CONTRACT#4746243</v>
      </c>
    </row>
    <row r="1102" spans="5:8" x14ac:dyDescent="0.25">
      <c r="E1102" t="str">
        <f>""</f>
        <v/>
      </c>
      <c r="F1102" t="str">
        <f>""</f>
        <v/>
      </c>
      <c r="H1102" t="str">
        <f t="shared" si="13"/>
        <v>CONTRACT#4746243</v>
      </c>
    </row>
    <row r="1103" spans="5:8" x14ac:dyDescent="0.25">
      <c r="E1103" t="str">
        <f>""</f>
        <v/>
      </c>
      <c r="F1103" t="str">
        <f>""</f>
        <v/>
      </c>
      <c r="H1103" t="str">
        <f t="shared" si="13"/>
        <v>CONTRACT#4746243</v>
      </c>
    </row>
    <row r="1104" spans="5:8" x14ac:dyDescent="0.25">
      <c r="E1104" t="str">
        <f>""</f>
        <v/>
      </c>
      <c r="F1104" t="str">
        <f>""</f>
        <v/>
      </c>
      <c r="H1104" t="str">
        <f t="shared" si="13"/>
        <v>CONTRACT#4746243</v>
      </c>
    </row>
    <row r="1105" spans="1:8" x14ac:dyDescent="0.25">
      <c r="E1105" t="str">
        <f>""</f>
        <v/>
      </c>
      <c r="F1105" t="str">
        <f>""</f>
        <v/>
      </c>
      <c r="H1105" t="str">
        <f t="shared" si="13"/>
        <v>CONTRACT#4746243</v>
      </c>
    </row>
    <row r="1106" spans="1:8" x14ac:dyDescent="0.25">
      <c r="E1106" t="str">
        <f>""</f>
        <v/>
      </c>
      <c r="F1106" t="str">
        <f>""</f>
        <v/>
      </c>
      <c r="H1106" t="str">
        <f t="shared" si="13"/>
        <v>CONTRACT#4746243</v>
      </c>
    </row>
    <row r="1107" spans="1:8" x14ac:dyDescent="0.25">
      <c r="E1107" t="str">
        <f>""</f>
        <v/>
      </c>
      <c r="F1107" t="str">
        <f>""</f>
        <v/>
      </c>
      <c r="H1107" t="str">
        <f t="shared" si="13"/>
        <v>CONTRACT#4746243</v>
      </c>
    </row>
    <row r="1108" spans="1:8" x14ac:dyDescent="0.25">
      <c r="E1108" t="str">
        <f>""</f>
        <v/>
      </c>
      <c r="F1108" t="str">
        <f>""</f>
        <v/>
      </c>
      <c r="H1108" t="str">
        <f t="shared" si="13"/>
        <v>CONTRACT#4746243</v>
      </c>
    </row>
    <row r="1109" spans="1:8" x14ac:dyDescent="0.25">
      <c r="E1109" t="str">
        <f>""</f>
        <v/>
      </c>
      <c r="F1109" t="str">
        <f>""</f>
        <v/>
      </c>
      <c r="H1109" t="str">
        <f t="shared" si="13"/>
        <v>CONTRACT#4746243</v>
      </c>
    </row>
    <row r="1110" spans="1:8" x14ac:dyDescent="0.25">
      <c r="E1110" t="str">
        <f>""</f>
        <v/>
      </c>
      <c r="F1110" t="str">
        <f>""</f>
        <v/>
      </c>
      <c r="H1110" t="str">
        <f t="shared" si="13"/>
        <v>CONTRACT#4746243</v>
      </c>
    </row>
    <row r="1111" spans="1:8" x14ac:dyDescent="0.25">
      <c r="E1111" t="str">
        <f>""</f>
        <v/>
      </c>
      <c r="F1111" t="str">
        <f>""</f>
        <v/>
      </c>
      <c r="H1111" t="str">
        <f t="shared" si="13"/>
        <v>CONTRACT#4746243</v>
      </c>
    </row>
    <row r="1112" spans="1:8" x14ac:dyDescent="0.25">
      <c r="E1112" t="str">
        <f>"5055395854-P2"</f>
        <v>5055395854-P2</v>
      </c>
      <c r="F1112" t="str">
        <f>"CONTRACT#4746243/PCT#2"</f>
        <v>CONTRACT#4746243/PCT#2</v>
      </c>
      <c r="G1112" s="2">
        <v>70</v>
      </c>
      <c r="H1112" t="str">
        <f>"CONTRACT#4746243/PCT#2"</f>
        <v>CONTRACT#4746243/PCT#2</v>
      </c>
    </row>
    <row r="1113" spans="1:8" x14ac:dyDescent="0.25">
      <c r="A1113" t="s">
        <v>406</v>
      </c>
      <c r="B1113">
        <v>350</v>
      </c>
      <c r="C1113" s="2">
        <v>1418.83</v>
      </c>
      <c r="D1113" s="1">
        <v>43494</v>
      </c>
      <c r="E1113" t="str">
        <f>"5055687772"</f>
        <v>5055687772</v>
      </c>
      <c r="F1113" t="str">
        <f>"CONTRACT#4746243"</f>
        <v>CONTRACT#4746243</v>
      </c>
      <c r="G1113" s="2">
        <v>1372.35</v>
      </c>
      <c r="H1113" t="str">
        <f t="shared" ref="H1113:H1135" si="14">"CONTRACT#4746243"</f>
        <v>CONTRACT#4746243</v>
      </c>
    </row>
    <row r="1114" spans="1:8" x14ac:dyDescent="0.25">
      <c r="E1114" t="str">
        <f>""</f>
        <v/>
      </c>
      <c r="F1114" t="str">
        <f>""</f>
        <v/>
      </c>
      <c r="H1114" t="str">
        <f t="shared" si="14"/>
        <v>CONTRACT#4746243</v>
      </c>
    </row>
    <row r="1115" spans="1:8" x14ac:dyDescent="0.25">
      <c r="E1115" t="str">
        <f>""</f>
        <v/>
      </c>
      <c r="F1115" t="str">
        <f>""</f>
        <v/>
      </c>
      <c r="H1115" t="str">
        <f t="shared" si="14"/>
        <v>CONTRACT#4746243</v>
      </c>
    </row>
    <row r="1116" spans="1:8" x14ac:dyDescent="0.25">
      <c r="E1116" t="str">
        <f>""</f>
        <v/>
      </c>
      <c r="F1116" t="str">
        <f>""</f>
        <v/>
      </c>
      <c r="H1116" t="str">
        <f t="shared" si="14"/>
        <v>CONTRACT#4746243</v>
      </c>
    </row>
    <row r="1117" spans="1:8" x14ac:dyDescent="0.25">
      <c r="E1117" t="str">
        <f>""</f>
        <v/>
      </c>
      <c r="F1117" t="str">
        <f>""</f>
        <v/>
      </c>
      <c r="H1117" t="str">
        <f t="shared" si="14"/>
        <v>CONTRACT#4746243</v>
      </c>
    </row>
    <row r="1118" spans="1:8" x14ac:dyDescent="0.25">
      <c r="E1118" t="str">
        <f>""</f>
        <v/>
      </c>
      <c r="F1118" t="str">
        <f>""</f>
        <v/>
      </c>
      <c r="H1118" t="str">
        <f t="shared" si="14"/>
        <v>CONTRACT#4746243</v>
      </c>
    </row>
    <row r="1119" spans="1:8" x14ac:dyDescent="0.25">
      <c r="E1119" t="str">
        <f>""</f>
        <v/>
      </c>
      <c r="F1119" t="str">
        <f>""</f>
        <v/>
      </c>
      <c r="H1119" t="str">
        <f t="shared" si="14"/>
        <v>CONTRACT#4746243</v>
      </c>
    </row>
    <row r="1120" spans="1:8" x14ac:dyDescent="0.25">
      <c r="E1120" t="str">
        <f>""</f>
        <v/>
      </c>
      <c r="F1120" t="str">
        <f>""</f>
        <v/>
      </c>
      <c r="H1120" t="str">
        <f t="shared" si="14"/>
        <v>CONTRACT#4746243</v>
      </c>
    </row>
    <row r="1121" spans="5:8" x14ac:dyDescent="0.25">
      <c r="E1121" t="str">
        <f>""</f>
        <v/>
      </c>
      <c r="F1121" t="str">
        <f>""</f>
        <v/>
      </c>
      <c r="H1121" t="str">
        <f t="shared" si="14"/>
        <v>CONTRACT#4746243</v>
      </c>
    </row>
    <row r="1122" spans="5:8" x14ac:dyDescent="0.25">
      <c r="E1122" t="str">
        <f>""</f>
        <v/>
      </c>
      <c r="F1122" t="str">
        <f>""</f>
        <v/>
      </c>
      <c r="H1122" t="str">
        <f t="shared" si="14"/>
        <v>CONTRACT#4746243</v>
      </c>
    </row>
    <row r="1123" spans="5:8" x14ac:dyDescent="0.25">
      <c r="E1123" t="str">
        <f>""</f>
        <v/>
      </c>
      <c r="F1123" t="str">
        <f>""</f>
        <v/>
      </c>
      <c r="H1123" t="str">
        <f t="shared" si="14"/>
        <v>CONTRACT#4746243</v>
      </c>
    </row>
    <row r="1124" spans="5:8" x14ac:dyDescent="0.25">
      <c r="E1124" t="str">
        <f>""</f>
        <v/>
      </c>
      <c r="F1124" t="str">
        <f>""</f>
        <v/>
      </c>
      <c r="H1124" t="str">
        <f t="shared" si="14"/>
        <v>CONTRACT#4746243</v>
      </c>
    </row>
    <row r="1125" spans="5:8" x14ac:dyDescent="0.25">
      <c r="E1125" t="str">
        <f>""</f>
        <v/>
      </c>
      <c r="F1125" t="str">
        <f>""</f>
        <v/>
      </c>
      <c r="H1125" t="str">
        <f t="shared" si="14"/>
        <v>CONTRACT#4746243</v>
      </c>
    </row>
    <row r="1126" spans="5:8" x14ac:dyDescent="0.25">
      <c r="E1126" t="str">
        <f>""</f>
        <v/>
      </c>
      <c r="F1126" t="str">
        <f>""</f>
        <v/>
      </c>
      <c r="H1126" t="str">
        <f t="shared" si="14"/>
        <v>CONTRACT#4746243</v>
      </c>
    </row>
    <row r="1127" spans="5:8" x14ac:dyDescent="0.25">
      <c r="E1127" t="str">
        <f>""</f>
        <v/>
      </c>
      <c r="F1127" t="str">
        <f>""</f>
        <v/>
      </c>
      <c r="H1127" t="str">
        <f t="shared" si="14"/>
        <v>CONTRACT#4746243</v>
      </c>
    </row>
    <row r="1128" spans="5:8" x14ac:dyDescent="0.25">
      <c r="E1128" t="str">
        <f>""</f>
        <v/>
      </c>
      <c r="F1128" t="str">
        <f>""</f>
        <v/>
      </c>
      <c r="H1128" t="str">
        <f t="shared" si="14"/>
        <v>CONTRACT#4746243</v>
      </c>
    </row>
    <row r="1129" spans="5:8" x14ac:dyDescent="0.25">
      <c r="E1129" t="str">
        <f>""</f>
        <v/>
      </c>
      <c r="F1129" t="str">
        <f>""</f>
        <v/>
      </c>
      <c r="H1129" t="str">
        <f t="shared" si="14"/>
        <v>CONTRACT#4746243</v>
      </c>
    </row>
    <row r="1130" spans="5:8" x14ac:dyDescent="0.25">
      <c r="E1130" t="str">
        <f>""</f>
        <v/>
      </c>
      <c r="F1130" t="str">
        <f>""</f>
        <v/>
      </c>
      <c r="H1130" t="str">
        <f t="shared" si="14"/>
        <v>CONTRACT#4746243</v>
      </c>
    </row>
    <row r="1131" spans="5:8" x14ac:dyDescent="0.25">
      <c r="E1131" t="str">
        <f>""</f>
        <v/>
      </c>
      <c r="F1131" t="str">
        <f>""</f>
        <v/>
      </c>
      <c r="H1131" t="str">
        <f t="shared" si="14"/>
        <v>CONTRACT#4746243</v>
      </c>
    </row>
    <row r="1132" spans="5:8" x14ac:dyDescent="0.25">
      <c r="E1132" t="str">
        <f>""</f>
        <v/>
      </c>
      <c r="F1132" t="str">
        <f>""</f>
        <v/>
      </c>
      <c r="H1132" t="str">
        <f t="shared" si="14"/>
        <v>CONTRACT#4746243</v>
      </c>
    </row>
    <row r="1133" spans="5:8" x14ac:dyDescent="0.25">
      <c r="E1133" t="str">
        <f>""</f>
        <v/>
      </c>
      <c r="F1133" t="str">
        <f>""</f>
        <v/>
      </c>
      <c r="H1133" t="str">
        <f t="shared" si="14"/>
        <v>CONTRACT#4746243</v>
      </c>
    </row>
    <row r="1134" spans="5:8" x14ac:dyDescent="0.25">
      <c r="E1134" t="str">
        <f>""</f>
        <v/>
      </c>
      <c r="F1134" t="str">
        <f>""</f>
        <v/>
      </c>
      <c r="H1134" t="str">
        <f t="shared" si="14"/>
        <v>CONTRACT#4746243</v>
      </c>
    </row>
    <row r="1135" spans="5:8" x14ac:dyDescent="0.25">
      <c r="E1135" t="str">
        <f>""</f>
        <v/>
      </c>
      <c r="F1135" t="str">
        <f>""</f>
        <v/>
      </c>
      <c r="H1135" t="str">
        <f t="shared" si="14"/>
        <v>CONTRACT#4746243</v>
      </c>
    </row>
    <row r="1136" spans="5:8" x14ac:dyDescent="0.25">
      <c r="E1136" t="str">
        <f>"5055687772-P2"</f>
        <v>5055687772-P2</v>
      </c>
      <c r="F1136" t="str">
        <f>"CONTRACT#4746243/PCT#2"</f>
        <v>CONTRACT#4746243/PCT#2</v>
      </c>
      <c r="G1136" s="2">
        <v>46.48</v>
      </c>
      <c r="H1136" t="str">
        <f>"CONTRACT#4746243/PCT#2"</f>
        <v>CONTRACT#4746243/PCT#2</v>
      </c>
    </row>
    <row r="1137" spans="1:8" x14ac:dyDescent="0.25">
      <c r="A1137" t="s">
        <v>407</v>
      </c>
      <c r="B1137">
        <v>80434</v>
      </c>
      <c r="C1137" s="2">
        <v>23325.13</v>
      </c>
      <c r="D1137" s="1">
        <v>43479</v>
      </c>
      <c r="E1137" t="str">
        <f>"32623788"</f>
        <v>32623788</v>
      </c>
      <c r="F1137" t="str">
        <f>"CUST#2000172616"</f>
        <v>CUST#2000172616</v>
      </c>
      <c r="G1137" s="2">
        <v>7707.68</v>
      </c>
      <c r="H1137" t="str">
        <f t="shared" ref="H1137:H1168" si="15">"CUST#2000172616"</f>
        <v>CUST#2000172616</v>
      </c>
    </row>
    <row r="1138" spans="1:8" x14ac:dyDescent="0.25">
      <c r="E1138" t="str">
        <f>""</f>
        <v/>
      </c>
      <c r="F1138" t="str">
        <f>""</f>
        <v/>
      </c>
      <c r="H1138" t="str">
        <f t="shared" si="15"/>
        <v>CUST#2000172616</v>
      </c>
    </row>
    <row r="1139" spans="1:8" x14ac:dyDescent="0.25">
      <c r="E1139" t="str">
        <f>""</f>
        <v/>
      </c>
      <c r="F1139" t="str">
        <f>""</f>
        <v/>
      </c>
      <c r="H1139" t="str">
        <f t="shared" si="15"/>
        <v>CUST#2000172616</v>
      </c>
    </row>
    <row r="1140" spans="1:8" x14ac:dyDescent="0.25">
      <c r="E1140" t="str">
        <f>""</f>
        <v/>
      </c>
      <c r="F1140" t="str">
        <f>""</f>
        <v/>
      </c>
      <c r="H1140" t="str">
        <f t="shared" si="15"/>
        <v>CUST#2000172616</v>
      </c>
    </row>
    <row r="1141" spans="1:8" x14ac:dyDescent="0.25">
      <c r="E1141" t="str">
        <f>""</f>
        <v/>
      </c>
      <c r="F1141" t="str">
        <f>""</f>
        <v/>
      </c>
      <c r="H1141" t="str">
        <f t="shared" si="15"/>
        <v>CUST#2000172616</v>
      </c>
    </row>
    <row r="1142" spans="1:8" x14ac:dyDescent="0.25">
      <c r="E1142" t="str">
        <f>""</f>
        <v/>
      </c>
      <c r="F1142" t="str">
        <f>""</f>
        <v/>
      </c>
      <c r="H1142" t="str">
        <f t="shared" si="15"/>
        <v>CUST#2000172616</v>
      </c>
    </row>
    <row r="1143" spans="1:8" x14ac:dyDescent="0.25">
      <c r="E1143" t="str">
        <f>""</f>
        <v/>
      </c>
      <c r="F1143" t="str">
        <f>""</f>
        <v/>
      </c>
      <c r="H1143" t="str">
        <f t="shared" si="15"/>
        <v>CUST#2000172616</v>
      </c>
    </row>
    <row r="1144" spans="1:8" x14ac:dyDescent="0.25">
      <c r="E1144" t="str">
        <f>""</f>
        <v/>
      </c>
      <c r="F1144" t="str">
        <f>""</f>
        <v/>
      </c>
      <c r="H1144" t="str">
        <f t="shared" si="15"/>
        <v>CUST#2000172616</v>
      </c>
    </row>
    <row r="1145" spans="1:8" x14ac:dyDescent="0.25">
      <c r="E1145" t="str">
        <f>""</f>
        <v/>
      </c>
      <c r="F1145" t="str">
        <f>""</f>
        <v/>
      </c>
      <c r="H1145" t="str">
        <f t="shared" si="15"/>
        <v>CUST#2000172616</v>
      </c>
    </row>
    <row r="1146" spans="1:8" x14ac:dyDescent="0.25">
      <c r="E1146" t="str">
        <f>""</f>
        <v/>
      </c>
      <c r="F1146" t="str">
        <f>""</f>
        <v/>
      </c>
      <c r="H1146" t="str">
        <f t="shared" si="15"/>
        <v>CUST#2000172616</v>
      </c>
    </row>
    <row r="1147" spans="1:8" x14ac:dyDescent="0.25">
      <c r="E1147" t="str">
        <f>""</f>
        <v/>
      </c>
      <c r="F1147" t="str">
        <f>""</f>
        <v/>
      </c>
      <c r="H1147" t="str">
        <f t="shared" si="15"/>
        <v>CUST#2000172616</v>
      </c>
    </row>
    <row r="1148" spans="1:8" x14ac:dyDescent="0.25">
      <c r="E1148" t="str">
        <f>""</f>
        <v/>
      </c>
      <c r="F1148" t="str">
        <f>""</f>
        <v/>
      </c>
      <c r="H1148" t="str">
        <f t="shared" si="15"/>
        <v>CUST#2000172616</v>
      </c>
    </row>
    <row r="1149" spans="1:8" x14ac:dyDescent="0.25">
      <c r="E1149" t="str">
        <f>""</f>
        <v/>
      </c>
      <c r="F1149" t="str">
        <f>""</f>
        <v/>
      </c>
      <c r="H1149" t="str">
        <f t="shared" si="15"/>
        <v>CUST#2000172616</v>
      </c>
    </row>
    <row r="1150" spans="1:8" x14ac:dyDescent="0.25">
      <c r="E1150" t="str">
        <f>""</f>
        <v/>
      </c>
      <c r="F1150" t="str">
        <f>""</f>
        <v/>
      </c>
      <c r="H1150" t="str">
        <f t="shared" si="15"/>
        <v>CUST#2000172616</v>
      </c>
    </row>
    <row r="1151" spans="1:8" x14ac:dyDescent="0.25">
      <c r="E1151" t="str">
        <f>""</f>
        <v/>
      </c>
      <c r="F1151" t="str">
        <f>""</f>
        <v/>
      </c>
      <c r="H1151" t="str">
        <f t="shared" si="15"/>
        <v>CUST#2000172616</v>
      </c>
    </row>
    <row r="1152" spans="1:8" x14ac:dyDescent="0.25">
      <c r="E1152" t="str">
        <f>""</f>
        <v/>
      </c>
      <c r="F1152" t="str">
        <f>""</f>
        <v/>
      </c>
      <c r="H1152" t="str">
        <f t="shared" si="15"/>
        <v>CUST#2000172616</v>
      </c>
    </row>
    <row r="1153" spans="5:8" x14ac:dyDescent="0.25">
      <c r="E1153" t="str">
        <f>""</f>
        <v/>
      </c>
      <c r="F1153" t="str">
        <f>""</f>
        <v/>
      </c>
      <c r="H1153" t="str">
        <f t="shared" si="15"/>
        <v>CUST#2000172616</v>
      </c>
    </row>
    <row r="1154" spans="5:8" x14ac:dyDescent="0.25">
      <c r="E1154" t="str">
        <f>""</f>
        <v/>
      </c>
      <c r="F1154" t="str">
        <f>""</f>
        <v/>
      </c>
      <c r="H1154" t="str">
        <f t="shared" si="15"/>
        <v>CUST#2000172616</v>
      </c>
    </row>
    <row r="1155" spans="5:8" x14ac:dyDescent="0.25">
      <c r="E1155" t="str">
        <f>""</f>
        <v/>
      </c>
      <c r="F1155" t="str">
        <f>""</f>
        <v/>
      </c>
      <c r="H1155" t="str">
        <f t="shared" si="15"/>
        <v>CUST#2000172616</v>
      </c>
    </row>
    <row r="1156" spans="5:8" x14ac:dyDescent="0.25">
      <c r="E1156" t="str">
        <f>""</f>
        <v/>
      </c>
      <c r="F1156" t="str">
        <f>""</f>
        <v/>
      </c>
      <c r="H1156" t="str">
        <f t="shared" si="15"/>
        <v>CUST#2000172616</v>
      </c>
    </row>
    <row r="1157" spans="5:8" x14ac:dyDescent="0.25">
      <c r="E1157" t="str">
        <f>""</f>
        <v/>
      </c>
      <c r="F1157" t="str">
        <f>""</f>
        <v/>
      </c>
      <c r="H1157" t="str">
        <f t="shared" si="15"/>
        <v>CUST#2000172616</v>
      </c>
    </row>
    <row r="1158" spans="5:8" x14ac:dyDescent="0.25">
      <c r="E1158" t="str">
        <f>""</f>
        <v/>
      </c>
      <c r="F1158" t="str">
        <f>""</f>
        <v/>
      </c>
      <c r="H1158" t="str">
        <f t="shared" si="15"/>
        <v>CUST#2000172616</v>
      </c>
    </row>
    <row r="1159" spans="5:8" x14ac:dyDescent="0.25">
      <c r="E1159" t="str">
        <f>""</f>
        <v/>
      </c>
      <c r="F1159" t="str">
        <f>""</f>
        <v/>
      </c>
      <c r="H1159" t="str">
        <f t="shared" si="15"/>
        <v>CUST#2000172616</v>
      </c>
    </row>
    <row r="1160" spans="5:8" x14ac:dyDescent="0.25">
      <c r="E1160" t="str">
        <f>""</f>
        <v/>
      </c>
      <c r="F1160" t="str">
        <f>""</f>
        <v/>
      </c>
      <c r="H1160" t="str">
        <f t="shared" si="15"/>
        <v>CUST#2000172616</v>
      </c>
    </row>
    <row r="1161" spans="5:8" x14ac:dyDescent="0.25">
      <c r="E1161" t="str">
        <f>""</f>
        <v/>
      </c>
      <c r="F1161" t="str">
        <f>""</f>
        <v/>
      </c>
      <c r="H1161" t="str">
        <f t="shared" si="15"/>
        <v>CUST#2000172616</v>
      </c>
    </row>
    <row r="1162" spans="5:8" x14ac:dyDescent="0.25">
      <c r="E1162" t="str">
        <f>""</f>
        <v/>
      </c>
      <c r="F1162" t="str">
        <f>""</f>
        <v/>
      </c>
      <c r="H1162" t="str">
        <f t="shared" si="15"/>
        <v>CUST#2000172616</v>
      </c>
    </row>
    <row r="1163" spans="5:8" x14ac:dyDescent="0.25">
      <c r="E1163" t="str">
        <f>""</f>
        <v/>
      </c>
      <c r="F1163" t="str">
        <f>""</f>
        <v/>
      </c>
      <c r="H1163" t="str">
        <f t="shared" si="15"/>
        <v>CUST#2000172616</v>
      </c>
    </row>
    <row r="1164" spans="5:8" x14ac:dyDescent="0.25">
      <c r="E1164" t="str">
        <f>""</f>
        <v/>
      </c>
      <c r="F1164" t="str">
        <f>""</f>
        <v/>
      </c>
      <c r="H1164" t="str">
        <f t="shared" si="15"/>
        <v>CUST#2000172616</v>
      </c>
    </row>
    <row r="1165" spans="5:8" x14ac:dyDescent="0.25">
      <c r="E1165" t="str">
        <f>"32766911"</f>
        <v>32766911</v>
      </c>
      <c r="F1165" t="str">
        <f>"CUST#2000172616"</f>
        <v>CUST#2000172616</v>
      </c>
      <c r="G1165" s="2">
        <v>7916.76</v>
      </c>
      <c r="H1165" t="str">
        <f t="shared" si="15"/>
        <v>CUST#2000172616</v>
      </c>
    </row>
    <row r="1166" spans="5:8" x14ac:dyDescent="0.25">
      <c r="E1166" t="str">
        <f>""</f>
        <v/>
      </c>
      <c r="F1166" t="str">
        <f>""</f>
        <v/>
      </c>
      <c r="H1166" t="str">
        <f t="shared" si="15"/>
        <v>CUST#2000172616</v>
      </c>
    </row>
    <row r="1167" spans="5:8" x14ac:dyDescent="0.25">
      <c r="E1167" t="str">
        <f>""</f>
        <v/>
      </c>
      <c r="F1167" t="str">
        <f>""</f>
        <v/>
      </c>
      <c r="H1167" t="str">
        <f t="shared" si="15"/>
        <v>CUST#2000172616</v>
      </c>
    </row>
    <row r="1168" spans="5:8" x14ac:dyDescent="0.25">
      <c r="E1168" t="str">
        <f>""</f>
        <v/>
      </c>
      <c r="F1168" t="str">
        <f>""</f>
        <v/>
      </c>
      <c r="H1168" t="str">
        <f t="shared" si="15"/>
        <v>CUST#2000172616</v>
      </c>
    </row>
    <row r="1169" spans="5:8" x14ac:dyDescent="0.25">
      <c r="E1169" t="str">
        <f>""</f>
        <v/>
      </c>
      <c r="F1169" t="str">
        <f>""</f>
        <v/>
      </c>
      <c r="H1169" t="str">
        <f t="shared" ref="H1169:H1200" si="16">"CUST#2000172616"</f>
        <v>CUST#2000172616</v>
      </c>
    </row>
    <row r="1170" spans="5:8" x14ac:dyDescent="0.25">
      <c r="E1170" t="str">
        <f>""</f>
        <v/>
      </c>
      <c r="F1170" t="str">
        <f>""</f>
        <v/>
      </c>
      <c r="H1170" t="str">
        <f t="shared" si="16"/>
        <v>CUST#2000172616</v>
      </c>
    </row>
    <row r="1171" spans="5:8" x14ac:dyDescent="0.25">
      <c r="E1171" t="str">
        <f>""</f>
        <v/>
      </c>
      <c r="F1171" t="str">
        <f>""</f>
        <v/>
      </c>
      <c r="H1171" t="str">
        <f t="shared" si="16"/>
        <v>CUST#2000172616</v>
      </c>
    </row>
    <row r="1172" spans="5:8" x14ac:dyDescent="0.25">
      <c r="E1172" t="str">
        <f>""</f>
        <v/>
      </c>
      <c r="F1172" t="str">
        <f>""</f>
        <v/>
      </c>
      <c r="H1172" t="str">
        <f t="shared" si="16"/>
        <v>CUST#2000172616</v>
      </c>
    </row>
    <row r="1173" spans="5:8" x14ac:dyDescent="0.25">
      <c r="E1173" t="str">
        <f>""</f>
        <v/>
      </c>
      <c r="F1173" t="str">
        <f>""</f>
        <v/>
      </c>
      <c r="H1173" t="str">
        <f t="shared" si="16"/>
        <v>CUST#2000172616</v>
      </c>
    </row>
    <row r="1174" spans="5:8" x14ac:dyDescent="0.25">
      <c r="E1174" t="str">
        <f>""</f>
        <v/>
      </c>
      <c r="F1174" t="str">
        <f>""</f>
        <v/>
      </c>
      <c r="H1174" t="str">
        <f t="shared" si="16"/>
        <v>CUST#2000172616</v>
      </c>
    </row>
    <row r="1175" spans="5:8" x14ac:dyDescent="0.25">
      <c r="E1175" t="str">
        <f>""</f>
        <v/>
      </c>
      <c r="F1175" t="str">
        <f>""</f>
        <v/>
      </c>
      <c r="H1175" t="str">
        <f t="shared" si="16"/>
        <v>CUST#2000172616</v>
      </c>
    </row>
    <row r="1176" spans="5:8" x14ac:dyDescent="0.25">
      <c r="E1176" t="str">
        <f>""</f>
        <v/>
      </c>
      <c r="F1176" t="str">
        <f>""</f>
        <v/>
      </c>
      <c r="H1176" t="str">
        <f t="shared" si="16"/>
        <v>CUST#2000172616</v>
      </c>
    </row>
    <row r="1177" spans="5:8" x14ac:dyDescent="0.25">
      <c r="E1177" t="str">
        <f>""</f>
        <v/>
      </c>
      <c r="F1177" t="str">
        <f>""</f>
        <v/>
      </c>
      <c r="H1177" t="str">
        <f t="shared" si="16"/>
        <v>CUST#2000172616</v>
      </c>
    </row>
    <row r="1178" spans="5:8" x14ac:dyDescent="0.25">
      <c r="E1178" t="str">
        <f>""</f>
        <v/>
      </c>
      <c r="F1178" t="str">
        <f>""</f>
        <v/>
      </c>
      <c r="H1178" t="str">
        <f t="shared" si="16"/>
        <v>CUST#2000172616</v>
      </c>
    </row>
    <row r="1179" spans="5:8" x14ac:dyDescent="0.25">
      <c r="E1179" t="str">
        <f>""</f>
        <v/>
      </c>
      <c r="F1179" t="str">
        <f>""</f>
        <v/>
      </c>
      <c r="H1179" t="str">
        <f t="shared" si="16"/>
        <v>CUST#2000172616</v>
      </c>
    </row>
    <row r="1180" spans="5:8" x14ac:dyDescent="0.25">
      <c r="E1180" t="str">
        <f>""</f>
        <v/>
      </c>
      <c r="F1180" t="str">
        <f>""</f>
        <v/>
      </c>
      <c r="H1180" t="str">
        <f t="shared" si="16"/>
        <v>CUST#2000172616</v>
      </c>
    </row>
    <row r="1181" spans="5:8" x14ac:dyDescent="0.25">
      <c r="E1181" t="str">
        <f>""</f>
        <v/>
      </c>
      <c r="F1181" t="str">
        <f>""</f>
        <v/>
      </c>
      <c r="H1181" t="str">
        <f t="shared" si="16"/>
        <v>CUST#2000172616</v>
      </c>
    </row>
    <row r="1182" spans="5:8" x14ac:dyDescent="0.25">
      <c r="E1182" t="str">
        <f>""</f>
        <v/>
      </c>
      <c r="F1182" t="str">
        <f>""</f>
        <v/>
      </c>
      <c r="H1182" t="str">
        <f t="shared" si="16"/>
        <v>CUST#2000172616</v>
      </c>
    </row>
    <row r="1183" spans="5:8" x14ac:dyDescent="0.25">
      <c r="E1183" t="str">
        <f>""</f>
        <v/>
      </c>
      <c r="F1183" t="str">
        <f>""</f>
        <v/>
      </c>
      <c r="H1183" t="str">
        <f t="shared" si="16"/>
        <v>CUST#2000172616</v>
      </c>
    </row>
    <row r="1184" spans="5:8" x14ac:dyDescent="0.25">
      <c r="E1184" t="str">
        <f>""</f>
        <v/>
      </c>
      <c r="F1184" t="str">
        <f>""</f>
        <v/>
      </c>
      <c r="H1184" t="str">
        <f t="shared" si="16"/>
        <v>CUST#2000172616</v>
      </c>
    </row>
    <row r="1185" spans="5:8" x14ac:dyDescent="0.25">
      <c r="E1185" t="str">
        <f>""</f>
        <v/>
      </c>
      <c r="F1185" t="str">
        <f>""</f>
        <v/>
      </c>
      <c r="H1185" t="str">
        <f t="shared" si="16"/>
        <v>CUST#2000172616</v>
      </c>
    </row>
    <row r="1186" spans="5:8" x14ac:dyDescent="0.25">
      <c r="E1186" t="str">
        <f>""</f>
        <v/>
      </c>
      <c r="F1186" t="str">
        <f>""</f>
        <v/>
      </c>
      <c r="H1186" t="str">
        <f t="shared" si="16"/>
        <v>CUST#2000172616</v>
      </c>
    </row>
    <row r="1187" spans="5:8" x14ac:dyDescent="0.25">
      <c r="E1187" t="str">
        <f>""</f>
        <v/>
      </c>
      <c r="F1187" t="str">
        <f>""</f>
        <v/>
      </c>
      <c r="H1187" t="str">
        <f t="shared" si="16"/>
        <v>CUST#2000172616</v>
      </c>
    </row>
    <row r="1188" spans="5:8" x14ac:dyDescent="0.25">
      <c r="E1188" t="str">
        <f>""</f>
        <v/>
      </c>
      <c r="F1188" t="str">
        <f>""</f>
        <v/>
      </c>
      <c r="H1188" t="str">
        <f t="shared" si="16"/>
        <v>CUST#2000172616</v>
      </c>
    </row>
    <row r="1189" spans="5:8" x14ac:dyDescent="0.25">
      <c r="E1189" t="str">
        <f>""</f>
        <v/>
      </c>
      <c r="F1189" t="str">
        <f>""</f>
        <v/>
      </c>
      <c r="H1189" t="str">
        <f t="shared" si="16"/>
        <v>CUST#2000172616</v>
      </c>
    </row>
    <row r="1190" spans="5:8" x14ac:dyDescent="0.25">
      <c r="E1190" t="str">
        <f>""</f>
        <v/>
      </c>
      <c r="F1190" t="str">
        <f>""</f>
        <v/>
      </c>
      <c r="H1190" t="str">
        <f t="shared" si="16"/>
        <v>CUST#2000172616</v>
      </c>
    </row>
    <row r="1191" spans="5:8" x14ac:dyDescent="0.25">
      <c r="E1191" t="str">
        <f>""</f>
        <v/>
      </c>
      <c r="F1191" t="str">
        <f>""</f>
        <v/>
      </c>
      <c r="H1191" t="str">
        <f t="shared" si="16"/>
        <v>CUST#2000172616</v>
      </c>
    </row>
    <row r="1192" spans="5:8" x14ac:dyDescent="0.25">
      <c r="E1192" t="str">
        <f>""</f>
        <v/>
      </c>
      <c r="F1192" t="str">
        <f>""</f>
        <v/>
      </c>
      <c r="H1192" t="str">
        <f t="shared" si="16"/>
        <v>CUST#2000172616</v>
      </c>
    </row>
    <row r="1193" spans="5:8" x14ac:dyDescent="0.25">
      <c r="E1193" t="str">
        <f>"32890866"</f>
        <v>32890866</v>
      </c>
      <c r="F1193" t="str">
        <f>"CUST#2000172616"</f>
        <v>CUST#2000172616</v>
      </c>
      <c r="G1193" s="2">
        <v>7700.69</v>
      </c>
      <c r="H1193" t="str">
        <f t="shared" si="16"/>
        <v>CUST#2000172616</v>
      </c>
    </row>
    <row r="1194" spans="5:8" x14ac:dyDescent="0.25">
      <c r="E1194" t="str">
        <f>""</f>
        <v/>
      </c>
      <c r="F1194" t="str">
        <f>""</f>
        <v/>
      </c>
      <c r="H1194" t="str">
        <f t="shared" si="16"/>
        <v>CUST#2000172616</v>
      </c>
    </row>
    <row r="1195" spans="5:8" x14ac:dyDescent="0.25">
      <c r="E1195" t="str">
        <f>""</f>
        <v/>
      </c>
      <c r="F1195" t="str">
        <f>""</f>
        <v/>
      </c>
      <c r="H1195" t="str">
        <f t="shared" si="16"/>
        <v>CUST#2000172616</v>
      </c>
    </row>
    <row r="1196" spans="5:8" x14ac:dyDescent="0.25">
      <c r="E1196" t="str">
        <f>""</f>
        <v/>
      </c>
      <c r="F1196" t="str">
        <f>""</f>
        <v/>
      </c>
      <c r="H1196" t="str">
        <f t="shared" si="16"/>
        <v>CUST#2000172616</v>
      </c>
    </row>
    <row r="1197" spans="5:8" x14ac:dyDescent="0.25">
      <c r="E1197" t="str">
        <f>""</f>
        <v/>
      </c>
      <c r="F1197" t="str">
        <f>""</f>
        <v/>
      </c>
      <c r="H1197" t="str">
        <f t="shared" si="16"/>
        <v>CUST#2000172616</v>
      </c>
    </row>
    <row r="1198" spans="5:8" x14ac:dyDescent="0.25">
      <c r="E1198" t="str">
        <f>""</f>
        <v/>
      </c>
      <c r="F1198" t="str">
        <f>""</f>
        <v/>
      </c>
      <c r="H1198" t="str">
        <f t="shared" si="16"/>
        <v>CUST#2000172616</v>
      </c>
    </row>
    <row r="1199" spans="5:8" x14ac:dyDescent="0.25">
      <c r="E1199" t="str">
        <f>""</f>
        <v/>
      </c>
      <c r="F1199" t="str">
        <f>""</f>
        <v/>
      </c>
      <c r="H1199" t="str">
        <f t="shared" si="16"/>
        <v>CUST#2000172616</v>
      </c>
    </row>
    <row r="1200" spans="5:8" x14ac:dyDescent="0.25">
      <c r="E1200" t="str">
        <f>""</f>
        <v/>
      </c>
      <c r="F1200" t="str">
        <f>""</f>
        <v/>
      </c>
      <c r="H1200" t="str">
        <f t="shared" si="16"/>
        <v>CUST#2000172616</v>
      </c>
    </row>
    <row r="1201" spans="5:8" x14ac:dyDescent="0.25">
      <c r="E1201" t="str">
        <f>""</f>
        <v/>
      </c>
      <c r="F1201" t="str">
        <f>""</f>
        <v/>
      </c>
      <c r="H1201" t="str">
        <f t="shared" ref="H1201:H1220" si="17">"CUST#2000172616"</f>
        <v>CUST#2000172616</v>
      </c>
    </row>
    <row r="1202" spans="5:8" x14ac:dyDescent="0.25">
      <c r="E1202" t="str">
        <f>""</f>
        <v/>
      </c>
      <c r="F1202" t="str">
        <f>""</f>
        <v/>
      </c>
      <c r="H1202" t="str">
        <f t="shared" si="17"/>
        <v>CUST#2000172616</v>
      </c>
    </row>
    <row r="1203" spans="5:8" x14ac:dyDescent="0.25">
      <c r="E1203" t="str">
        <f>""</f>
        <v/>
      </c>
      <c r="F1203" t="str">
        <f>""</f>
        <v/>
      </c>
      <c r="H1203" t="str">
        <f t="shared" si="17"/>
        <v>CUST#2000172616</v>
      </c>
    </row>
    <row r="1204" spans="5:8" x14ac:dyDescent="0.25">
      <c r="E1204" t="str">
        <f>""</f>
        <v/>
      </c>
      <c r="F1204" t="str">
        <f>""</f>
        <v/>
      </c>
      <c r="H1204" t="str">
        <f t="shared" si="17"/>
        <v>CUST#2000172616</v>
      </c>
    </row>
    <row r="1205" spans="5:8" x14ac:dyDescent="0.25">
      <c r="E1205" t="str">
        <f>""</f>
        <v/>
      </c>
      <c r="F1205" t="str">
        <f>""</f>
        <v/>
      </c>
      <c r="H1205" t="str">
        <f t="shared" si="17"/>
        <v>CUST#2000172616</v>
      </c>
    </row>
    <row r="1206" spans="5:8" x14ac:dyDescent="0.25">
      <c r="E1206" t="str">
        <f>""</f>
        <v/>
      </c>
      <c r="F1206" t="str">
        <f>""</f>
        <v/>
      </c>
      <c r="H1206" t="str">
        <f t="shared" si="17"/>
        <v>CUST#2000172616</v>
      </c>
    </row>
    <row r="1207" spans="5:8" x14ac:dyDescent="0.25">
      <c r="E1207" t="str">
        <f>""</f>
        <v/>
      </c>
      <c r="F1207" t="str">
        <f>""</f>
        <v/>
      </c>
      <c r="H1207" t="str">
        <f t="shared" si="17"/>
        <v>CUST#2000172616</v>
      </c>
    </row>
    <row r="1208" spans="5:8" x14ac:dyDescent="0.25">
      <c r="E1208" t="str">
        <f>""</f>
        <v/>
      </c>
      <c r="F1208" t="str">
        <f>""</f>
        <v/>
      </c>
      <c r="H1208" t="str">
        <f t="shared" si="17"/>
        <v>CUST#2000172616</v>
      </c>
    </row>
    <row r="1209" spans="5:8" x14ac:dyDescent="0.25">
      <c r="E1209" t="str">
        <f>""</f>
        <v/>
      </c>
      <c r="F1209" t="str">
        <f>""</f>
        <v/>
      </c>
      <c r="H1209" t="str">
        <f t="shared" si="17"/>
        <v>CUST#2000172616</v>
      </c>
    </row>
    <row r="1210" spans="5:8" x14ac:dyDescent="0.25">
      <c r="E1210" t="str">
        <f>""</f>
        <v/>
      </c>
      <c r="F1210" t="str">
        <f>""</f>
        <v/>
      </c>
      <c r="H1210" t="str">
        <f t="shared" si="17"/>
        <v>CUST#2000172616</v>
      </c>
    </row>
    <row r="1211" spans="5:8" x14ac:dyDescent="0.25">
      <c r="E1211" t="str">
        <f>""</f>
        <v/>
      </c>
      <c r="F1211" t="str">
        <f>""</f>
        <v/>
      </c>
      <c r="H1211" t="str">
        <f t="shared" si="17"/>
        <v>CUST#2000172616</v>
      </c>
    </row>
    <row r="1212" spans="5:8" x14ac:dyDescent="0.25">
      <c r="E1212" t="str">
        <f>""</f>
        <v/>
      </c>
      <c r="F1212" t="str">
        <f>""</f>
        <v/>
      </c>
      <c r="H1212" t="str">
        <f t="shared" si="17"/>
        <v>CUST#2000172616</v>
      </c>
    </row>
    <row r="1213" spans="5:8" x14ac:dyDescent="0.25">
      <c r="E1213" t="str">
        <f>""</f>
        <v/>
      </c>
      <c r="F1213" t="str">
        <f>""</f>
        <v/>
      </c>
      <c r="H1213" t="str">
        <f t="shared" si="17"/>
        <v>CUST#2000172616</v>
      </c>
    </row>
    <row r="1214" spans="5:8" x14ac:dyDescent="0.25">
      <c r="E1214" t="str">
        <f>""</f>
        <v/>
      </c>
      <c r="F1214" t="str">
        <f>""</f>
        <v/>
      </c>
      <c r="H1214" t="str">
        <f t="shared" si="17"/>
        <v>CUST#2000172616</v>
      </c>
    </row>
    <row r="1215" spans="5:8" x14ac:dyDescent="0.25">
      <c r="E1215" t="str">
        <f>""</f>
        <v/>
      </c>
      <c r="F1215" t="str">
        <f>""</f>
        <v/>
      </c>
      <c r="H1215" t="str">
        <f t="shared" si="17"/>
        <v>CUST#2000172616</v>
      </c>
    </row>
    <row r="1216" spans="5:8" x14ac:dyDescent="0.25">
      <c r="E1216" t="str">
        <f>""</f>
        <v/>
      </c>
      <c r="F1216" t="str">
        <f>""</f>
        <v/>
      </c>
      <c r="H1216" t="str">
        <f t="shared" si="17"/>
        <v>CUST#2000172616</v>
      </c>
    </row>
    <row r="1217" spans="1:8" x14ac:dyDescent="0.25">
      <c r="E1217" t="str">
        <f>""</f>
        <v/>
      </c>
      <c r="F1217" t="str">
        <f>""</f>
        <v/>
      </c>
      <c r="H1217" t="str">
        <f t="shared" si="17"/>
        <v>CUST#2000172616</v>
      </c>
    </row>
    <row r="1218" spans="1:8" x14ac:dyDescent="0.25">
      <c r="E1218" t="str">
        <f>""</f>
        <v/>
      </c>
      <c r="F1218" t="str">
        <f>""</f>
        <v/>
      </c>
      <c r="H1218" t="str">
        <f t="shared" si="17"/>
        <v>CUST#2000172616</v>
      </c>
    </row>
    <row r="1219" spans="1:8" x14ac:dyDescent="0.25">
      <c r="E1219" t="str">
        <f>""</f>
        <v/>
      </c>
      <c r="F1219" t="str">
        <f>""</f>
        <v/>
      </c>
      <c r="H1219" t="str">
        <f t="shared" si="17"/>
        <v>CUST#2000172616</v>
      </c>
    </row>
    <row r="1220" spans="1:8" x14ac:dyDescent="0.25">
      <c r="E1220" t="str">
        <f>""</f>
        <v/>
      </c>
      <c r="F1220" t="str">
        <f>""</f>
        <v/>
      </c>
      <c r="H1220" t="str">
        <f t="shared" si="17"/>
        <v>CUST#2000172616</v>
      </c>
    </row>
    <row r="1221" spans="1:8" x14ac:dyDescent="0.25">
      <c r="A1221" t="s">
        <v>408</v>
      </c>
      <c r="B1221">
        <v>80435</v>
      </c>
      <c r="C1221" s="2">
        <v>28</v>
      </c>
      <c r="D1221" s="1">
        <v>43479</v>
      </c>
      <c r="E1221" t="str">
        <f>"3440"</f>
        <v>3440</v>
      </c>
      <c r="F1221" t="str">
        <f>"STATE INSPECTIONS/PCT#2"</f>
        <v>STATE INSPECTIONS/PCT#2</v>
      </c>
      <c r="G1221" s="2">
        <v>28</v>
      </c>
      <c r="H1221" t="str">
        <f>"STATE INSPECTIONS/PCT#2"</f>
        <v>STATE INSPECTIONS/PCT#2</v>
      </c>
    </row>
    <row r="1222" spans="1:8" x14ac:dyDescent="0.25">
      <c r="A1222" t="s">
        <v>409</v>
      </c>
      <c r="B1222">
        <v>363</v>
      </c>
      <c r="C1222" s="2">
        <v>350</v>
      </c>
      <c r="D1222" s="1">
        <v>43494</v>
      </c>
      <c r="E1222" t="str">
        <f>"BCSODEC18"</f>
        <v>BCSODEC18</v>
      </c>
      <c r="F1222" t="str">
        <f>"INV BCSODEC18"</f>
        <v>INV BCSODEC18</v>
      </c>
      <c r="G1222" s="2">
        <v>350</v>
      </c>
      <c r="H1222" t="str">
        <f>"INV BCSODEC18"</f>
        <v>INV BCSODEC18</v>
      </c>
    </row>
    <row r="1223" spans="1:8" x14ac:dyDescent="0.25">
      <c r="A1223" t="s">
        <v>410</v>
      </c>
      <c r="B1223">
        <v>80744</v>
      </c>
      <c r="C1223" s="2">
        <v>50</v>
      </c>
      <c r="D1223" s="1">
        <v>43493</v>
      </c>
      <c r="E1223" t="str">
        <f>"201901166601"</f>
        <v>201901166601</v>
      </c>
      <c r="F1223" t="str">
        <f>"PER DIEM"</f>
        <v>PER DIEM</v>
      </c>
      <c r="G1223" s="2">
        <v>50</v>
      </c>
      <c r="H1223" t="str">
        <f>"PER DIEM"</f>
        <v>PER DIEM</v>
      </c>
    </row>
    <row r="1224" spans="1:8" x14ac:dyDescent="0.25">
      <c r="A1224" t="s">
        <v>411</v>
      </c>
      <c r="B1224">
        <v>80436</v>
      </c>
      <c r="C1224" s="2">
        <v>318.05</v>
      </c>
      <c r="D1224" s="1">
        <v>43479</v>
      </c>
      <c r="E1224" t="str">
        <f>"4507353"</f>
        <v>4507353</v>
      </c>
      <c r="F1224" t="str">
        <f>"CUST ID:90564/ANIMAL SHELTER"</f>
        <v>CUST ID:90564/ANIMAL SHELTER</v>
      </c>
      <c r="G1224" s="2">
        <v>292.47000000000003</v>
      </c>
      <c r="H1224" t="str">
        <f>"CUST ID:90564/ANIMAL SHELTER"</f>
        <v>CUST ID:90564/ANIMAL SHELTER</v>
      </c>
    </row>
    <row r="1225" spans="1:8" x14ac:dyDescent="0.25">
      <c r="E1225" t="str">
        <f>"4507355"</f>
        <v>4507355</v>
      </c>
      <c r="F1225" t="str">
        <f>"CUST ID:90564/GEN SVCS"</f>
        <v>CUST ID:90564/GEN SVCS</v>
      </c>
      <c r="G1225" s="2">
        <v>25.58</v>
      </c>
      <c r="H1225" t="str">
        <f>"CUST ID:90564/GEN SVCS"</f>
        <v>CUST ID:90564/GEN SVCS</v>
      </c>
    </row>
    <row r="1226" spans="1:8" x14ac:dyDescent="0.25">
      <c r="A1226" t="s">
        <v>412</v>
      </c>
      <c r="B1226">
        <v>80437</v>
      </c>
      <c r="C1226" s="2">
        <v>85</v>
      </c>
      <c r="D1226" s="1">
        <v>43479</v>
      </c>
      <c r="E1226" t="str">
        <f>"201901086417"</f>
        <v>201901086417</v>
      </c>
      <c r="F1226" t="str">
        <f>"PER DIEM"</f>
        <v>PER DIEM</v>
      </c>
      <c r="G1226" s="2">
        <v>85</v>
      </c>
      <c r="H1226" t="str">
        <f>"PER DIEM"</f>
        <v>PER DIEM</v>
      </c>
    </row>
    <row r="1227" spans="1:8" x14ac:dyDescent="0.25">
      <c r="A1227" t="s">
        <v>413</v>
      </c>
      <c r="B1227">
        <v>80438</v>
      </c>
      <c r="C1227" s="2">
        <v>260</v>
      </c>
      <c r="D1227" s="1">
        <v>43479</v>
      </c>
      <c r="E1227" t="str">
        <f>"201901086438"</f>
        <v>201901086438</v>
      </c>
      <c r="F1227" t="str">
        <f>"LPHCP RECORDING FEES"</f>
        <v>LPHCP RECORDING FEES</v>
      </c>
      <c r="G1227" s="2">
        <v>260</v>
      </c>
      <c r="H1227" t="str">
        <f>"LPHCP RECORDING FEES"</f>
        <v>LPHCP RECORDING FEES</v>
      </c>
    </row>
    <row r="1228" spans="1:8" x14ac:dyDescent="0.25">
      <c r="A1228" t="s">
        <v>413</v>
      </c>
      <c r="B1228">
        <v>80439</v>
      </c>
      <c r="C1228" s="2">
        <v>107</v>
      </c>
      <c r="D1228" s="1">
        <v>43479</v>
      </c>
      <c r="E1228" t="str">
        <f>"201901096453"</f>
        <v>201901096453</v>
      </c>
      <c r="F1228" t="str">
        <f>"DEVELOPMENT SVCS RECORDING FEE"</f>
        <v>DEVELOPMENT SVCS RECORDING FEE</v>
      </c>
      <c r="G1228" s="2">
        <v>107</v>
      </c>
      <c r="H1228" t="str">
        <f>"DEVELOPMENT SVCS RECORDING FEE"</f>
        <v>DEVELOPMENT SVCS RECORDING FEE</v>
      </c>
    </row>
    <row r="1229" spans="1:8" x14ac:dyDescent="0.25">
      <c r="A1229" t="s">
        <v>413</v>
      </c>
      <c r="B1229">
        <v>80745</v>
      </c>
      <c r="C1229" s="2">
        <v>120</v>
      </c>
      <c r="D1229" s="1">
        <v>43493</v>
      </c>
      <c r="E1229" t="str">
        <f>"201901226719"</f>
        <v>201901226719</v>
      </c>
      <c r="F1229" t="str">
        <f>"LPHCP RECORDING FEES"</f>
        <v>LPHCP RECORDING FEES</v>
      </c>
      <c r="G1229" s="2">
        <v>120</v>
      </c>
      <c r="H1229" t="str">
        <f>"LPHCP RECORDING FEES"</f>
        <v>LPHCP RECORDING FEES</v>
      </c>
    </row>
    <row r="1230" spans="1:8" x14ac:dyDescent="0.25">
      <c r="A1230" t="s">
        <v>413</v>
      </c>
      <c r="B1230">
        <v>80746</v>
      </c>
      <c r="C1230" s="2">
        <v>61</v>
      </c>
      <c r="D1230" s="1">
        <v>43493</v>
      </c>
      <c r="E1230" t="str">
        <f>"201901236759"</f>
        <v>201901236759</v>
      </c>
      <c r="F1230" t="str">
        <f>"DEVELOPMENT SVCS RECORDING FEE"</f>
        <v>DEVELOPMENT SVCS RECORDING FEE</v>
      </c>
      <c r="G1230" s="2">
        <v>61</v>
      </c>
      <c r="H1230" t="str">
        <f>"DEVELOPMENT SVCS RECORDING FEE"</f>
        <v>DEVELOPMENT SVCS RECORDING FEE</v>
      </c>
    </row>
    <row r="1231" spans="1:8" x14ac:dyDescent="0.25">
      <c r="A1231" t="s">
        <v>414</v>
      </c>
      <c r="B1231">
        <v>80302</v>
      </c>
      <c r="C1231" s="2">
        <v>395</v>
      </c>
      <c r="D1231" s="1">
        <v>43472</v>
      </c>
      <c r="E1231" t="str">
        <f>"201901076406"</f>
        <v>201901076406</v>
      </c>
      <c r="F1231" t="str">
        <f>"DELIVERY  INSTALL - ANIMAL SER"</f>
        <v>DELIVERY  INSTALL - ANIMAL SER</v>
      </c>
      <c r="G1231" s="2">
        <v>395</v>
      </c>
      <c r="H1231" t="str">
        <f>"DELIVERY  INSTALL - ANIMAL SER"</f>
        <v>DELIVERY  INSTALL - ANIMAL SER</v>
      </c>
    </row>
    <row r="1232" spans="1:8" x14ac:dyDescent="0.25">
      <c r="A1232" t="s">
        <v>415</v>
      </c>
      <c r="B1232">
        <v>80440</v>
      </c>
      <c r="C1232" s="2">
        <v>134.05000000000001</v>
      </c>
      <c r="D1232" s="1">
        <v>43479</v>
      </c>
      <c r="E1232" t="str">
        <f>"5622 CVR"</f>
        <v>5622 CVR</v>
      </c>
      <c r="F1232" t="str">
        <f>"CUST#9486/FILTER/PCT#4"</f>
        <v>CUST#9486/FILTER/PCT#4</v>
      </c>
      <c r="G1232" s="2">
        <v>134.05000000000001</v>
      </c>
      <c r="H1232" t="str">
        <f>"CUST#9486/FILTER/PCT#4"</f>
        <v>CUST#9486/FILTER/PCT#4</v>
      </c>
    </row>
    <row r="1233" spans="1:9" x14ac:dyDescent="0.25">
      <c r="A1233" t="s">
        <v>416</v>
      </c>
      <c r="B1233">
        <v>80441</v>
      </c>
      <c r="C1233" s="2">
        <v>1622</v>
      </c>
      <c r="D1233" s="1">
        <v>43479</v>
      </c>
      <c r="E1233" t="str">
        <f>"201901086413"</f>
        <v>201901086413</v>
      </c>
      <c r="F1233" t="str">
        <f>"SANE EXAM - 18-S-05069"</f>
        <v>SANE EXAM - 18-S-05069</v>
      </c>
      <c r="G1233" s="2">
        <v>833</v>
      </c>
      <c r="H1233" t="str">
        <f>"SANE EXAM - 18-S-05069"</f>
        <v>SANE EXAM - 18-S-05069</v>
      </c>
    </row>
    <row r="1234" spans="1:9" x14ac:dyDescent="0.25">
      <c r="E1234" t="str">
        <f>"201901086416"</f>
        <v>201901086416</v>
      </c>
      <c r="F1234" t="str">
        <f>"SANE EXAM - 18-S-05564"</f>
        <v>SANE EXAM - 18-S-05564</v>
      </c>
      <c r="G1234" s="2">
        <v>789</v>
      </c>
      <c r="H1234" t="str">
        <f>"SANE EXAM - 18-S-05564"</f>
        <v>SANE EXAM - 18-S-05564</v>
      </c>
    </row>
    <row r="1235" spans="1:9" x14ac:dyDescent="0.25">
      <c r="A1235" t="s">
        <v>417</v>
      </c>
      <c r="B1235">
        <v>80747</v>
      </c>
      <c r="C1235" s="2">
        <v>85</v>
      </c>
      <c r="D1235" s="1">
        <v>43493</v>
      </c>
      <c r="E1235" t="str">
        <f>"32549"</f>
        <v>32549</v>
      </c>
      <c r="F1235" t="str">
        <f>"INV 32549"</f>
        <v>INV 32549</v>
      </c>
      <c r="G1235" s="2">
        <v>85</v>
      </c>
      <c r="H1235" t="str">
        <f>"INV 32549"</f>
        <v>INV 32549</v>
      </c>
    </row>
    <row r="1236" spans="1:9" x14ac:dyDescent="0.25">
      <c r="A1236" t="s">
        <v>418</v>
      </c>
      <c r="B1236">
        <v>80442</v>
      </c>
      <c r="C1236" s="2">
        <v>80</v>
      </c>
      <c r="D1236" s="1">
        <v>43479</v>
      </c>
      <c r="E1236" t="str">
        <f>"12836"</f>
        <v>12836</v>
      </c>
      <c r="F1236" t="str">
        <f>"REFUND OF COURT COSTS"</f>
        <v>REFUND OF COURT COSTS</v>
      </c>
      <c r="G1236" s="2">
        <v>80</v>
      </c>
      <c r="H1236" t="str">
        <f>"REFUND OF COURT COSTS"</f>
        <v>REFUND OF COURT COSTS</v>
      </c>
    </row>
    <row r="1237" spans="1:9" x14ac:dyDescent="0.25">
      <c r="A1237" t="s">
        <v>419</v>
      </c>
      <c r="B1237">
        <v>328</v>
      </c>
      <c r="C1237" s="2">
        <v>173.46</v>
      </c>
      <c r="D1237" s="1">
        <v>43480</v>
      </c>
      <c r="E1237" t="str">
        <f>"201901096499"</f>
        <v>201901096499</v>
      </c>
      <c r="F1237" t="str">
        <f>"INDIGENT HEALTH"</f>
        <v>INDIGENT HEALTH</v>
      </c>
      <c r="G1237" s="2">
        <v>173.46</v>
      </c>
      <c r="H1237" t="str">
        <f>"INDIGENT HEALTH"</f>
        <v>INDIGENT HEALTH</v>
      </c>
    </row>
    <row r="1238" spans="1:9" x14ac:dyDescent="0.25">
      <c r="A1238" t="s">
        <v>419</v>
      </c>
      <c r="B1238">
        <v>387</v>
      </c>
      <c r="C1238" s="2">
        <v>193.27</v>
      </c>
      <c r="D1238" s="1">
        <v>43494</v>
      </c>
      <c r="E1238" t="str">
        <f>"201901226733"</f>
        <v>201901226733</v>
      </c>
      <c r="F1238" t="str">
        <f>"INDIGENT HEALTH"</f>
        <v>INDIGENT HEALTH</v>
      </c>
      <c r="G1238" s="2">
        <v>193.27</v>
      </c>
      <c r="H1238" t="str">
        <f>"INDIGENT HEALTH"</f>
        <v>INDIGENT HEALTH</v>
      </c>
    </row>
    <row r="1239" spans="1:9" x14ac:dyDescent="0.25">
      <c r="A1239" t="s">
        <v>420</v>
      </c>
      <c r="B1239">
        <v>80443</v>
      </c>
      <c r="C1239" s="2">
        <v>90</v>
      </c>
      <c r="D1239" s="1">
        <v>43479</v>
      </c>
      <c r="E1239" t="str">
        <f>"201901076404"</f>
        <v>201901076404</v>
      </c>
      <c r="F1239" t="str">
        <f>"PER DIEM FOR TRAINING"</f>
        <v>PER DIEM FOR TRAINING</v>
      </c>
      <c r="G1239" s="2">
        <v>90</v>
      </c>
      <c r="H1239" t="str">
        <f>"PER DIEM FOR TRAINING"</f>
        <v>PER DIEM FOR TRAINING</v>
      </c>
    </row>
    <row r="1240" spans="1:9" x14ac:dyDescent="0.25">
      <c r="A1240" t="s">
        <v>421</v>
      </c>
      <c r="B1240">
        <v>388</v>
      </c>
      <c r="C1240" s="2">
        <v>1200</v>
      </c>
      <c r="D1240" s="1">
        <v>43494</v>
      </c>
      <c r="E1240" t="str">
        <f>"6207"</f>
        <v>6207</v>
      </c>
      <c r="F1240" t="str">
        <f>"Panic Button Repeaters"</f>
        <v>Panic Button Repeaters</v>
      </c>
      <c r="G1240" s="2">
        <v>1200</v>
      </c>
      <c r="H1240" t="str">
        <f>"Repeater for WAVE Pl"</f>
        <v>Repeater for WAVE Pl</v>
      </c>
    </row>
    <row r="1241" spans="1:9" x14ac:dyDescent="0.25">
      <c r="A1241" t="s">
        <v>422</v>
      </c>
      <c r="B1241">
        <v>80748</v>
      </c>
      <c r="C1241" s="2">
        <v>3333</v>
      </c>
      <c r="D1241" s="1">
        <v>43493</v>
      </c>
      <c r="E1241" t="str">
        <f>"1220181"</f>
        <v>1220181</v>
      </c>
      <c r="F1241" t="str">
        <f>"SETON PRESCRIPTION ASSISTANCE"</f>
        <v>SETON PRESCRIPTION ASSISTANCE</v>
      </c>
      <c r="G1241" s="2">
        <v>3333</v>
      </c>
      <c r="H1241" t="str">
        <f>"SETON PRESCRIPTION ASSISTANCE"</f>
        <v>SETON PRESCRIPTION ASSISTANCE</v>
      </c>
    </row>
    <row r="1242" spans="1:9" x14ac:dyDescent="0.25">
      <c r="A1242" t="s">
        <v>423</v>
      </c>
      <c r="B1242">
        <v>80445</v>
      </c>
      <c r="C1242" s="2">
        <v>30</v>
      </c>
      <c r="D1242" s="1">
        <v>43479</v>
      </c>
      <c r="E1242" t="s">
        <v>168</v>
      </c>
      <c r="F1242" t="s">
        <v>424</v>
      </c>
      <c r="G1242" s="2" t="str">
        <f>"RESTITUTION-D. MCCOMB"</f>
        <v>RESTITUTION-D. MCCOMB</v>
      </c>
      <c r="H1242" t="str">
        <f>"210-0000"</f>
        <v>210-0000</v>
      </c>
      <c r="I1242" t="str">
        <f>""</f>
        <v/>
      </c>
    </row>
    <row r="1243" spans="1:9" x14ac:dyDescent="0.25">
      <c r="A1243" t="s">
        <v>425</v>
      </c>
      <c r="B1243">
        <v>80446</v>
      </c>
      <c r="C1243" s="2">
        <v>425.05</v>
      </c>
      <c r="D1243" s="1">
        <v>43479</v>
      </c>
      <c r="E1243" t="str">
        <f>"201812316072"</f>
        <v>201812316072</v>
      </c>
      <c r="F1243" t="str">
        <f>"ACCT#20147/ANIMAL SVCS"</f>
        <v>ACCT#20147/ANIMAL SVCS</v>
      </c>
      <c r="G1243" s="2">
        <v>425.05</v>
      </c>
      <c r="H1243" t="str">
        <f>"ACCT#20147/ANIMAL SVCS"</f>
        <v>ACCT#20147/ANIMAL SVCS</v>
      </c>
    </row>
    <row r="1244" spans="1:9" x14ac:dyDescent="0.25">
      <c r="A1244" t="s">
        <v>426</v>
      </c>
      <c r="B1244">
        <v>80447</v>
      </c>
      <c r="C1244" s="2">
        <v>2020</v>
      </c>
      <c r="D1244" s="1">
        <v>43479</v>
      </c>
      <c r="E1244" t="str">
        <f>"GB00309472"</f>
        <v>GB00309472</v>
      </c>
      <c r="F1244" t="str">
        <f>"Adobe InDesign &amp; Photosho"</f>
        <v>Adobe InDesign &amp; Photosho</v>
      </c>
      <c r="G1244" s="2">
        <v>2020</v>
      </c>
      <c r="H1244" t="str">
        <f>"65291024BC01A12"</f>
        <v>65291024BC01A12</v>
      </c>
    </row>
    <row r="1245" spans="1:9" x14ac:dyDescent="0.25">
      <c r="E1245" t="str">
        <f>""</f>
        <v/>
      </c>
      <c r="F1245" t="str">
        <f>""</f>
        <v/>
      </c>
      <c r="H1245" t="str">
        <f>"65291024BC01A12"</f>
        <v>65291024BC01A12</v>
      </c>
    </row>
    <row r="1246" spans="1:9" x14ac:dyDescent="0.25">
      <c r="A1246" t="s">
        <v>426</v>
      </c>
      <c r="B1246">
        <v>80750</v>
      </c>
      <c r="C1246" s="2">
        <v>30862.14</v>
      </c>
      <c r="D1246" s="1">
        <v>43493</v>
      </c>
      <c r="E1246" t="str">
        <f>"GB00310616"</f>
        <v>GB00310616</v>
      </c>
      <c r="F1246" t="str">
        <f>"Cisco SMARTnet Renewal"</f>
        <v>Cisco SMARTnet Renewal</v>
      </c>
      <c r="G1246" s="2">
        <v>3165.9</v>
      </c>
      <c r="H1246" t="str">
        <f>"Part#: CON-SNT-SMS-1"</f>
        <v>Part#: CON-SNT-SMS-1</v>
      </c>
    </row>
    <row r="1247" spans="1:9" x14ac:dyDescent="0.25">
      <c r="E1247" t="str">
        <f>""</f>
        <v/>
      </c>
      <c r="F1247" t="str">
        <f>""</f>
        <v/>
      </c>
      <c r="H1247" t="str">
        <f>"Part#: CON-SNT-SMS-1"</f>
        <v>Part#: CON-SNT-SMS-1</v>
      </c>
    </row>
    <row r="1248" spans="1:9" x14ac:dyDescent="0.25">
      <c r="E1248" t="str">
        <f>""</f>
        <v/>
      </c>
      <c r="F1248" t="str">
        <f>""</f>
        <v/>
      </c>
      <c r="H1248" t="str">
        <f>"Part#: CON-SNT-SMS-1"</f>
        <v>Part#: CON-SNT-SMS-1</v>
      </c>
    </row>
    <row r="1249" spans="1:8" x14ac:dyDescent="0.25">
      <c r="E1249" t="str">
        <f>"GB00311232"</f>
        <v>GB00311232</v>
      </c>
      <c r="F1249" t="str">
        <f>"Netmotion Renewal"</f>
        <v>Netmotion Renewal</v>
      </c>
      <c r="G1249" s="2">
        <v>6726</v>
      </c>
      <c r="H1249" t="str">
        <f>"Part#: 10NMXP25"</f>
        <v>Part#: 10NMXP25</v>
      </c>
    </row>
    <row r="1250" spans="1:8" x14ac:dyDescent="0.25">
      <c r="E1250" t="str">
        <f>"GB00311283"</f>
        <v>GB00311283</v>
      </c>
      <c r="F1250" t="str">
        <f>"Cisco Smart Net Total Car"</f>
        <v>Cisco Smart Net Total Car</v>
      </c>
      <c r="G1250" s="2">
        <v>222.6</v>
      </c>
      <c r="H1250" t="str">
        <f>"CON-ECMU-ER12USR1"</f>
        <v>CON-ECMU-ER12USR1</v>
      </c>
    </row>
    <row r="1251" spans="1:8" x14ac:dyDescent="0.25">
      <c r="E1251" t="str">
        <f>"GB00311321"</f>
        <v>GB00311321</v>
      </c>
      <c r="F1251" t="str">
        <f>"Cisco SMARTnet Extended S"</f>
        <v>Cisco SMARTnet Extended S</v>
      </c>
      <c r="G1251" s="2">
        <v>19800.64</v>
      </c>
      <c r="H1251" t="str">
        <f>"CON-ECMU-SMS-1"</f>
        <v>CON-ECMU-SMS-1</v>
      </c>
    </row>
    <row r="1252" spans="1:8" x14ac:dyDescent="0.25">
      <c r="E1252" t="str">
        <f>""</f>
        <v/>
      </c>
      <c r="F1252" t="str">
        <f>""</f>
        <v/>
      </c>
      <c r="H1252" t="str">
        <f>"CON-SNT-SMS-1000"</f>
        <v>CON-SNT-SMS-1000</v>
      </c>
    </row>
    <row r="1253" spans="1:8" x14ac:dyDescent="0.25">
      <c r="E1253" t="str">
        <f>""</f>
        <v/>
      </c>
      <c r="F1253" t="str">
        <f>""</f>
        <v/>
      </c>
      <c r="H1253" t="str">
        <f>"CON-SNT-SMS-1"</f>
        <v>CON-SNT-SMS-1</v>
      </c>
    </row>
    <row r="1254" spans="1:8" x14ac:dyDescent="0.25">
      <c r="E1254" t="str">
        <f>""</f>
        <v/>
      </c>
      <c r="F1254" t="str">
        <f>""</f>
        <v/>
      </c>
      <c r="H1254" t="str">
        <f>"CON-SNT-SMS-1"</f>
        <v>CON-SNT-SMS-1</v>
      </c>
    </row>
    <row r="1255" spans="1:8" x14ac:dyDescent="0.25">
      <c r="E1255" t="str">
        <f>""</f>
        <v/>
      </c>
      <c r="F1255" t="str">
        <f>""</f>
        <v/>
      </c>
      <c r="H1255" t="str">
        <f>"CON-SNT-SMS-1"</f>
        <v>CON-SNT-SMS-1</v>
      </c>
    </row>
    <row r="1256" spans="1:8" x14ac:dyDescent="0.25">
      <c r="E1256" t="str">
        <f>""</f>
        <v/>
      </c>
      <c r="F1256" t="str">
        <f>""</f>
        <v/>
      </c>
      <c r="H1256" t="str">
        <f>"CON-ECMU-SMS-1"</f>
        <v>CON-ECMU-SMS-1</v>
      </c>
    </row>
    <row r="1257" spans="1:8" x14ac:dyDescent="0.25">
      <c r="E1257" t="str">
        <f>"GB00311549"</f>
        <v>GB00311549</v>
      </c>
      <c r="F1257" t="str">
        <f>"Meraki Outdoor Access Poi"</f>
        <v>Meraki Outdoor Access Poi</v>
      </c>
      <c r="G1257" s="2">
        <v>947</v>
      </c>
      <c r="H1257" t="str">
        <f>"Part#: MR74-HW"</f>
        <v>Part#: MR74-HW</v>
      </c>
    </row>
    <row r="1258" spans="1:8" x14ac:dyDescent="0.25">
      <c r="E1258" t="str">
        <f>""</f>
        <v/>
      </c>
      <c r="F1258" t="str">
        <f>""</f>
        <v/>
      </c>
      <c r="H1258" t="str">
        <f>"Part#: LIC-ENT-1YR"</f>
        <v>Part#: LIC-ENT-1YR</v>
      </c>
    </row>
    <row r="1259" spans="1:8" x14ac:dyDescent="0.25">
      <c r="A1259" t="s">
        <v>427</v>
      </c>
      <c r="B1259">
        <v>80448</v>
      </c>
      <c r="C1259" s="2">
        <v>5466.38</v>
      </c>
      <c r="D1259" s="1">
        <v>43479</v>
      </c>
      <c r="E1259" t="str">
        <f>"201901096504"</f>
        <v>201901096504</v>
      </c>
      <c r="F1259" t="str">
        <f>"ACCT#550615/PCT#2"</f>
        <v>ACCT#550615/PCT#2</v>
      </c>
      <c r="G1259" s="2">
        <v>5466.38</v>
      </c>
      <c r="H1259" t="str">
        <f>"ACCT#550615/PCT#2"</f>
        <v>ACCT#550615/PCT#2</v>
      </c>
    </row>
    <row r="1260" spans="1:8" x14ac:dyDescent="0.25">
      <c r="A1260" t="s">
        <v>428</v>
      </c>
      <c r="B1260">
        <v>80449</v>
      </c>
      <c r="C1260" s="2">
        <v>571.63</v>
      </c>
      <c r="D1260" s="1">
        <v>43479</v>
      </c>
      <c r="E1260" t="str">
        <f>"8125733783"</f>
        <v>8125733783</v>
      </c>
      <c r="F1260" t="str">
        <f>"CUST#16155373"</f>
        <v>CUST#16155373</v>
      </c>
      <c r="G1260" s="2">
        <v>103</v>
      </c>
      <c r="H1260" t="str">
        <f t="shared" ref="H1260:H1265" si="18">"CUST#16155373"</f>
        <v>CUST#16155373</v>
      </c>
    </row>
    <row r="1261" spans="1:8" x14ac:dyDescent="0.25">
      <c r="E1261" t="str">
        <f>""</f>
        <v/>
      </c>
      <c r="F1261" t="str">
        <f>""</f>
        <v/>
      </c>
      <c r="H1261" t="str">
        <f t="shared" si="18"/>
        <v>CUST#16155373</v>
      </c>
    </row>
    <row r="1262" spans="1:8" x14ac:dyDescent="0.25">
      <c r="E1262" t="str">
        <f>""</f>
        <v/>
      </c>
      <c r="F1262" t="str">
        <f>""</f>
        <v/>
      </c>
      <c r="H1262" t="str">
        <f t="shared" si="18"/>
        <v>CUST#16155373</v>
      </c>
    </row>
    <row r="1263" spans="1:8" x14ac:dyDescent="0.25">
      <c r="E1263" t="str">
        <f>""</f>
        <v/>
      </c>
      <c r="F1263" t="str">
        <f>""</f>
        <v/>
      </c>
      <c r="H1263" t="str">
        <f t="shared" si="18"/>
        <v>CUST#16155373</v>
      </c>
    </row>
    <row r="1264" spans="1:8" x14ac:dyDescent="0.25">
      <c r="E1264" t="str">
        <f>""</f>
        <v/>
      </c>
      <c r="F1264" t="str">
        <f>""</f>
        <v/>
      </c>
      <c r="H1264" t="str">
        <f t="shared" si="18"/>
        <v>CUST#16155373</v>
      </c>
    </row>
    <row r="1265" spans="1:8" x14ac:dyDescent="0.25">
      <c r="E1265" t="str">
        <f>""</f>
        <v/>
      </c>
      <c r="F1265" t="str">
        <f>""</f>
        <v/>
      </c>
      <c r="H1265" t="str">
        <f t="shared" si="18"/>
        <v>CUST#16155373</v>
      </c>
    </row>
    <row r="1266" spans="1:8" x14ac:dyDescent="0.25">
      <c r="E1266" t="str">
        <f>"8126154261"</f>
        <v>8126154261</v>
      </c>
      <c r="F1266" t="str">
        <f>"CUST#16160327/SHREDDING SVCS"</f>
        <v>CUST#16160327/SHREDDING SVCS</v>
      </c>
      <c r="G1266" s="2">
        <v>165</v>
      </c>
      <c r="H1266" t="str">
        <f>"CUST#16160327/SHREDDING SVCS"</f>
        <v>CUST#16160327/SHREDDING SVCS</v>
      </c>
    </row>
    <row r="1267" spans="1:8" x14ac:dyDescent="0.25">
      <c r="E1267" t="str">
        <f>""</f>
        <v/>
      </c>
      <c r="F1267" t="str">
        <f>""</f>
        <v/>
      </c>
      <c r="H1267" t="str">
        <f>"CUST#16160327/SHREDDING SVCS"</f>
        <v>CUST#16160327/SHREDDING SVCS</v>
      </c>
    </row>
    <row r="1268" spans="1:8" x14ac:dyDescent="0.25">
      <c r="E1268" t="str">
        <f>""</f>
        <v/>
      </c>
      <c r="F1268" t="str">
        <f>""</f>
        <v/>
      </c>
      <c r="H1268" t="str">
        <f>"CUST#16160327/SHREDDING SVCS"</f>
        <v>CUST#16160327/SHREDDING SVCS</v>
      </c>
    </row>
    <row r="1269" spans="1:8" x14ac:dyDescent="0.25">
      <c r="E1269" t="str">
        <f>"8126359674"</f>
        <v>8126359674</v>
      </c>
      <c r="F1269" t="str">
        <f>"CUST#16155373"</f>
        <v>CUST#16155373</v>
      </c>
      <c r="G1269" s="2">
        <v>136.63</v>
      </c>
      <c r="H1269" t="str">
        <f t="shared" ref="H1269:H1274" si="19">"CUST#16155373"</f>
        <v>CUST#16155373</v>
      </c>
    </row>
    <row r="1270" spans="1:8" x14ac:dyDescent="0.25">
      <c r="E1270" t="str">
        <f>""</f>
        <v/>
      </c>
      <c r="F1270" t="str">
        <f>""</f>
        <v/>
      </c>
      <c r="H1270" t="str">
        <f t="shared" si="19"/>
        <v>CUST#16155373</v>
      </c>
    </row>
    <row r="1271" spans="1:8" x14ac:dyDescent="0.25">
      <c r="E1271" t="str">
        <f>""</f>
        <v/>
      </c>
      <c r="F1271" t="str">
        <f>""</f>
        <v/>
      </c>
      <c r="H1271" t="str">
        <f t="shared" si="19"/>
        <v>CUST#16155373</v>
      </c>
    </row>
    <row r="1272" spans="1:8" x14ac:dyDescent="0.25">
      <c r="E1272" t="str">
        <f>""</f>
        <v/>
      </c>
      <c r="F1272" t="str">
        <f>""</f>
        <v/>
      </c>
      <c r="H1272" t="str">
        <f t="shared" si="19"/>
        <v>CUST#16155373</v>
      </c>
    </row>
    <row r="1273" spans="1:8" x14ac:dyDescent="0.25">
      <c r="E1273" t="str">
        <f>""</f>
        <v/>
      </c>
      <c r="F1273" t="str">
        <f>""</f>
        <v/>
      </c>
      <c r="H1273" t="str">
        <f t="shared" si="19"/>
        <v>CUST#16155373</v>
      </c>
    </row>
    <row r="1274" spans="1:8" x14ac:dyDescent="0.25">
      <c r="E1274" t="str">
        <f>""</f>
        <v/>
      </c>
      <c r="F1274" t="str">
        <f>""</f>
        <v/>
      </c>
      <c r="H1274" t="str">
        <f t="shared" si="19"/>
        <v>CUST#16155373</v>
      </c>
    </row>
    <row r="1275" spans="1:8" x14ac:dyDescent="0.25">
      <c r="E1275" t="str">
        <f>"8126359719"</f>
        <v>8126359719</v>
      </c>
      <c r="F1275" t="str">
        <f>"CUST#16156071/TAX OFFICE"</f>
        <v>CUST#16156071/TAX OFFICE</v>
      </c>
      <c r="G1275" s="2">
        <v>64</v>
      </c>
      <c r="H1275" t="str">
        <f>"CUST#16156071/TAX OFFICE"</f>
        <v>CUST#16156071/TAX OFFICE</v>
      </c>
    </row>
    <row r="1276" spans="1:8" x14ac:dyDescent="0.25">
      <c r="E1276" t="str">
        <f>"8126359807"</f>
        <v>8126359807</v>
      </c>
      <c r="F1276" t="str">
        <f>"CUST#16158670/JP#4"</f>
        <v>CUST#16158670/JP#4</v>
      </c>
      <c r="G1276" s="2">
        <v>103</v>
      </c>
      <c r="H1276" t="str">
        <f>"CUST#16158670/JP#4"</f>
        <v>CUST#16158670/JP#4</v>
      </c>
    </row>
    <row r="1277" spans="1:8" x14ac:dyDescent="0.25">
      <c r="A1277" t="s">
        <v>428</v>
      </c>
      <c r="B1277">
        <v>80751</v>
      </c>
      <c r="C1277" s="2">
        <v>244</v>
      </c>
      <c r="D1277" s="1">
        <v>43493</v>
      </c>
      <c r="E1277" t="str">
        <f>"8125733171"</f>
        <v>8125733171</v>
      </c>
      <c r="F1277" t="str">
        <f>"INV 8125733171"</f>
        <v>INV 8125733171</v>
      </c>
      <c r="G1277" s="2">
        <v>122</v>
      </c>
      <c r="H1277" t="str">
        <f>"INV 8125733171 (LE)"</f>
        <v>INV 8125733171 (LE)</v>
      </c>
    </row>
    <row r="1278" spans="1:8" x14ac:dyDescent="0.25">
      <c r="E1278" t="str">
        <f>""</f>
        <v/>
      </c>
      <c r="F1278" t="str">
        <f>""</f>
        <v/>
      </c>
      <c r="H1278" t="str">
        <f>"INV 8125733171 (JAIL"</f>
        <v>INV 8125733171 (JAIL</v>
      </c>
    </row>
    <row r="1279" spans="1:8" x14ac:dyDescent="0.25">
      <c r="E1279" t="str">
        <f>"8126359066"</f>
        <v>8126359066</v>
      </c>
      <c r="F1279" t="str">
        <f>"INV 8126359066"</f>
        <v>INV 8126359066</v>
      </c>
      <c r="G1279" s="2">
        <v>122</v>
      </c>
      <c r="H1279" t="str">
        <f>"INV 8126359066 (LE)"</f>
        <v>INV 8126359066 (LE)</v>
      </c>
    </row>
    <row r="1280" spans="1:8" x14ac:dyDescent="0.25">
      <c r="E1280" t="str">
        <f>""</f>
        <v/>
      </c>
      <c r="F1280" t="str">
        <f>""</f>
        <v/>
      </c>
      <c r="H1280" t="str">
        <f>"INV 8126359066 (JAIL"</f>
        <v>INV 8126359066 (JAIL</v>
      </c>
    </row>
    <row r="1281" spans="1:8" x14ac:dyDescent="0.25">
      <c r="A1281" t="s">
        <v>429</v>
      </c>
      <c r="B1281">
        <v>80450</v>
      </c>
      <c r="C1281" s="2">
        <v>134.47</v>
      </c>
      <c r="D1281" s="1">
        <v>43479</v>
      </c>
      <c r="E1281" t="str">
        <f>"201901096506"</f>
        <v>201901096506</v>
      </c>
      <c r="F1281" t="str">
        <f>"INDIGENT HEALTH"</f>
        <v>INDIGENT HEALTH</v>
      </c>
      <c r="G1281" s="2">
        <v>134.47</v>
      </c>
      <c r="H1281" t="str">
        <f>"INDIGENT HEALTH"</f>
        <v>INDIGENT HEALTH</v>
      </c>
    </row>
    <row r="1282" spans="1:8" x14ac:dyDescent="0.25">
      <c r="A1282" t="s">
        <v>430</v>
      </c>
      <c r="B1282">
        <v>80752</v>
      </c>
      <c r="C1282" s="2">
        <v>500</v>
      </c>
      <c r="D1282" s="1">
        <v>43493</v>
      </c>
      <c r="E1282" t="str">
        <f>"821247"</f>
        <v>821247</v>
      </c>
      <c r="F1282" t="str">
        <f>"PUMPED SEPTIC SYSTEM &amp; CLEANED"</f>
        <v>PUMPED SEPTIC SYSTEM &amp; CLEANED</v>
      </c>
      <c r="G1282" s="2">
        <v>500</v>
      </c>
      <c r="H1282" t="str">
        <f>"PUMPED SEPTIC SYSTEM &amp; CLEANED"</f>
        <v>PUMPED SEPTIC SYSTEM &amp; CLEANED</v>
      </c>
    </row>
    <row r="1283" spans="1:8" x14ac:dyDescent="0.25">
      <c r="A1283" t="s">
        <v>431</v>
      </c>
      <c r="B1283">
        <v>80451</v>
      </c>
      <c r="C1283" s="2">
        <v>7662.75</v>
      </c>
      <c r="D1283" s="1">
        <v>43479</v>
      </c>
      <c r="E1283" t="str">
        <f>"408469"</f>
        <v>408469</v>
      </c>
      <c r="F1283" t="str">
        <f>"STATEMENT#29319/PCT#2"</f>
        <v>STATEMENT#29319/PCT#2</v>
      </c>
      <c r="G1283" s="2">
        <v>7662.75</v>
      </c>
      <c r="H1283" t="str">
        <f>"STATEMENT#29319/PCT#2"</f>
        <v>STATEMENT#29319/PCT#2</v>
      </c>
    </row>
    <row r="1284" spans="1:8" x14ac:dyDescent="0.25">
      <c r="A1284" t="s">
        <v>432</v>
      </c>
      <c r="B1284">
        <v>80452</v>
      </c>
      <c r="C1284" s="2">
        <v>899.15</v>
      </c>
      <c r="D1284" s="1">
        <v>43479</v>
      </c>
      <c r="E1284" t="str">
        <f>"201901086425"</f>
        <v>201901086425</v>
      </c>
      <c r="F1284" t="str">
        <f>"ACCT#260/PCT#2"</f>
        <v>ACCT#260/PCT#2</v>
      </c>
      <c r="G1284" s="2">
        <v>899.15</v>
      </c>
      <c r="H1284" t="str">
        <f>"ACCT#260/PCT#2"</f>
        <v>ACCT#260/PCT#2</v>
      </c>
    </row>
    <row r="1285" spans="1:8" x14ac:dyDescent="0.25">
      <c r="A1285" t="s">
        <v>433</v>
      </c>
      <c r="B1285">
        <v>80453</v>
      </c>
      <c r="C1285" s="2">
        <v>6010</v>
      </c>
      <c r="D1285" s="1">
        <v>43479</v>
      </c>
      <c r="E1285" t="str">
        <f>"IM409392"</f>
        <v>IM409392</v>
      </c>
      <c r="F1285" t="str">
        <f>"SolarWinds Maintenance Re"</f>
        <v>SolarWinds Maintenance Re</v>
      </c>
      <c r="G1285" s="2">
        <v>2365</v>
      </c>
      <c r="H1285" t="str">
        <f>"SKU# 60210"</f>
        <v>SKU# 60210</v>
      </c>
    </row>
    <row r="1286" spans="1:8" x14ac:dyDescent="0.25">
      <c r="E1286" t="str">
        <f>""</f>
        <v/>
      </c>
      <c r="F1286" t="str">
        <f>""</f>
        <v/>
      </c>
      <c r="H1286" t="str">
        <f>"SKU# 60215"</f>
        <v>SKU# 60215</v>
      </c>
    </row>
    <row r="1287" spans="1:8" x14ac:dyDescent="0.25">
      <c r="E1287" t="str">
        <f>"IN410247"</f>
        <v>IN410247</v>
      </c>
      <c r="F1287" t="str">
        <f>"Solarwinds Web Help Desk"</f>
        <v>Solarwinds Web Help Desk</v>
      </c>
      <c r="G1287" s="2">
        <v>3645</v>
      </c>
      <c r="H1287" t="str">
        <f>"SKU# 13264"</f>
        <v>SKU# 13264</v>
      </c>
    </row>
    <row r="1288" spans="1:8" x14ac:dyDescent="0.25">
      <c r="E1288" t="str">
        <f>""</f>
        <v/>
      </c>
      <c r="F1288" t="str">
        <f>""</f>
        <v/>
      </c>
      <c r="H1288" t="str">
        <f>"Discount"</f>
        <v>Discount</v>
      </c>
    </row>
    <row r="1289" spans="1:8" x14ac:dyDescent="0.25">
      <c r="A1289" t="s">
        <v>433</v>
      </c>
      <c r="B1289">
        <v>80753</v>
      </c>
      <c r="C1289" s="2">
        <v>273</v>
      </c>
      <c r="D1289" s="1">
        <v>43493</v>
      </c>
      <c r="E1289" t="str">
        <f>"IN414341"</f>
        <v>IN414341</v>
      </c>
      <c r="F1289" t="str">
        <f>"SolarWinds DameWare Renew"</f>
        <v>SolarWinds DameWare Renew</v>
      </c>
      <c r="G1289" s="2">
        <v>273</v>
      </c>
      <c r="H1289" t="str">
        <f>"SKU# 60237"</f>
        <v>SKU# 60237</v>
      </c>
    </row>
    <row r="1290" spans="1:8" x14ac:dyDescent="0.25">
      <c r="A1290" t="s">
        <v>434</v>
      </c>
      <c r="B1290">
        <v>80754</v>
      </c>
      <c r="C1290" s="2">
        <v>2320</v>
      </c>
      <c r="D1290" s="1">
        <v>43493</v>
      </c>
      <c r="E1290" t="str">
        <f>"7349"</f>
        <v>7349</v>
      </c>
      <c r="F1290" t="str">
        <f>"Desk for 3rd Clerk"</f>
        <v>Desk for 3rd Clerk</v>
      </c>
      <c r="G1290" s="2">
        <v>2320</v>
      </c>
      <c r="H1290" t="str">
        <f>"Flexsteel#7350-49"</f>
        <v>Flexsteel#7350-49</v>
      </c>
    </row>
    <row r="1291" spans="1:8" x14ac:dyDescent="0.25">
      <c r="E1291" t="str">
        <f>""</f>
        <v/>
      </c>
      <c r="F1291" t="str">
        <f>""</f>
        <v/>
      </c>
      <c r="H1291" t="str">
        <f>"Freight/install"</f>
        <v>Freight/install</v>
      </c>
    </row>
    <row r="1292" spans="1:8" x14ac:dyDescent="0.25">
      <c r="A1292" t="s">
        <v>435</v>
      </c>
      <c r="B1292">
        <v>80454</v>
      </c>
      <c r="C1292" s="2">
        <v>1477.7</v>
      </c>
      <c r="D1292" s="1">
        <v>43479</v>
      </c>
      <c r="E1292" t="str">
        <f>"201901046376"</f>
        <v>201901046376</v>
      </c>
      <c r="F1292" t="str">
        <f>"ACCT#52157/PCT#3"</f>
        <v>ACCT#52157/PCT#3</v>
      </c>
      <c r="G1292" s="2">
        <v>1477.7</v>
      </c>
      <c r="H1292" t="str">
        <f>"ACCT#52157/PCT#3"</f>
        <v>ACCT#52157/PCT#3</v>
      </c>
    </row>
    <row r="1293" spans="1:8" x14ac:dyDescent="0.25">
      <c r="A1293" t="s">
        <v>435</v>
      </c>
      <c r="B1293">
        <v>80755</v>
      </c>
      <c r="C1293" s="2">
        <v>1392</v>
      </c>
      <c r="D1293" s="1">
        <v>43493</v>
      </c>
      <c r="E1293" t="str">
        <f>"63270243"</f>
        <v>63270243</v>
      </c>
      <c r="F1293" t="str">
        <f>"CUST#52157/PCT#3"</f>
        <v>CUST#52157/PCT#3</v>
      </c>
      <c r="G1293" s="2">
        <v>1243.5</v>
      </c>
      <c r="H1293" t="str">
        <f>"CUST#52157/PCT#3"</f>
        <v>CUST#52157/PCT#3</v>
      </c>
    </row>
    <row r="1294" spans="1:8" x14ac:dyDescent="0.25">
      <c r="E1294" t="str">
        <f>"63272746"</f>
        <v>63272746</v>
      </c>
      <c r="F1294" t="str">
        <f>"CUST#52157/PCT#3"</f>
        <v>CUST#52157/PCT#3</v>
      </c>
      <c r="G1294" s="2">
        <v>148.5</v>
      </c>
      <c r="H1294" t="str">
        <f>"CUST#52157/PCT#3"</f>
        <v>CUST#52157/PCT#3</v>
      </c>
    </row>
    <row r="1295" spans="1:8" x14ac:dyDescent="0.25">
      <c r="A1295" t="s">
        <v>436</v>
      </c>
      <c r="B1295">
        <v>80756</v>
      </c>
      <c r="C1295" s="2">
        <v>57.05</v>
      </c>
      <c r="D1295" s="1">
        <v>43493</v>
      </c>
      <c r="E1295" t="str">
        <f>"9604456 010319"</f>
        <v>9604456 010319</v>
      </c>
      <c r="F1295" t="str">
        <f>"ACCT#466688439604456/JP#2"</f>
        <v>ACCT#466688439604456/JP#2</v>
      </c>
      <c r="G1295" s="2">
        <v>57.05</v>
      </c>
      <c r="H1295" t="str">
        <f>"ACCT#466688439604456/JP#2"</f>
        <v>ACCT#466688439604456/JP#2</v>
      </c>
    </row>
    <row r="1296" spans="1:8" x14ac:dyDescent="0.25">
      <c r="A1296" t="s">
        <v>438</v>
      </c>
      <c r="B1296">
        <v>80757</v>
      </c>
      <c r="C1296" s="2">
        <v>112.1</v>
      </c>
      <c r="D1296" s="1">
        <v>43493</v>
      </c>
      <c r="E1296" t="str">
        <f>"933156"</f>
        <v>933156</v>
      </c>
      <c r="F1296" t="str">
        <f>"ACCT#114382/ANIMAL SHELTER"</f>
        <v>ACCT#114382/ANIMAL SHELTER</v>
      </c>
      <c r="G1296" s="2">
        <v>112.1</v>
      </c>
      <c r="H1296" t="str">
        <f>"ACCT#114382/ANIMAL SHELTER"</f>
        <v>ACCT#114382/ANIMAL SHELTER</v>
      </c>
    </row>
    <row r="1297" spans="1:8" x14ac:dyDescent="0.25">
      <c r="A1297" t="s">
        <v>439</v>
      </c>
      <c r="B1297">
        <v>391</v>
      </c>
      <c r="C1297" s="2">
        <v>255.28</v>
      </c>
      <c r="D1297" s="1">
        <v>43494</v>
      </c>
      <c r="E1297" t="str">
        <f>"20783"</f>
        <v>20783</v>
      </c>
      <c r="F1297" t="str">
        <f>"STL FLOOR PLATE / PCT #3"</f>
        <v>STL FLOOR PLATE / PCT #3</v>
      </c>
      <c r="G1297" s="2">
        <v>255.28</v>
      </c>
      <c r="H1297" t="str">
        <f>"STL FLOOR PLATE / PCT #3"</f>
        <v>STL FLOOR PLATE / PCT #3</v>
      </c>
    </row>
    <row r="1298" spans="1:8" x14ac:dyDescent="0.25">
      <c r="A1298" t="s">
        <v>440</v>
      </c>
      <c r="B1298">
        <v>80758</v>
      </c>
      <c r="C1298" s="2">
        <v>46.73</v>
      </c>
      <c r="D1298" s="1">
        <v>43493</v>
      </c>
      <c r="E1298" t="str">
        <f>"201901226734"</f>
        <v>201901226734</v>
      </c>
      <c r="F1298" t="str">
        <f t="shared" ref="F1298:F1303" si="20">"INDIGENT HEALTH"</f>
        <v>INDIGENT HEALTH</v>
      </c>
      <c r="G1298" s="2">
        <v>46.73</v>
      </c>
      <c r="H1298" t="str">
        <f t="shared" ref="H1298:H1303" si="21">"INDIGENT HEALTH"</f>
        <v>INDIGENT HEALTH</v>
      </c>
    </row>
    <row r="1299" spans="1:8" x14ac:dyDescent="0.25">
      <c r="A1299" t="s">
        <v>441</v>
      </c>
      <c r="B1299">
        <v>80456</v>
      </c>
      <c r="C1299" s="2">
        <v>308.88</v>
      </c>
      <c r="D1299" s="1">
        <v>43479</v>
      </c>
      <c r="E1299" t="str">
        <f>"201901096507"</f>
        <v>201901096507</v>
      </c>
      <c r="F1299" t="str">
        <f t="shared" si="20"/>
        <v>INDIGENT HEALTH</v>
      </c>
      <c r="G1299" s="2">
        <v>308.88</v>
      </c>
      <c r="H1299" t="str">
        <f t="shared" si="21"/>
        <v>INDIGENT HEALTH</v>
      </c>
    </row>
    <row r="1300" spans="1:8" x14ac:dyDescent="0.25">
      <c r="A1300" t="s">
        <v>441</v>
      </c>
      <c r="B1300">
        <v>80760</v>
      </c>
      <c r="C1300" s="2">
        <v>154.66999999999999</v>
      </c>
      <c r="D1300" s="1">
        <v>43493</v>
      </c>
      <c r="E1300" t="str">
        <f>"201901226737"</f>
        <v>201901226737</v>
      </c>
      <c r="F1300" t="str">
        <f t="shared" si="20"/>
        <v>INDIGENT HEALTH</v>
      </c>
      <c r="G1300" s="2">
        <v>154.66999999999999</v>
      </c>
      <c r="H1300" t="str">
        <f t="shared" si="21"/>
        <v>INDIGENT HEALTH</v>
      </c>
    </row>
    <row r="1301" spans="1:8" x14ac:dyDescent="0.25">
      <c r="A1301" t="s">
        <v>442</v>
      </c>
      <c r="B1301">
        <v>80455</v>
      </c>
      <c r="C1301" s="2">
        <v>2043.2</v>
      </c>
      <c r="D1301" s="1">
        <v>43479</v>
      </c>
      <c r="E1301" t="str">
        <f>"201901096508"</f>
        <v>201901096508</v>
      </c>
      <c r="F1301" t="str">
        <f t="shared" si="20"/>
        <v>INDIGENT HEALTH</v>
      </c>
      <c r="G1301" s="2">
        <v>2043.2</v>
      </c>
      <c r="H1301" t="str">
        <f t="shared" si="21"/>
        <v>INDIGENT HEALTH</v>
      </c>
    </row>
    <row r="1302" spans="1:8" x14ac:dyDescent="0.25">
      <c r="A1302" t="s">
        <v>442</v>
      </c>
      <c r="B1302">
        <v>80759</v>
      </c>
      <c r="C1302" s="2">
        <v>5725.26</v>
      </c>
      <c r="D1302" s="1">
        <v>43493</v>
      </c>
      <c r="E1302" t="str">
        <f>"201901226738"</f>
        <v>201901226738</v>
      </c>
      <c r="F1302" t="str">
        <f t="shared" si="20"/>
        <v>INDIGENT HEALTH</v>
      </c>
      <c r="G1302" s="2">
        <v>969.21</v>
      </c>
      <c r="H1302" t="str">
        <f t="shared" si="21"/>
        <v>INDIGENT HEALTH</v>
      </c>
    </row>
    <row r="1303" spans="1:8" x14ac:dyDescent="0.25">
      <c r="E1303" t="str">
        <f>"201901226739"</f>
        <v>201901226739</v>
      </c>
      <c r="F1303" t="str">
        <f t="shared" si="20"/>
        <v>INDIGENT HEALTH</v>
      </c>
      <c r="G1303" s="2">
        <v>4756.05</v>
      </c>
      <c r="H1303" t="str">
        <f t="shared" si="21"/>
        <v>INDIGENT HEALTH</v>
      </c>
    </row>
    <row r="1304" spans="1:8" x14ac:dyDescent="0.25">
      <c r="A1304" t="s">
        <v>437</v>
      </c>
      <c r="B1304">
        <v>80457</v>
      </c>
      <c r="C1304" s="2">
        <v>73.25</v>
      </c>
      <c r="D1304" s="1">
        <v>43479</v>
      </c>
      <c r="E1304" t="str">
        <f>"11969495 122118"</f>
        <v>11969495 122118</v>
      </c>
      <c r="F1304" t="str">
        <f>"ACCT#556850411969495/DA'S OFF"</f>
        <v>ACCT#556850411969495/DA'S OFF</v>
      </c>
      <c r="G1304" s="2">
        <v>48.11</v>
      </c>
      <c r="H1304" t="str">
        <f>"ACCT#556850411969495/DA'S OFF"</f>
        <v>ACCT#556850411969495/DA'S OFF</v>
      </c>
    </row>
    <row r="1305" spans="1:8" x14ac:dyDescent="0.25">
      <c r="E1305" t="str">
        <f>"9604456 120618"</f>
        <v>9604456 120618</v>
      </c>
      <c r="F1305" t="str">
        <f>"ACCT#46668439604456/JP#2"</f>
        <v>ACCT#46668439604456/JP#2</v>
      </c>
      <c r="G1305" s="2">
        <v>25.14</v>
      </c>
      <c r="H1305" t="str">
        <f>"ACCT#46668439604456/JP#2"</f>
        <v>ACCT#46668439604456/JP#2</v>
      </c>
    </row>
    <row r="1306" spans="1:8" x14ac:dyDescent="0.25">
      <c r="A1306" t="s">
        <v>443</v>
      </c>
      <c r="B1306">
        <v>80458</v>
      </c>
      <c r="C1306" s="2">
        <v>3125.01</v>
      </c>
      <c r="D1306" s="1">
        <v>43479</v>
      </c>
      <c r="E1306" t="str">
        <f>"8052553212"</f>
        <v>8052553212</v>
      </c>
      <c r="F1306" t="str">
        <f>"Summary Inv# 8052553212"</f>
        <v>Summary Inv# 8052553212</v>
      </c>
      <c r="G1306" s="2">
        <v>3125.01</v>
      </c>
      <c r="H1306" t="str">
        <f>"Inv# 3399364258"</f>
        <v>Inv# 3399364258</v>
      </c>
    </row>
    <row r="1307" spans="1:8" x14ac:dyDescent="0.25">
      <c r="E1307" t="str">
        <f>""</f>
        <v/>
      </c>
      <c r="F1307" t="str">
        <f>""</f>
        <v/>
      </c>
      <c r="H1307" t="str">
        <f>"Inv# 3399364261"</f>
        <v>Inv# 3399364261</v>
      </c>
    </row>
    <row r="1308" spans="1:8" x14ac:dyDescent="0.25">
      <c r="E1308" t="str">
        <f>""</f>
        <v/>
      </c>
      <c r="F1308" t="str">
        <f>""</f>
        <v/>
      </c>
      <c r="H1308" t="str">
        <f>"Inv# 3399364263"</f>
        <v>Inv# 3399364263</v>
      </c>
    </row>
    <row r="1309" spans="1:8" x14ac:dyDescent="0.25">
      <c r="E1309" t="str">
        <f>""</f>
        <v/>
      </c>
      <c r="F1309" t="str">
        <f>""</f>
        <v/>
      </c>
      <c r="H1309" t="str">
        <f>"Inv# 3399364265"</f>
        <v>Inv# 3399364265</v>
      </c>
    </row>
    <row r="1310" spans="1:8" x14ac:dyDescent="0.25">
      <c r="E1310" t="str">
        <f>""</f>
        <v/>
      </c>
      <c r="F1310" t="str">
        <f>""</f>
        <v/>
      </c>
      <c r="H1310" t="str">
        <f>"Inv# 3399364257"</f>
        <v>Inv# 3399364257</v>
      </c>
    </row>
    <row r="1311" spans="1:8" x14ac:dyDescent="0.25">
      <c r="E1311" t="str">
        <f>""</f>
        <v/>
      </c>
      <c r="F1311" t="str">
        <f>""</f>
        <v/>
      </c>
      <c r="H1311" t="str">
        <f>"Inv# 3399364248"</f>
        <v>Inv# 3399364248</v>
      </c>
    </row>
    <row r="1312" spans="1:8" x14ac:dyDescent="0.25">
      <c r="E1312" t="str">
        <f>""</f>
        <v/>
      </c>
      <c r="F1312" t="str">
        <f>""</f>
        <v/>
      </c>
      <c r="H1312" t="str">
        <f>"Inv# 3399364251"</f>
        <v>Inv# 3399364251</v>
      </c>
    </row>
    <row r="1313" spans="1:8" x14ac:dyDescent="0.25">
      <c r="E1313" t="str">
        <f>""</f>
        <v/>
      </c>
      <c r="F1313" t="str">
        <f>""</f>
        <v/>
      </c>
      <c r="H1313" t="str">
        <f>"Inv# 3399364253"</f>
        <v>Inv# 3399364253</v>
      </c>
    </row>
    <row r="1314" spans="1:8" x14ac:dyDescent="0.25">
      <c r="E1314" t="str">
        <f>""</f>
        <v/>
      </c>
      <c r="F1314" t="str">
        <f>""</f>
        <v/>
      </c>
      <c r="H1314" t="str">
        <f>"Inv# 3399364254"</f>
        <v>Inv# 3399364254</v>
      </c>
    </row>
    <row r="1315" spans="1:8" x14ac:dyDescent="0.25">
      <c r="E1315" t="str">
        <f>""</f>
        <v/>
      </c>
      <c r="F1315" t="str">
        <f>""</f>
        <v/>
      </c>
      <c r="H1315" t="str">
        <f>"Inv# 3399364242"</f>
        <v>Inv# 3399364242</v>
      </c>
    </row>
    <row r="1316" spans="1:8" x14ac:dyDescent="0.25">
      <c r="E1316" t="str">
        <f>""</f>
        <v/>
      </c>
      <c r="F1316" t="str">
        <f>""</f>
        <v/>
      </c>
      <c r="H1316" t="str">
        <f>"Inv# 3399364244"</f>
        <v>Inv# 3399364244</v>
      </c>
    </row>
    <row r="1317" spans="1:8" x14ac:dyDescent="0.25">
      <c r="E1317" t="str">
        <f>""</f>
        <v/>
      </c>
      <c r="F1317" t="str">
        <f>""</f>
        <v/>
      </c>
      <c r="H1317" t="str">
        <f>"Inv# 3399364246"</f>
        <v>Inv# 3399364246</v>
      </c>
    </row>
    <row r="1318" spans="1:8" x14ac:dyDescent="0.25">
      <c r="E1318" t="str">
        <f>""</f>
        <v/>
      </c>
      <c r="F1318" t="str">
        <f>""</f>
        <v/>
      </c>
      <c r="H1318" t="str">
        <f>"Inv# 3399364264"</f>
        <v>Inv# 3399364264</v>
      </c>
    </row>
    <row r="1319" spans="1:8" x14ac:dyDescent="0.25">
      <c r="E1319" t="str">
        <f>""</f>
        <v/>
      </c>
      <c r="F1319" t="str">
        <f>""</f>
        <v/>
      </c>
      <c r="H1319" t="str">
        <f>"Inv# 3399364268"</f>
        <v>Inv# 3399364268</v>
      </c>
    </row>
    <row r="1320" spans="1:8" x14ac:dyDescent="0.25">
      <c r="E1320" t="str">
        <f>""</f>
        <v/>
      </c>
      <c r="F1320" t="str">
        <f>""</f>
        <v/>
      </c>
      <c r="H1320" t="str">
        <f>"Inv# 3399364269"</f>
        <v>Inv# 3399364269</v>
      </c>
    </row>
    <row r="1321" spans="1:8" x14ac:dyDescent="0.25">
      <c r="E1321" t="str">
        <f>""</f>
        <v/>
      </c>
      <c r="F1321" t="str">
        <f>""</f>
        <v/>
      </c>
      <c r="H1321" t="str">
        <f>"Inv# 399364270"</f>
        <v>Inv# 399364270</v>
      </c>
    </row>
    <row r="1322" spans="1:8" x14ac:dyDescent="0.25">
      <c r="E1322" t="str">
        <f>""</f>
        <v/>
      </c>
      <c r="F1322" t="str">
        <f>""</f>
        <v/>
      </c>
      <c r="H1322" t="str">
        <f>"Inv# 3399364259"</f>
        <v>Inv# 3399364259</v>
      </c>
    </row>
    <row r="1323" spans="1:8" x14ac:dyDescent="0.25">
      <c r="E1323" t="str">
        <f>""</f>
        <v/>
      </c>
      <c r="F1323" t="str">
        <f>""</f>
        <v/>
      </c>
      <c r="H1323" t="str">
        <f>"Inv# 3399364260"</f>
        <v>Inv# 3399364260</v>
      </c>
    </row>
    <row r="1324" spans="1:8" x14ac:dyDescent="0.25">
      <c r="E1324" t="str">
        <f>""</f>
        <v/>
      </c>
      <c r="F1324" t="str">
        <f>""</f>
        <v/>
      </c>
      <c r="H1324" t="str">
        <f>"Inv# 3399364267"</f>
        <v>Inv# 3399364267</v>
      </c>
    </row>
    <row r="1325" spans="1:8" x14ac:dyDescent="0.25">
      <c r="E1325" t="str">
        <f>""</f>
        <v/>
      </c>
      <c r="F1325" t="str">
        <f>""</f>
        <v/>
      </c>
      <c r="H1325" t="str">
        <f>"Inv# 3399364266"</f>
        <v>Inv# 3399364266</v>
      </c>
    </row>
    <row r="1326" spans="1:8" x14ac:dyDescent="0.25">
      <c r="E1326" t="str">
        <f>""</f>
        <v/>
      </c>
      <c r="F1326" t="str">
        <f>""</f>
        <v/>
      </c>
      <c r="H1326" t="str">
        <f>"Inv# 3399364266"</f>
        <v>Inv# 3399364266</v>
      </c>
    </row>
    <row r="1327" spans="1:8" x14ac:dyDescent="0.25">
      <c r="E1327" t="str">
        <f>""</f>
        <v/>
      </c>
      <c r="F1327" t="str">
        <f>""</f>
        <v/>
      </c>
      <c r="H1327" t="str">
        <f>"Inv# 3399364255"</f>
        <v>Inv# 3399364255</v>
      </c>
    </row>
    <row r="1328" spans="1:8" x14ac:dyDescent="0.25">
      <c r="A1328" t="s">
        <v>443</v>
      </c>
      <c r="B1328">
        <v>80761</v>
      </c>
      <c r="C1328" s="2">
        <v>1600.34</v>
      </c>
      <c r="D1328" s="1">
        <v>43493</v>
      </c>
      <c r="E1328" t="str">
        <f>"80527114044"</f>
        <v>80527114044</v>
      </c>
      <c r="F1328" t="str">
        <f>"Sum INv# 8052714044"</f>
        <v>Sum INv# 8052714044</v>
      </c>
      <c r="G1328" s="2">
        <v>1600.34</v>
      </c>
      <c r="H1328" t="str">
        <f>"inv# 3400689182"</f>
        <v>inv# 3400689182</v>
      </c>
    </row>
    <row r="1329" spans="1:8" x14ac:dyDescent="0.25">
      <c r="E1329" t="str">
        <f>""</f>
        <v/>
      </c>
      <c r="F1329" t="str">
        <f>""</f>
        <v/>
      </c>
      <c r="H1329" t="str">
        <f>"inv# 3400689184"</f>
        <v>inv# 3400689184</v>
      </c>
    </row>
    <row r="1330" spans="1:8" x14ac:dyDescent="0.25">
      <c r="E1330" t="str">
        <f>""</f>
        <v/>
      </c>
      <c r="F1330" t="str">
        <f>""</f>
        <v/>
      </c>
      <c r="H1330" t="str">
        <f>"inv# 3400689183"</f>
        <v>inv# 3400689183</v>
      </c>
    </row>
    <row r="1331" spans="1:8" x14ac:dyDescent="0.25">
      <c r="E1331" t="str">
        <f>""</f>
        <v/>
      </c>
      <c r="F1331" t="str">
        <f>""</f>
        <v/>
      </c>
      <c r="H1331" t="str">
        <f>"inv# 3400689188"</f>
        <v>inv# 3400689188</v>
      </c>
    </row>
    <row r="1332" spans="1:8" x14ac:dyDescent="0.25">
      <c r="E1332" t="str">
        <f>""</f>
        <v/>
      </c>
      <c r="F1332" t="str">
        <f>""</f>
        <v/>
      </c>
      <c r="H1332" t="str">
        <f>"inv# 3400689189"</f>
        <v>inv# 3400689189</v>
      </c>
    </row>
    <row r="1333" spans="1:8" x14ac:dyDescent="0.25">
      <c r="E1333" t="str">
        <f>""</f>
        <v/>
      </c>
      <c r="F1333" t="str">
        <f>""</f>
        <v/>
      </c>
      <c r="H1333" t="str">
        <f>"inv# 3400689190"</f>
        <v>inv# 3400689190</v>
      </c>
    </row>
    <row r="1334" spans="1:8" x14ac:dyDescent="0.25">
      <c r="E1334" t="str">
        <f>""</f>
        <v/>
      </c>
      <c r="F1334" t="str">
        <f>""</f>
        <v/>
      </c>
      <c r="H1334" t="str">
        <f>"inv# 3400689191"</f>
        <v>inv# 3400689191</v>
      </c>
    </row>
    <row r="1335" spans="1:8" x14ac:dyDescent="0.25">
      <c r="E1335" t="str">
        <f>""</f>
        <v/>
      </c>
      <c r="F1335" t="str">
        <f>""</f>
        <v/>
      </c>
      <c r="H1335" t="str">
        <f>"inv# 3400689192"</f>
        <v>inv# 3400689192</v>
      </c>
    </row>
    <row r="1336" spans="1:8" x14ac:dyDescent="0.25">
      <c r="E1336" t="str">
        <f>""</f>
        <v/>
      </c>
      <c r="F1336" t="str">
        <f>""</f>
        <v/>
      </c>
      <c r="H1336" t="str">
        <f>"inv# 3400689184"</f>
        <v>inv# 3400689184</v>
      </c>
    </row>
    <row r="1337" spans="1:8" x14ac:dyDescent="0.25">
      <c r="E1337" t="str">
        <f>""</f>
        <v/>
      </c>
      <c r="F1337" t="str">
        <f>""</f>
        <v/>
      </c>
      <c r="H1337" t="str">
        <f>"inv# 3400689185"</f>
        <v>inv# 3400689185</v>
      </c>
    </row>
    <row r="1338" spans="1:8" x14ac:dyDescent="0.25">
      <c r="E1338" t="str">
        <f>""</f>
        <v/>
      </c>
      <c r="F1338" t="str">
        <f>""</f>
        <v/>
      </c>
      <c r="H1338" t="str">
        <f>"inv# 3400689186"</f>
        <v>inv# 3400689186</v>
      </c>
    </row>
    <row r="1339" spans="1:8" x14ac:dyDescent="0.25">
      <c r="E1339" t="str">
        <f>""</f>
        <v/>
      </c>
      <c r="F1339" t="str">
        <f>""</f>
        <v/>
      </c>
      <c r="H1339" t="str">
        <f>"inv# 3400679187"</f>
        <v>inv# 3400679187</v>
      </c>
    </row>
    <row r="1340" spans="1:8" x14ac:dyDescent="0.25">
      <c r="A1340" t="s">
        <v>444</v>
      </c>
      <c r="B1340">
        <v>80762</v>
      </c>
      <c r="C1340" s="2">
        <v>475</v>
      </c>
      <c r="D1340" s="1">
        <v>43493</v>
      </c>
      <c r="E1340" t="str">
        <f>"201901176706"</f>
        <v>201901176706</v>
      </c>
      <c r="F1340" t="str">
        <f>"DECEMBER 2018"</f>
        <v>DECEMBER 2018</v>
      </c>
      <c r="G1340" s="2">
        <v>475</v>
      </c>
      <c r="H1340" t="str">
        <f>"DECEMBER 2018"</f>
        <v>DECEMBER 2018</v>
      </c>
    </row>
    <row r="1341" spans="1:8" x14ac:dyDescent="0.25">
      <c r="A1341" t="s">
        <v>445</v>
      </c>
      <c r="B1341">
        <v>80459</v>
      </c>
      <c r="C1341" s="2">
        <v>3360.5</v>
      </c>
      <c r="D1341" s="1">
        <v>43479</v>
      </c>
      <c r="E1341" t="str">
        <f>"201901086436"</f>
        <v>201901086436</v>
      </c>
      <c r="F1341" t="str">
        <f>"INTERVIEW/EVAL/FILE REVIEW/REP"</f>
        <v>INTERVIEW/EVAL/FILE REVIEW/REP</v>
      </c>
      <c r="G1341" s="2">
        <v>3360.5</v>
      </c>
      <c r="H1341" t="str">
        <f>"INTERVIEW/EVAL/FILE REVIEW/REP"</f>
        <v>INTERVIEW/EVAL/FILE REVIEW/REP</v>
      </c>
    </row>
    <row r="1342" spans="1:8" x14ac:dyDescent="0.25">
      <c r="A1342" t="s">
        <v>446</v>
      </c>
      <c r="B1342">
        <v>80763</v>
      </c>
      <c r="C1342" s="2">
        <v>5</v>
      </c>
      <c r="D1342" s="1">
        <v>43493</v>
      </c>
      <c r="E1342" t="str">
        <f>"201901176697"</f>
        <v>201901176697</v>
      </c>
      <c r="F1342" t="str">
        <f>"FERAL HOGS"</f>
        <v>FERAL HOGS</v>
      </c>
      <c r="G1342" s="2">
        <v>5</v>
      </c>
      <c r="H1342" t="str">
        <f>"FERAL HOGS"</f>
        <v>FERAL HOGS</v>
      </c>
    </row>
    <row r="1343" spans="1:8" x14ac:dyDescent="0.25">
      <c r="A1343" t="s">
        <v>447</v>
      </c>
      <c r="B1343">
        <v>80460</v>
      </c>
      <c r="C1343" s="2">
        <v>758.72</v>
      </c>
      <c r="D1343" s="1">
        <v>43479</v>
      </c>
      <c r="E1343" t="str">
        <f>"4008298082"</f>
        <v>4008298082</v>
      </c>
      <c r="F1343" t="str">
        <f>"INV 4008298082"</f>
        <v>INV 4008298082</v>
      </c>
      <c r="G1343" s="2">
        <v>758.72</v>
      </c>
      <c r="H1343" t="str">
        <f>"INV 4008298082"</f>
        <v>INV 4008298082</v>
      </c>
    </row>
    <row r="1344" spans="1:8" x14ac:dyDescent="0.25">
      <c r="A1344" t="s">
        <v>448</v>
      </c>
      <c r="B1344">
        <v>80461</v>
      </c>
      <c r="C1344" s="2">
        <v>143</v>
      </c>
      <c r="D1344" s="1">
        <v>43479</v>
      </c>
      <c r="E1344" t="str">
        <f>"201901086445"</f>
        <v>201901086445</v>
      </c>
      <c r="F1344" t="str">
        <f>"TRASH REMOVAL 01/07-01/11/P4"</f>
        <v>TRASH REMOVAL 01/07-01/11/P4</v>
      </c>
      <c r="G1344" s="2">
        <v>143</v>
      </c>
      <c r="H1344" t="str">
        <f>"TRASH REMOVAL 01/07-01/11/P4"</f>
        <v>TRASH REMOVAL 01/07-01/11/P4</v>
      </c>
    </row>
    <row r="1345" spans="1:8" x14ac:dyDescent="0.25">
      <c r="A1345" t="s">
        <v>448</v>
      </c>
      <c r="B1345">
        <v>80764</v>
      </c>
      <c r="C1345" s="2">
        <v>461.5</v>
      </c>
      <c r="D1345" s="1">
        <v>43493</v>
      </c>
      <c r="E1345" t="str">
        <f>"201901226717"</f>
        <v>201901226717</v>
      </c>
      <c r="F1345" t="str">
        <f>"TRASH REMOVAL 01/14-01/25/PCT4"</f>
        <v>TRASH REMOVAL 01/14-01/25/PCT4</v>
      </c>
      <c r="G1345" s="2">
        <v>461.5</v>
      </c>
      <c r="H1345" t="str">
        <f>"TRASH REMOVAL 01/14-01/25/PCT4"</f>
        <v>TRASH REMOVAL 01/14-01/25/PCT4</v>
      </c>
    </row>
    <row r="1346" spans="1:8" x14ac:dyDescent="0.25">
      <c r="A1346" t="s">
        <v>449</v>
      </c>
      <c r="B1346">
        <v>80765</v>
      </c>
      <c r="C1346" s="2">
        <v>350</v>
      </c>
      <c r="D1346" s="1">
        <v>43493</v>
      </c>
      <c r="E1346" t="str">
        <f>"201901236754"</f>
        <v>201901236754</v>
      </c>
      <c r="F1346" t="str">
        <f>"JANUARY 6 BILL"</f>
        <v>JANUARY 6 BILL</v>
      </c>
      <c r="G1346" s="2">
        <v>350</v>
      </c>
      <c r="H1346" t="str">
        <f>"JANUARY EVALS"</f>
        <v>JANUARY EVALS</v>
      </c>
    </row>
    <row r="1347" spans="1:8" x14ac:dyDescent="0.25">
      <c r="A1347" t="s">
        <v>450</v>
      </c>
      <c r="B1347">
        <v>80462</v>
      </c>
      <c r="C1347" s="2">
        <v>114.24</v>
      </c>
      <c r="D1347" s="1">
        <v>43479</v>
      </c>
      <c r="E1347" t="str">
        <f>"201901046370"</f>
        <v>201901046370</v>
      </c>
      <c r="F1347" t="str">
        <f>"MILEAGE REIMBURSEMENT"</f>
        <v>MILEAGE REIMBURSEMENT</v>
      </c>
      <c r="G1347" s="2">
        <v>69.760000000000005</v>
      </c>
      <c r="H1347" t="str">
        <f>"MILEAGE REIMBURSEMENT"</f>
        <v>MILEAGE REIMBURSEMENT</v>
      </c>
    </row>
    <row r="1348" spans="1:8" x14ac:dyDescent="0.25">
      <c r="E1348" t="str">
        <f>"201901046371"</f>
        <v>201901046371</v>
      </c>
      <c r="F1348" t="str">
        <f>"REIMBURSE MEALS/MILEAGE"</f>
        <v>REIMBURSE MEALS/MILEAGE</v>
      </c>
      <c r="G1348" s="2">
        <v>44.48</v>
      </c>
      <c r="H1348" t="str">
        <f>"REIMBURSE MEALS/MILEAGE"</f>
        <v>REIMBURSE MEALS/MILEAGE</v>
      </c>
    </row>
    <row r="1349" spans="1:8" x14ac:dyDescent="0.25">
      <c r="A1349" t="s">
        <v>451</v>
      </c>
      <c r="B1349">
        <v>301</v>
      </c>
      <c r="C1349" s="2">
        <v>18632.5</v>
      </c>
      <c r="D1349" s="1">
        <v>43480</v>
      </c>
      <c r="E1349" t="str">
        <f>"258"</f>
        <v>258</v>
      </c>
      <c r="F1349" t="str">
        <f>"MOWING/SHREDDING/PCT#1"</f>
        <v>MOWING/SHREDDING/PCT#1</v>
      </c>
      <c r="G1349" s="2">
        <v>5720</v>
      </c>
      <c r="H1349" t="str">
        <f>"MOWING/SHREDDING/PCT#1"</f>
        <v>MOWING/SHREDDING/PCT#1</v>
      </c>
    </row>
    <row r="1350" spans="1:8" x14ac:dyDescent="0.25">
      <c r="E1350" t="str">
        <f>"259"</f>
        <v>259</v>
      </c>
      <c r="F1350" t="str">
        <f>"CUT BACK TREES/PCT#2"</f>
        <v>CUT BACK TREES/PCT#2</v>
      </c>
      <c r="G1350" s="2">
        <v>7972.5</v>
      </c>
      <c r="H1350" t="str">
        <f>"CUT BACK TREES/PCT#2"</f>
        <v>CUT BACK TREES/PCT#2</v>
      </c>
    </row>
    <row r="1351" spans="1:8" x14ac:dyDescent="0.25">
      <c r="E1351" t="str">
        <f>"262"</f>
        <v>262</v>
      </c>
      <c r="F1351" t="str">
        <f>"HAUL OFF BRUSH/PCT#2"</f>
        <v>HAUL OFF BRUSH/PCT#2</v>
      </c>
      <c r="G1351" s="2">
        <v>4940</v>
      </c>
      <c r="H1351" t="str">
        <f>"HAUL OFF BRUSH/PCT#2"</f>
        <v>HAUL OFF BRUSH/PCT#2</v>
      </c>
    </row>
    <row r="1352" spans="1:8" x14ac:dyDescent="0.25">
      <c r="A1352" t="s">
        <v>451</v>
      </c>
      <c r="B1352">
        <v>364</v>
      </c>
      <c r="C1352" s="2">
        <v>8232.5</v>
      </c>
      <c r="D1352" s="1">
        <v>43494</v>
      </c>
      <c r="E1352" t="str">
        <f>"266"</f>
        <v>266</v>
      </c>
      <c r="F1352" t="str">
        <f>"CUT BACK TREES/HAUL OFF BRUSH"</f>
        <v>CUT BACK TREES/HAUL OFF BRUSH</v>
      </c>
      <c r="G1352" s="2">
        <v>8232.5</v>
      </c>
      <c r="H1352" t="str">
        <f>"CUT BACK TREES/HAUL OFF BRUSH"</f>
        <v>CUT BACK TREES/HAUL OFF BRUSH</v>
      </c>
    </row>
    <row r="1353" spans="1:8" x14ac:dyDescent="0.25">
      <c r="A1353" t="s">
        <v>452</v>
      </c>
      <c r="B1353">
        <v>311</v>
      </c>
      <c r="C1353" s="2">
        <v>6198.13</v>
      </c>
      <c r="D1353" s="1">
        <v>43480</v>
      </c>
      <c r="E1353" t="str">
        <f>"95099851"</f>
        <v>95099851</v>
      </c>
      <c r="F1353" t="str">
        <f>"ACCT#10187718/PCT#2"</f>
        <v>ACCT#10187718/PCT#2</v>
      </c>
      <c r="G1353" s="2">
        <v>2916.51</v>
      </c>
      <c r="H1353" t="str">
        <f>"ACCT#10187718/PCT#2"</f>
        <v>ACCT#10187718/PCT#2</v>
      </c>
    </row>
    <row r="1354" spans="1:8" x14ac:dyDescent="0.25">
      <c r="E1354" t="str">
        <f>"95118598"</f>
        <v>95118598</v>
      </c>
      <c r="F1354" t="str">
        <f>"ACCT#10187718/FUEL/PCT#2"</f>
        <v>ACCT#10187718/FUEL/PCT#2</v>
      </c>
      <c r="G1354" s="2">
        <v>3281.62</v>
      </c>
      <c r="H1354" t="str">
        <f>"ACCT#10187718/FUEL/PCT#2"</f>
        <v>ACCT#10187718/FUEL/PCT#2</v>
      </c>
    </row>
    <row r="1355" spans="1:8" x14ac:dyDescent="0.25">
      <c r="A1355" t="s">
        <v>452</v>
      </c>
      <c r="B1355">
        <v>369</v>
      </c>
      <c r="C1355" s="2">
        <v>4240.55</v>
      </c>
      <c r="D1355" s="1">
        <v>43494</v>
      </c>
      <c r="E1355" t="str">
        <f>"95127718"</f>
        <v>95127718</v>
      </c>
      <c r="F1355" t="str">
        <f>"ACCT#10187718/FUEL/PCT#2"</f>
        <v>ACCT#10187718/FUEL/PCT#2</v>
      </c>
      <c r="G1355" s="2">
        <v>4240.55</v>
      </c>
      <c r="H1355" t="str">
        <f>"ACCT#10187718/FUEL/PCT#2"</f>
        <v>ACCT#10187718/FUEL/PCT#2</v>
      </c>
    </row>
    <row r="1356" spans="1:8" x14ac:dyDescent="0.25">
      <c r="A1356" t="s">
        <v>453</v>
      </c>
      <c r="B1356">
        <v>80766</v>
      </c>
      <c r="C1356" s="2">
        <v>892.83</v>
      </c>
      <c r="D1356" s="1">
        <v>43493</v>
      </c>
      <c r="E1356" t="str">
        <f>"INV15173/INV15375"</f>
        <v>INV15173/INV15375</v>
      </c>
      <c r="F1356" t="str">
        <f>"EST43686"</f>
        <v>EST43686</v>
      </c>
      <c r="G1356" s="2">
        <v>892.83</v>
      </c>
      <c r="H1356" t="str">
        <f>"XS8"</f>
        <v>XS8</v>
      </c>
    </row>
    <row r="1357" spans="1:8" x14ac:dyDescent="0.25">
      <c r="E1357" t="str">
        <f>""</f>
        <v/>
      </c>
      <c r="F1357" t="str">
        <f>""</f>
        <v/>
      </c>
      <c r="H1357" t="str">
        <f>"UFSE"</f>
        <v>UFSE</v>
      </c>
    </row>
    <row r="1358" spans="1:8" x14ac:dyDescent="0.25">
      <c r="E1358" t="str">
        <f>""</f>
        <v/>
      </c>
      <c r="F1358" t="str">
        <f>""</f>
        <v/>
      </c>
      <c r="H1358" t="str">
        <f>"Pythoncablelock"</f>
        <v>Pythoncablelock</v>
      </c>
    </row>
    <row r="1359" spans="1:8" x14ac:dyDescent="0.25">
      <c r="E1359" t="str">
        <f>""</f>
        <v/>
      </c>
      <c r="F1359" t="str">
        <f>""</f>
        <v/>
      </c>
      <c r="H1359" t="str">
        <f>"32GBSD"</f>
        <v>32GBSD</v>
      </c>
    </row>
    <row r="1360" spans="1:8" x14ac:dyDescent="0.25">
      <c r="E1360" t="str">
        <f>""</f>
        <v/>
      </c>
      <c r="F1360" t="str">
        <f>""</f>
        <v/>
      </c>
      <c r="H1360" t="str">
        <f>"Discount"</f>
        <v>Discount</v>
      </c>
    </row>
    <row r="1361" spans="1:8" x14ac:dyDescent="0.25">
      <c r="A1361" t="s">
        <v>454</v>
      </c>
      <c r="B1361">
        <v>80463</v>
      </c>
      <c r="C1361" s="2">
        <v>50</v>
      </c>
      <c r="D1361" s="1">
        <v>43479</v>
      </c>
      <c r="E1361" t="str">
        <f>"9339515914"</f>
        <v>9339515914</v>
      </c>
      <c r="F1361" t="str">
        <f>"INV 9339515914"</f>
        <v>INV 9339515914</v>
      </c>
      <c r="G1361" s="2">
        <v>50</v>
      </c>
      <c r="H1361" t="str">
        <f>"INV 9339515914"</f>
        <v>INV 9339515914</v>
      </c>
    </row>
    <row r="1362" spans="1:8" x14ac:dyDescent="0.25">
      <c r="A1362" t="s">
        <v>455</v>
      </c>
      <c r="B1362">
        <v>80464</v>
      </c>
      <c r="C1362" s="2">
        <v>978</v>
      </c>
      <c r="D1362" s="1">
        <v>43479</v>
      </c>
      <c r="E1362" t="str">
        <f>"201901086414"</f>
        <v>201901086414</v>
      </c>
      <c r="F1362" t="str">
        <f>"SANE EXAM - 18-S-05754"</f>
        <v>SANE EXAM - 18-S-05754</v>
      </c>
      <c r="G1362" s="2">
        <v>489</v>
      </c>
      <c r="H1362" t="str">
        <f>"SANE EXAM - 18-S-05754"</f>
        <v>SANE EXAM - 18-S-05754</v>
      </c>
    </row>
    <row r="1363" spans="1:8" x14ac:dyDescent="0.25">
      <c r="E1363" t="str">
        <f>"201901086415"</f>
        <v>201901086415</v>
      </c>
      <c r="F1363" t="str">
        <f>"SANE EXAM - 18-S-06292"</f>
        <v>SANE EXAM - 18-S-06292</v>
      </c>
      <c r="G1363" s="2">
        <v>489</v>
      </c>
      <c r="H1363" t="str">
        <f>"SANE EXAM - 18-S-06292"</f>
        <v>SANE EXAM - 18-S-06292</v>
      </c>
    </row>
    <row r="1364" spans="1:8" x14ac:dyDescent="0.25">
      <c r="A1364" t="s">
        <v>456</v>
      </c>
      <c r="B1364">
        <v>80767</v>
      </c>
      <c r="C1364" s="2">
        <v>75</v>
      </c>
      <c r="D1364" s="1">
        <v>43493</v>
      </c>
      <c r="E1364" t="str">
        <f>"12910"</f>
        <v>12910</v>
      </c>
      <c r="F1364" t="str">
        <f>"SERVICE"</f>
        <v>SERVICE</v>
      </c>
      <c r="G1364" s="2">
        <v>75</v>
      </c>
      <c r="H1364" t="str">
        <f>"SERVICE"</f>
        <v>SERVICE</v>
      </c>
    </row>
    <row r="1365" spans="1:8" x14ac:dyDescent="0.25">
      <c r="A1365" t="s">
        <v>457</v>
      </c>
      <c r="B1365">
        <v>42</v>
      </c>
      <c r="C1365" s="2">
        <v>125092.22</v>
      </c>
      <c r="D1365" s="1">
        <v>43487</v>
      </c>
      <c r="E1365" t="str">
        <f>"201901226722"</f>
        <v>201901226722</v>
      </c>
      <c r="F1365" t="str">
        <f>"HRA ROLLOVER PYMT"</f>
        <v>HRA ROLLOVER PYMT</v>
      </c>
      <c r="G1365" s="2">
        <v>113090.74</v>
      </c>
      <c r="H1365" t="str">
        <f>"TOTAL ADMINISTRATIVE SERVICES"</f>
        <v>TOTAL ADMINISTRATIVE SERVICES</v>
      </c>
    </row>
    <row r="1366" spans="1:8" x14ac:dyDescent="0.25">
      <c r="E1366" t="str">
        <f>"201901226723"</f>
        <v>201901226723</v>
      </c>
      <c r="F1366" t="str">
        <f>"FSA ROLLOVER PYMT"</f>
        <v>FSA ROLLOVER PYMT</v>
      </c>
      <c r="G1366" s="2">
        <v>12001.48</v>
      </c>
      <c r="H1366" t="str">
        <f>"FSA ROLLOVER PYMT"</f>
        <v>FSA ROLLOVER PYMT</v>
      </c>
    </row>
    <row r="1367" spans="1:8" x14ac:dyDescent="0.25">
      <c r="A1367" t="s">
        <v>458</v>
      </c>
      <c r="B1367">
        <v>298</v>
      </c>
      <c r="C1367" s="2">
        <v>52.56</v>
      </c>
      <c r="D1367" s="1">
        <v>43480</v>
      </c>
      <c r="E1367" t="str">
        <f>"19010201"</f>
        <v>19010201</v>
      </c>
      <c r="F1367" t="str">
        <f>"SVC CONTRACT 12/03/18-01/02/19"</f>
        <v>SVC CONTRACT 12/03/18-01/02/19</v>
      </c>
      <c r="G1367" s="2">
        <v>52.56</v>
      </c>
      <c r="H1367" t="str">
        <f>"SVC CONTRACT 12/03/18-01/02/19"</f>
        <v>SVC CONTRACT 12/03/18-01/02/19</v>
      </c>
    </row>
    <row r="1368" spans="1:8" x14ac:dyDescent="0.25">
      <c r="A1368" t="s">
        <v>459</v>
      </c>
      <c r="B1368">
        <v>80465</v>
      </c>
      <c r="C1368" s="2">
        <v>124.76</v>
      </c>
      <c r="D1368" s="1">
        <v>43479</v>
      </c>
      <c r="E1368" t="str">
        <f>"56731"</f>
        <v>56731</v>
      </c>
      <c r="F1368" t="str">
        <f>"SOLENOID/PCT#3"</f>
        <v>SOLENOID/PCT#3</v>
      </c>
      <c r="G1368" s="2">
        <v>124.76</v>
      </c>
      <c r="H1368" t="str">
        <f>"SOLENOID/PCT#3"</f>
        <v>SOLENOID/PCT#3</v>
      </c>
    </row>
    <row r="1369" spans="1:8" x14ac:dyDescent="0.25">
      <c r="A1369" t="s">
        <v>460</v>
      </c>
      <c r="B1369">
        <v>80768</v>
      </c>
      <c r="C1369" s="2">
        <v>139.38</v>
      </c>
      <c r="D1369" s="1">
        <v>43493</v>
      </c>
      <c r="E1369" t="str">
        <f>"48339"</f>
        <v>48339</v>
      </c>
      <c r="F1369" t="str">
        <f>"GRAND JURY HANDBOOK/SHIPPING"</f>
        <v>GRAND JURY HANDBOOK/SHIPPING</v>
      </c>
      <c r="G1369" s="2">
        <v>139.38</v>
      </c>
      <c r="H1369" t="str">
        <f>"GRAND JURY HANDBOOK/SHIPPING"</f>
        <v>GRAND JURY HANDBOOK/SHIPPING</v>
      </c>
    </row>
    <row r="1370" spans="1:8" x14ac:dyDescent="0.25">
      <c r="A1370" t="s">
        <v>461</v>
      </c>
      <c r="B1370">
        <v>401</v>
      </c>
      <c r="C1370" s="2">
        <v>209</v>
      </c>
      <c r="D1370" s="1">
        <v>43494</v>
      </c>
      <c r="E1370" t="str">
        <f>"1902059"</f>
        <v>1902059</v>
      </c>
      <c r="F1370" t="str">
        <f>"MONTHLY CONTRACT BILLING"</f>
        <v>MONTHLY CONTRACT BILLING</v>
      </c>
      <c r="G1370" s="2">
        <v>209</v>
      </c>
      <c r="H1370" t="str">
        <f>"MONTHLY CONTRACT BILLING"</f>
        <v>MONTHLY CONTRACT BILLING</v>
      </c>
    </row>
    <row r="1371" spans="1:8" x14ac:dyDescent="0.25">
      <c r="A1371" t="s">
        <v>462</v>
      </c>
      <c r="B1371">
        <v>327</v>
      </c>
      <c r="C1371" s="2">
        <v>196.2</v>
      </c>
      <c r="D1371" s="1">
        <v>43480</v>
      </c>
      <c r="E1371" t="str">
        <f>"201812286059"</f>
        <v>201812286059</v>
      </c>
      <c r="F1371" t="str">
        <f>"REIMBURSE MILEAGE"</f>
        <v>REIMBURSE MILEAGE</v>
      </c>
      <c r="G1371" s="2">
        <v>196.2</v>
      </c>
      <c r="H1371" t="str">
        <f>"REIMBURSE MILEAGE"</f>
        <v>REIMBURSE MILEAGE</v>
      </c>
    </row>
    <row r="1372" spans="1:8" x14ac:dyDescent="0.25">
      <c r="A1372" t="s">
        <v>463</v>
      </c>
      <c r="B1372">
        <v>80466</v>
      </c>
      <c r="C1372" s="2">
        <v>3365.76</v>
      </c>
      <c r="D1372" s="1">
        <v>43479</v>
      </c>
      <c r="E1372" t="str">
        <f>"0815298-IN"</f>
        <v>0815298-IN</v>
      </c>
      <c r="F1372" t="str">
        <f>"ACCT#01-0112917/PCT#3"</f>
        <v>ACCT#01-0112917/PCT#3</v>
      </c>
      <c r="G1372" s="2">
        <v>3365.76</v>
      </c>
      <c r="H1372" t="str">
        <f>"ACCT#01-0112917/PCT#3"</f>
        <v>ACCT#01-0112917/PCT#3</v>
      </c>
    </row>
    <row r="1373" spans="1:8" x14ac:dyDescent="0.25">
      <c r="A1373" t="s">
        <v>463</v>
      </c>
      <c r="B1373">
        <v>80769</v>
      </c>
      <c r="C1373" s="2">
        <v>12415.1</v>
      </c>
      <c r="D1373" s="1">
        <v>43493</v>
      </c>
      <c r="E1373" t="str">
        <f>"0784176-IN"</f>
        <v>0784176-IN</v>
      </c>
      <c r="F1373" t="str">
        <f>"INV 0784176-IN"</f>
        <v>INV 0784176-IN</v>
      </c>
      <c r="G1373" s="2">
        <v>424.4</v>
      </c>
      <c r="H1373" t="str">
        <f>"INV 0784176-IN"</f>
        <v>INV 0784176-IN</v>
      </c>
    </row>
    <row r="1374" spans="1:8" x14ac:dyDescent="0.25">
      <c r="E1374" t="str">
        <f>"0817011-IN"</f>
        <v>0817011-IN</v>
      </c>
      <c r="F1374" t="str">
        <f>"ACCT#01-0112917/FUEL/PCT#4"</f>
        <v>ACCT#01-0112917/FUEL/PCT#4</v>
      </c>
      <c r="G1374" s="2">
        <v>5215</v>
      </c>
      <c r="H1374" t="str">
        <f>"ACCT#01-0112917/FUEL/PCT#4"</f>
        <v>ACCT#01-0112917/FUEL/PCT#4</v>
      </c>
    </row>
    <row r="1375" spans="1:8" x14ac:dyDescent="0.25">
      <c r="E1375" t="str">
        <f>"0820158-IN"</f>
        <v>0820158-IN</v>
      </c>
      <c r="F1375" t="str">
        <f>"BOL# 296082 / PCT #2"</f>
        <v>BOL# 296082 / PCT #2</v>
      </c>
      <c r="G1375" s="2">
        <v>2740.76</v>
      </c>
      <c r="H1375" t="str">
        <f>"BOL# 296082 / PCT #2"</f>
        <v>BOL# 296082 / PCT #2</v>
      </c>
    </row>
    <row r="1376" spans="1:8" x14ac:dyDescent="0.25">
      <c r="E1376" t="str">
        <f>"0820545-IN"</f>
        <v>0820545-IN</v>
      </c>
      <c r="F1376" t="str">
        <f>"ACCT#01-0112917/FUEL/PCT#3"</f>
        <v>ACCT#01-0112917/FUEL/PCT#3</v>
      </c>
      <c r="G1376" s="2">
        <v>4034.94</v>
      </c>
      <c r="H1376" t="str">
        <f>"ACCT#01-0112917/FUEL/PCT#3"</f>
        <v>ACCT#01-0112917/FUEL/PCT#3</v>
      </c>
    </row>
    <row r="1377" spans="1:8" x14ac:dyDescent="0.25">
      <c r="A1377" t="s">
        <v>464</v>
      </c>
      <c r="B1377">
        <v>80770</v>
      </c>
      <c r="C1377" s="2">
        <v>8120.84</v>
      </c>
      <c r="D1377" s="1">
        <v>43493</v>
      </c>
      <c r="E1377" t="str">
        <f>"98168"</f>
        <v>98168</v>
      </c>
      <c r="F1377" t="str">
        <f>"BULLROCK/PCT#1"</f>
        <v>BULLROCK/PCT#1</v>
      </c>
      <c r="G1377" s="2">
        <v>3661.7</v>
      </c>
      <c r="H1377" t="str">
        <f>"BULLROCK/PCT#1"</f>
        <v>BULLROCK/PCT#1</v>
      </c>
    </row>
    <row r="1378" spans="1:8" x14ac:dyDescent="0.25">
      <c r="E1378" t="str">
        <f>"98192"</f>
        <v>98192</v>
      </c>
      <c r="F1378" t="str">
        <f>"BULLROCK/PCT#1"</f>
        <v>BULLROCK/PCT#1</v>
      </c>
      <c r="G1378" s="2">
        <v>2786.28</v>
      </c>
      <c r="H1378" t="str">
        <f>"BULLROCK/PCT#1"</f>
        <v>BULLROCK/PCT#1</v>
      </c>
    </row>
    <row r="1379" spans="1:8" x14ac:dyDescent="0.25">
      <c r="E1379" t="str">
        <f>"98217"</f>
        <v>98217</v>
      </c>
      <c r="F1379" t="str">
        <f>"BULLROCK/PCT#1"</f>
        <v>BULLROCK/PCT#1</v>
      </c>
      <c r="G1379" s="2">
        <v>846.3</v>
      </c>
      <c r="H1379" t="str">
        <f>"BULLROCK/PCT#1"</f>
        <v>BULLROCK/PCT#1</v>
      </c>
    </row>
    <row r="1380" spans="1:8" x14ac:dyDescent="0.25">
      <c r="E1380" t="str">
        <f>"98240"</f>
        <v>98240</v>
      </c>
      <c r="F1380" t="str">
        <f>"BULLROCK/PCT#1"</f>
        <v>BULLROCK/PCT#1</v>
      </c>
      <c r="G1380" s="2">
        <v>826.56</v>
      </c>
      <c r="H1380" t="str">
        <f>"BULLROCK/PCT#1"</f>
        <v>BULLROCK/PCT#1</v>
      </c>
    </row>
    <row r="1381" spans="1:8" x14ac:dyDescent="0.25">
      <c r="A1381" t="s">
        <v>465</v>
      </c>
      <c r="B1381">
        <v>80467</v>
      </c>
      <c r="C1381" s="2">
        <v>400</v>
      </c>
      <c r="D1381" s="1">
        <v>43479</v>
      </c>
      <c r="E1381" t="str">
        <f>"201901076399"</f>
        <v>201901076399</v>
      </c>
      <c r="F1381" t="str">
        <f>"JANUARY BOND RENEWALS"</f>
        <v>JANUARY BOND RENEWALS</v>
      </c>
      <c r="G1381" s="2">
        <v>400</v>
      </c>
      <c r="H1381" t="str">
        <f>"JANUARY BOND RENEWALS"</f>
        <v>JANUARY BOND RENEWALS</v>
      </c>
    </row>
    <row r="1382" spans="1:8" x14ac:dyDescent="0.25">
      <c r="A1382" t="s">
        <v>466</v>
      </c>
      <c r="B1382">
        <v>80468</v>
      </c>
      <c r="C1382" s="2">
        <v>60</v>
      </c>
      <c r="D1382" s="1">
        <v>43479</v>
      </c>
      <c r="E1382" t="str">
        <f>"103440  01/01/2019"</f>
        <v>103440  01/01/2019</v>
      </c>
      <c r="F1382" t="str">
        <f>"JPCA MEMBERSHIP-AUGUST MEDUNA"</f>
        <v>JPCA MEMBERSHIP-AUGUST MEDUNA</v>
      </c>
      <c r="G1382" s="2">
        <v>60</v>
      </c>
      <c r="H1382" t="str">
        <f>"JPCA MEMBERSHIP-AUGUST MEDUNA"</f>
        <v>JPCA MEMBERSHIP-AUGUST MEDUNA</v>
      </c>
    </row>
    <row r="1383" spans="1:8" x14ac:dyDescent="0.25">
      <c r="A1383" t="s">
        <v>466</v>
      </c>
      <c r="B1383">
        <v>80469</v>
      </c>
      <c r="C1383" s="2">
        <v>60</v>
      </c>
      <c r="D1383" s="1">
        <v>43479</v>
      </c>
      <c r="E1383" t="str">
        <f>"202785-R. DAVIS"</f>
        <v>202785-R. DAVIS</v>
      </c>
      <c r="F1383" t="str">
        <f>"JPCA MEMBERSHIP-RAYMAH DAVIS"</f>
        <v>JPCA MEMBERSHIP-RAYMAH DAVIS</v>
      </c>
      <c r="G1383" s="2">
        <v>60</v>
      </c>
      <c r="H1383" t="str">
        <f>"JPCA MEMBERSHIP-RAYMAH DAVIS"</f>
        <v>JPCA MEMBERSHIP-RAYMAH DAVIS</v>
      </c>
    </row>
    <row r="1384" spans="1:8" x14ac:dyDescent="0.25">
      <c r="A1384" t="s">
        <v>466</v>
      </c>
      <c r="B1384">
        <v>80470</v>
      </c>
      <c r="C1384" s="2">
        <v>125</v>
      </c>
      <c r="D1384" s="1">
        <v>43479</v>
      </c>
      <c r="E1384" t="str">
        <f>"203170-L HARMON"</f>
        <v>203170-L HARMON</v>
      </c>
      <c r="F1384" t="str">
        <f>"TACA MEMBERSHIP-LINDA HARMON"</f>
        <v>TACA MEMBERSHIP-LINDA HARMON</v>
      </c>
      <c r="G1384" s="2">
        <v>125</v>
      </c>
      <c r="H1384" t="str">
        <f>"TACA MEMBERSHIP-LINDA HARMON"</f>
        <v>TACA MEMBERSHIP-LINDA HARMON</v>
      </c>
    </row>
    <row r="1385" spans="1:8" x14ac:dyDescent="0.25">
      <c r="A1385" t="s">
        <v>466</v>
      </c>
      <c r="B1385">
        <v>80471</v>
      </c>
      <c r="C1385" s="2">
        <v>60</v>
      </c>
      <c r="D1385" s="1">
        <v>43479</v>
      </c>
      <c r="E1385" t="str">
        <f>"20977  01/01/2019"</f>
        <v>20977  01/01/2019</v>
      </c>
      <c r="F1385" t="str">
        <f>"JPCA MEMBERSHIP DUES-K. HANNA"</f>
        <v>JPCA MEMBERSHIP DUES-K. HANNA</v>
      </c>
      <c r="G1385" s="2">
        <v>60</v>
      </c>
      <c r="H1385" t="str">
        <f>"JPCA MEMBERSHIP DUES-K. HANNA"</f>
        <v>JPCA MEMBERSHIP DUES-K. HANNA</v>
      </c>
    </row>
    <row r="1386" spans="1:8" x14ac:dyDescent="0.25">
      <c r="A1386" t="s">
        <v>466</v>
      </c>
      <c r="B1386">
        <v>80472</v>
      </c>
      <c r="C1386" s="2">
        <v>35</v>
      </c>
      <c r="D1386" s="1">
        <v>43479</v>
      </c>
      <c r="E1386" t="str">
        <f>"217451-M. BURNS"</f>
        <v>217451-M. BURNS</v>
      </c>
      <c r="F1386" t="str">
        <f>"JPCA MEMBERSHIP-MARILYN BURNS"</f>
        <v>JPCA MEMBERSHIP-MARILYN BURNS</v>
      </c>
      <c r="G1386" s="2">
        <v>35</v>
      </c>
      <c r="H1386" t="str">
        <f>"JPCA MEMBERSHIP-MARILYN BURNS"</f>
        <v>JPCA MEMBERSHIP-MARILYN BURNS</v>
      </c>
    </row>
    <row r="1387" spans="1:8" x14ac:dyDescent="0.25">
      <c r="A1387" t="s">
        <v>466</v>
      </c>
      <c r="B1387">
        <v>80473</v>
      </c>
      <c r="C1387" s="2">
        <v>50</v>
      </c>
      <c r="D1387" s="1">
        <v>43479</v>
      </c>
      <c r="E1387" t="str">
        <f>"231551-K. FOSTER"</f>
        <v>231551-K. FOSTER</v>
      </c>
      <c r="F1387" t="str">
        <f>"TACA MEMBERSHIP-KATHY FOSTER"</f>
        <v>TACA MEMBERSHIP-KATHY FOSTER</v>
      </c>
      <c r="G1387" s="2">
        <v>50</v>
      </c>
      <c r="H1387" t="str">
        <f>"MEMBERSHIP DUES-KATHY FOSTER"</f>
        <v>MEMBERSHIP DUES-KATHY FOSTER</v>
      </c>
    </row>
    <row r="1388" spans="1:8" x14ac:dyDescent="0.25">
      <c r="A1388" t="s">
        <v>466</v>
      </c>
      <c r="B1388">
        <v>80474</v>
      </c>
      <c r="C1388" s="2">
        <v>50</v>
      </c>
      <c r="D1388" s="1">
        <v>43479</v>
      </c>
      <c r="E1388" t="str">
        <f>"231552-J. SCHANALS"</f>
        <v>231552-J. SCHANALS</v>
      </c>
      <c r="F1388" t="str">
        <f>"TACA MEMBERSHIP-JOYCE SCHANALS"</f>
        <v>TACA MEMBERSHIP-JOYCE SCHANALS</v>
      </c>
      <c r="G1388" s="2">
        <v>50</v>
      </c>
      <c r="H1388" t="str">
        <f>"TACA MEMBERSHIP-JOYCE SCHANALS"</f>
        <v>TACA MEMBERSHIP-JOYCE SCHANALS</v>
      </c>
    </row>
    <row r="1389" spans="1:8" x14ac:dyDescent="0.25">
      <c r="A1389" t="s">
        <v>466</v>
      </c>
      <c r="B1389">
        <v>80475</v>
      </c>
      <c r="C1389" s="2">
        <v>35</v>
      </c>
      <c r="D1389" s="1">
        <v>43479</v>
      </c>
      <c r="E1389" t="str">
        <f>"240506-N. RAGLAND"</f>
        <v>240506-N. RAGLAND</v>
      </c>
      <c r="F1389" t="str">
        <f>"JPCA MEMBERSHIP-NANCY RAGLAND"</f>
        <v>JPCA MEMBERSHIP-NANCY RAGLAND</v>
      </c>
      <c r="G1389" s="2">
        <v>35</v>
      </c>
      <c r="H1389" t="str">
        <f>"JPCA MEMBERSHIP-NANCY RAGLAND"</f>
        <v>JPCA MEMBERSHIP-NANCY RAGLAND</v>
      </c>
    </row>
    <row r="1390" spans="1:8" x14ac:dyDescent="0.25">
      <c r="A1390" t="s">
        <v>466</v>
      </c>
      <c r="B1390">
        <v>80476</v>
      </c>
      <c r="C1390" s="2">
        <v>35</v>
      </c>
      <c r="D1390" s="1">
        <v>43479</v>
      </c>
      <c r="E1390" t="str">
        <f>"240641  01/01/2019"</f>
        <v>240641  01/01/2019</v>
      </c>
      <c r="F1390" t="str">
        <f>"JPCA MEMBERSHIP-DENA TINER"</f>
        <v>JPCA MEMBERSHIP-DENA TINER</v>
      </c>
      <c r="G1390" s="2">
        <v>35</v>
      </c>
      <c r="H1390" t="str">
        <f>"JPCA MEMBERSHIP-DENA TINER"</f>
        <v>JPCA MEMBERSHIP-DENA TINER</v>
      </c>
    </row>
    <row r="1391" spans="1:8" x14ac:dyDescent="0.25">
      <c r="A1391" t="s">
        <v>466</v>
      </c>
      <c r="B1391">
        <v>80477</v>
      </c>
      <c r="C1391" s="2">
        <v>35</v>
      </c>
      <c r="D1391" s="1">
        <v>43479</v>
      </c>
      <c r="E1391" t="str">
        <f>"240790"</f>
        <v>240790</v>
      </c>
      <c r="F1391" t="str">
        <f>"JPCA MEMBERSHIP-D. MONTOYA"</f>
        <v>JPCA MEMBERSHIP-D. MONTOYA</v>
      </c>
      <c r="G1391" s="2">
        <v>35</v>
      </c>
      <c r="H1391" t="str">
        <f>"JPCA MEMBERSHIP-D. MONTOYA"</f>
        <v>JPCA MEMBERSHIP-D. MONTOYA</v>
      </c>
    </row>
    <row r="1392" spans="1:8" x14ac:dyDescent="0.25">
      <c r="A1392" t="s">
        <v>466</v>
      </c>
      <c r="B1392">
        <v>80478</v>
      </c>
      <c r="C1392" s="2">
        <v>4703.8100000000004</v>
      </c>
      <c r="D1392" s="1">
        <v>43479</v>
      </c>
      <c r="E1392" t="str">
        <f>"D-2019-1-0110"</f>
        <v>D-2019-1-0110</v>
      </c>
      <c r="F1392" t="str">
        <f>"UNEMPLOYMENT QTR END 12/31/18"</f>
        <v>UNEMPLOYMENT QTR END 12/31/18</v>
      </c>
      <c r="G1392" s="2">
        <v>4703.8100000000004</v>
      </c>
      <c r="H1392" t="str">
        <f t="shared" ref="H1392:H1429" si="22">"UNEMPLOYMENT QTR END 12/31/18"</f>
        <v>UNEMPLOYMENT QTR END 12/31/18</v>
      </c>
    </row>
    <row r="1393" spans="5:8" x14ac:dyDescent="0.25">
      <c r="E1393" t="str">
        <f>""</f>
        <v/>
      </c>
      <c r="F1393" t="str">
        <f>""</f>
        <v/>
      </c>
      <c r="H1393" t="str">
        <f t="shared" si="22"/>
        <v>UNEMPLOYMENT QTR END 12/31/18</v>
      </c>
    </row>
    <row r="1394" spans="5:8" x14ac:dyDescent="0.25">
      <c r="E1394" t="str">
        <f>""</f>
        <v/>
      </c>
      <c r="F1394" t="str">
        <f>""</f>
        <v/>
      </c>
      <c r="H1394" t="str">
        <f t="shared" si="22"/>
        <v>UNEMPLOYMENT QTR END 12/31/18</v>
      </c>
    </row>
    <row r="1395" spans="5:8" x14ac:dyDescent="0.25">
      <c r="E1395" t="str">
        <f>""</f>
        <v/>
      </c>
      <c r="F1395" t="str">
        <f>""</f>
        <v/>
      </c>
      <c r="H1395" t="str">
        <f t="shared" si="22"/>
        <v>UNEMPLOYMENT QTR END 12/31/18</v>
      </c>
    </row>
    <row r="1396" spans="5:8" x14ac:dyDescent="0.25">
      <c r="E1396" t="str">
        <f>""</f>
        <v/>
      </c>
      <c r="F1396" t="str">
        <f>""</f>
        <v/>
      </c>
      <c r="H1396" t="str">
        <f t="shared" si="22"/>
        <v>UNEMPLOYMENT QTR END 12/31/18</v>
      </c>
    </row>
    <row r="1397" spans="5:8" x14ac:dyDescent="0.25">
      <c r="E1397" t="str">
        <f>""</f>
        <v/>
      </c>
      <c r="F1397" t="str">
        <f>""</f>
        <v/>
      </c>
      <c r="H1397" t="str">
        <f t="shared" si="22"/>
        <v>UNEMPLOYMENT QTR END 12/31/18</v>
      </c>
    </row>
    <row r="1398" spans="5:8" x14ac:dyDescent="0.25">
      <c r="E1398" t="str">
        <f>""</f>
        <v/>
      </c>
      <c r="F1398" t="str">
        <f>""</f>
        <v/>
      </c>
      <c r="H1398" t="str">
        <f t="shared" si="22"/>
        <v>UNEMPLOYMENT QTR END 12/31/18</v>
      </c>
    </row>
    <row r="1399" spans="5:8" x14ac:dyDescent="0.25">
      <c r="E1399" t="str">
        <f>""</f>
        <v/>
      </c>
      <c r="F1399" t="str">
        <f>""</f>
        <v/>
      </c>
      <c r="H1399" t="str">
        <f t="shared" si="22"/>
        <v>UNEMPLOYMENT QTR END 12/31/18</v>
      </c>
    </row>
    <row r="1400" spans="5:8" x14ac:dyDescent="0.25">
      <c r="E1400" t="str">
        <f>""</f>
        <v/>
      </c>
      <c r="F1400" t="str">
        <f>""</f>
        <v/>
      </c>
      <c r="H1400" t="str">
        <f t="shared" si="22"/>
        <v>UNEMPLOYMENT QTR END 12/31/18</v>
      </c>
    </row>
    <row r="1401" spans="5:8" x14ac:dyDescent="0.25">
      <c r="E1401" t="str">
        <f>""</f>
        <v/>
      </c>
      <c r="F1401" t="str">
        <f>""</f>
        <v/>
      </c>
      <c r="H1401" t="str">
        <f t="shared" si="22"/>
        <v>UNEMPLOYMENT QTR END 12/31/18</v>
      </c>
    </row>
    <row r="1402" spans="5:8" x14ac:dyDescent="0.25">
      <c r="E1402" t="str">
        <f>""</f>
        <v/>
      </c>
      <c r="F1402" t="str">
        <f>""</f>
        <v/>
      </c>
      <c r="H1402" t="str">
        <f t="shared" si="22"/>
        <v>UNEMPLOYMENT QTR END 12/31/18</v>
      </c>
    </row>
    <row r="1403" spans="5:8" x14ac:dyDescent="0.25">
      <c r="E1403" t="str">
        <f>""</f>
        <v/>
      </c>
      <c r="F1403" t="str">
        <f>""</f>
        <v/>
      </c>
      <c r="H1403" t="str">
        <f t="shared" si="22"/>
        <v>UNEMPLOYMENT QTR END 12/31/18</v>
      </c>
    </row>
    <row r="1404" spans="5:8" x14ac:dyDescent="0.25">
      <c r="E1404" t="str">
        <f>""</f>
        <v/>
      </c>
      <c r="F1404" t="str">
        <f>""</f>
        <v/>
      </c>
      <c r="H1404" t="str">
        <f t="shared" si="22"/>
        <v>UNEMPLOYMENT QTR END 12/31/18</v>
      </c>
    </row>
    <row r="1405" spans="5:8" x14ac:dyDescent="0.25">
      <c r="E1405" t="str">
        <f>""</f>
        <v/>
      </c>
      <c r="F1405" t="str">
        <f>""</f>
        <v/>
      </c>
      <c r="H1405" t="str">
        <f t="shared" si="22"/>
        <v>UNEMPLOYMENT QTR END 12/31/18</v>
      </c>
    </row>
    <row r="1406" spans="5:8" x14ac:dyDescent="0.25">
      <c r="E1406" t="str">
        <f>""</f>
        <v/>
      </c>
      <c r="F1406" t="str">
        <f>""</f>
        <v/>
      </c>
      <c r="H1406" t="str">
        <f t="shared" si="22"/>
        <v>UNEMPLOYMENT QTR END 12/31/18</v>
      </c>
    </row>
    <row r="1407" spans="5:8" x14ac:dyDescent="0.25">
      <c r="E1407" t="str">
        <f>""</f>
        <v/>
      </c>
      <c r="F1407" t="str">
        <f>""</f>
        <v/>
      </c>
      <c r="H1407" t="str">
        <f t="shared" si="22"/>
        <v>UNEMPLOYMENT QTR END 12/31/18</v>
      </c>
    </row>
    <row r="1408" spans="5:8" x14ac:dyDescent="0.25">
      <c r="E1408" t="str">
        <f>""</f>
        <v/>
      </c>
      <c r="F1408" t="str">
        <f>""</f>
        <v/>
      </c>
      <c r="H1408" t="str">
        <f t="shared" si="22"/>
        <v>UNEMPLOYMENT QTR END 12/31/18</v>
      </c>
    </row>
    <row r="1409" spans="5:8" x14ac:dyDescent="0.25">
      <c r="E1409" t="str">
        <f>""</f>
        <v/>
      </c>
      <c r="F1409" t="str">
        <f>""</f>
        <v/>
      </c>
      <c r="H1409" t="str">
        <f t="shared" si="22"/>
        <v>UNEMPLOYMENT QTR END 12/31/18</v>
      </c>
    </row>
    <row r="1410" spans="5:8" x14ac:dyDescent="0.25">
      <c r="E1410" t="str">
        <f>""</f>
        <v/>
      </c>
      <c r="F1410" t="str">
        <f>""</f>
        <v/>
      </c>
      <c r="H1410" t="str">
        <f t="shared" si="22"/>
        <v>UNEMPLOYMENT QTR END 12/31/18</v>
      </c>
    </row>
    <row r="1411" spans="5:8" x14ac:dyDescent="0.25">
      <c r="E1411" t="str">
        <f>""</f>
        <v/>
      </c>
      <c r="F1411" t="str">
        <f>""</f>
        <v/>
      </c>
      <c r="H1411" t="str">
        <f t="shared" si="22"/>
        <v>UNEMPLOYMENT QTR END 12/31/18</v>
      </c>
    </row>
    <row r="1412" spans="5:8" x14ac:dyDescent="0.25">
      <c r="E1412" t="str">
        <f>""</f>
        <v/>
      </c>
      <c r="F1412" t="str">
        <f>""</f>
        <v/>
      </c>
      <c r="H1412" t="str">
        <f t="shared" si="22"/>
        <v>UNEMPLOYMENT QTR END 12/31/18</v>
      </c>
    </row>
    <row r="1413" spans="5:8" x14ac:dyDescent="0.25">
      <c r="E1413" t="str">
        <f>""</f>
        <v/>
      </c>
      <c r="F1413" t="str">
        <f>""</f>
        <v/>
      </c>
      <c r="H1413" t="str">
        <f t="shared" si="22"/>
        <v>UNEMPLOYMENT QTR END 12/31/18</v>
      </c>
    </row>
    <row r="1414" spans="5:8" x14ac:dyDescent="0.25">
      <c r="E1414" t="str">
        <f>""</f>
        <v/>
      </c>
      <c r="F1414" t="str">
        <f>""</f>
        <v/>
      </c>
      <c r="H1414" t="str">
        <f t="shared" si="22"/>
        <v>UNEMPLOYMENT QTR END 12/31/18</v>
      </c>
    </row>
    <row r="1415" spans="5:8" x14ac:dyDescent="0.25">
      <c r="E1415" t="str">
        <f>""</f>
        <v/>
      </c>
      <c r="F1415" t="str">
        <f>""</f>
        <v/>
      </c>
      <c r="H1415" t="str">
        <f t="shared" si="22"/>
        <v>UNEMPLOYMENT QTR END 12/31/18</v>
      </c>
    </row>
    <row r="1416" spans="5:8" x14ac:dyDescent="0.25">
      <c r="E1416" t="str">
        <f>""</f>
        <v/>
      </c>
      <c r="F1416" t="str">
        <f>""</f>
        <v/>
      </c>
      <c r="H1416" t="str">
        <f t="shared" si="22"/>
        <v>UNEMPLOYMENT QTR END 12/31/18</v>
      </c>
    </row>
    <row r="1417" spans="5:8" x14ac:dyDescent="0.25">
      <c r="E1417" t="str">
        <f>""</f>
        <v/>
      </c>
      <c r="F1417" t="str">
        <f>""</f>
        <v/>
      </c>
      <c r="H1417" t="str">
        <f t="shared" si="22"/>
        <v>UNEMPLOYMENT QTR END 12/31/18</v>
      </c>
    </row>
    <row r="1418" spans="5:8" x14ac:dyDescent="0.25">
      <c r="E1418" t="str">
        <f>""</f>
        <v/>
      </c>
      <c r="F1418" t="str">
        <f>""</f>
        <v/>
      </c>
      <c r="H1418" t="str">
        <f t="shared" si="22"/>
        <v>UNEMPLOYMENT QTR END 12/31/18</v>
      </c>
    </row>
    <row r="1419" spans="5:8" x14ac:dyDescent="0.25">
      <c r="E1419" t="str">
        <f>""</f>
        <v/>
      </c>
      <c r="F1419" t="str">
        <f>""</f>
        <v/>
      </c>
      <c r="H1419" t="str">
        <f t="shared" si="22"/>
        <v>UNEMPLOYMENT QTR END 12/31/18</v>
      </c>
    </row>
    <row r="1420" spans="5:8" x14ac:dyDescent="0.25">
      <c r="E1420" t="str">
        <f>""</f>
        <v/>
      </c>
      <c r="F1420" t="str">
        <f>""</f>
        <v/>
      </c>
      <c r="H1420" t="str">
        <f t="shared" si="22"/>
        <v>UNEMPLOYMENT QTR END 12/31/18</v>
      </c>
    </row>
    <row r="1421" spans="5:8" x14ac:dyDescent="0.25">
      <c r="E1421" t="str">
        <f>""</f>
        <v/>
      </c>
      <c r="F1421" t="str">
        <f>""</f>
        <v/>
      </c>
      <c r="H1421" t="str">
        <f t="shared" si="22"/>
        <v>UNEMPLOYMENT QTR END 12/31/18</v>
      </c>
    </row>
    <row r="1422" spans="5:8" x14ac:dyDescent="0.25">
      <c r="E1422" t="str">
        <f>""</f>
        <v/>
      </c>
      <c r="F1422" t="str">
        <f>""</f>
        <v/>
      </c>
      <c r="H1422" t="str">
        <f t="shared" si="22"/>
        <v>UNEMPLOYMENT QTR END 12/31/18</v>
      </c>
    </row>
    <row r="1423" spans="5:8" x14ac:dyDescent="0.25">
      <c r="E1423" t="str">
        <f>""</f>
        <v/>
      </c>
      <c r="F1423" t="str">
        <f>""</f>
        <v/>
      </c>
      <c r="H1423" t="str">
        <f t="shared" si="22"/>
        <v>UNEMPLOYMENT QTR END 12/31/18</v>
      </c>
    </row>
    <row r="1424" spans="5:8" x14ac:dyDescent="0.25">
      <c r="E1424" t="str">
        <f>""</f>
        <v/>
      </c>
      <c r="F1424" t="str">
        <f>""</f>
        <v/>
      </c>
      <c r="H1424" t="str">
        <f t="shared" si="22"/>
        <v>UNEMPLOYMENT QTR END 12/31/18</v>
      </c>
    </row>
    <row r="1425" spans="1:9" x14ac:dyDescent="0.25">
      <c r="E1425" t="str">
        <f>""</f>
        <v/>
      </c>
      <c r="F1425" t="str">
        <f>""</f>
        <v/>
      </c>
      <c r="H1425" t="str">
        <f t="shared" si="22"/>
        <v>UNEMPLOYMENT QTR END 12/31/18</v>
      </c>
    </row>
    <row r="1426" spans="1:9" x14ac:dyDescent="0.25">
      <c r="E1426" t="str">
        <f>""</f>
        <v/>
      </c>
      <c r="F1426" t="str">
        <f>""</f>
        <v/>
      </c>
      <c r="H1426" t="str">
        <f t="shared" si="22"/>
        <v>UNEMPLOYMENT QTR END 12/31/18</v>
      </c>
    </row>
    <row r="1427" spans="1:9" x14ac:dyDescent="0.25">
      <c r="E1427" t="str">
        <f>""</f>
        <v/>
      </c>
      <c r="F1427" t="str">
        <f>""</f>
        <v/>
      </c>
      <c r="H1427" t="str">
        <f t="shared" si="22"/>
        <v>UNEMPLOYMENT QTR END 12/31/18</v>
      </c>
    </row>
    <row r="1428" spans="1:9" x14ac:dyDescent="0.25">
      <c r="E1428" t="str">
        <f>""</f>
        <v/>
      </c>
      <c r="F1428" t="str">
        <f>""</f>
        <v/>
      </c>
      <c r="H1428" t="str">
        <f t="shared" si="22"/>
        <v>UNEMPLOYMENT QTR END 12/31/18</v>
      </c>
    </row>
    <row r="1429" spans="1:9" x14ac:dyDescent="0.25">
      <c r="E1429" t="str">
        <f>""</f>
        <v/>
      </c>
      <c r="F1429" t="str">
        <f>""</f>
        <v/>
      </c>
      <c r="H1429" t="str">
        <f t="shared" si="22"/>
        <v>UNEMPLOYMENT QTR END 12/31/18</v>
      </c>
    </row>
    <row r="1430" spans="1:9" x14ac:dyDescent="0.25">
      <c r="A1430" t="s">
        <v>467</v>
      </c>
      <c r="B1430">
        <v>80479</v>
      </c>
      <c r="C1430" s="2">
        <v>2740.27</v>
      </c>
      <c r="D1430" s="1">
        <v>43479</v>
      </c>
      <c r="E1430" t="str">
        <f>"105643"</f>
        <v>105643</v>
      </c>
      <c r="F1430" t="str">
        <f>"CUST#1574/TICKET#716284/PCT#4"</f>
        <v>CUST#1574/TICKET#716284/PCT#4</v>
      </c>
      <c r="G1430" s="2">
        <v>294.45</v>
      </c>
      <c r="H1430" t="str">
        <f>"CUST#1574/TICKET#716284/PCT#4"</f>
        <v>CUST#1574/TICKET#716284/PCT#4</v>
      </c>
    </row>
    <row r="1431" spans="1:9" x14ac:dyDescent="0.25">
      <c r="E1431" t="str">
        <f>"106100"</f>
        <v>106100</v>
      </c>
      <c r="F1431" t="str">
        <f>"CUST#1574/STONE/PCT#4"</f>
        <v>CUST#1574/STONE/PCT#4</v>
      </c>
      <c r="G1431" s="2">
        <v>1112.4100000000001</v>
      </c>
      <c r="H1431" t="str">
        <f>"CUST#1574/STONE/PCT#4"</f>
        <v>CUST#1574/STONE/PCT#4</v>
      </c>
    </row>
    <row r="1432" spans="1:9" x14ac:dyDescent="0.25">
      <c r="E1432" t="str">
        <f>"106199"</f>
        <v>106199</v>
      </c>
      <c r="F1432" t="str">
        <f>"CUST#1574/STONE/PCT#4"</f>
        <v>CUST#1574/STONE/PCT#4</v>
      </c>
      <c r="G1432" s="2">
        <v>1333.41</v>
      </c>
      <c r="H1432" t="str">
        <f>"CUST#1574/STONE/PCT#4"</f>
        <v>CUST#1574/STONE/PCT#4</v>
      </c>
    </row>
    <row r="1433" spans="1:9" x14ac:dyDescent="0.25">
      <c r="A1433" t="s">
        <v>467</v>
      </c>
      <c r="B1433">
        <v>80771</v>
      </c>
      <c r="C1433" s="2">
        <v>4246.96</v>
      </c>
      <c r="D1433" s="1">
        <v>43493</v>
      </c>
      <c r="E1433" t="str">
        <f>"107043"</f>
        <v>107043</v>
      </c>
      <c r="F1433" t="str">
        <f>"CUST#1574/HARD STONE/PCT#4"</f>
        <v>CUST#1574/HARD STONE/PCT#4</v>
      </c>
      <c r="G1433" s="2">
        <v>1134.76</v>
      </c>
      <c r="H1433" t="str">
        <f>"CUST#1574/HARD STONE/PCT#4"</f>
        <v>CUST#1574/HARD STONE/PCT#4</v>
      </c>
    </row>
    <row r="1434" spans="1:9" x14ac:dyDescent="0.25">
      <c r="E1434" t="str">
        <f>"107340"</f>
        <v>107340</v>
      </c>
      <c r="F1434" t="str">
        <f>"CUST#1574/HARD STONE/PCT#4"</f>
        <v>CUST#1574/HARD STONE/PCT#4</v>
      </c>
      <c r="G1434" s="2">
        <v>1130.6300000000001</v>
      </c>
      <c r="H1434" t="str">
        <f>"CUST#1574/HARD STONE/PCT#4"</f>
        <v>CUST#1574/HARD STONE/PCT#4</v>
      </c>
    </row>
    <row r="1435" spans="1:9" x14ac:dyDescent="0.25">
      <c r="E1435" t="str">
        <f>"107621"</f>
        <v>107621</v>
      </c>
      <c r="F1435" t="str">
        <f>"CUST#1574/PCT#4"</f>
        <v>CUST#1574/PCT#4</v>
      </c>
      <c r="G1435" s="2">
        <v>1143.4000000000001</v>
      </c>
      <c r="H1435" t="str">
        <f>"CUST#1574/PCT#4"</f>
        <v>CUST#1574/PCT#4</v>
      </c>
    </row>
    <row r="1436" spans="1:9" x14ac:dyDescent="0.25">
      <c r="E1436" t="str">
        <f>"108165"</f>
        <v>108165</v>
      </c>
      <c r="F1436" t="str">
        <f>"CUST#1574/PCT#4"</f>
        <v>CUST#1574/PCT#4</v>
      </c>
      <c r="G1436" s="2">
        <v>838.17</v>
      </c>
      <c r="H1436" t="str">
        <f>"CUST#1574/PCT#4"</f>
        <v>CUST#1574/PCT#4</v>
      </c>
    </row>
    <row r="1437" spans="1:9" x14ac:dyDescent="0.25">
      <c r="A1437" t="s">
        <v>468</v>
      </c>
      <c r="B1437">
        <v>80772</v>
      </c>
      <c r="C1437" s="2">
        <v>2</v>
      </c>
      <c r="D1437" s="1">
        <v>43493</v>
      </c>
      <c r="E1437" t="str">
        <f>"201901236746"</f>
        <v>201901236746</v>
      </c>
      <c r="F1437" t="str">
        <f>"TEXAS DEPT OF MOTOR VEHICLES"</f>
        <v>TEXAS DEPT OF MOTOR VEHICLES</v>
      </c>
      <c r="G1437" s="2">
        <v>2</v>
      </c>
      <c r="H1437" t="str">
        <f>"TITLE FEE"</f>
        <v>TITLE FEE</v>
      </c>
    </row>
    <row r="1438" spans="1:9" x14ac:dyDescent="0.25">
      <c r="A1438" t="s">
        <v>469</v>
      </c>
      <c r="B1438">
        <v>80480</v>
      </c>
      <c r="C1438" s="2">
        <v>13</v>
      </c>
      <c r="D1438" s="1">
        <v>43479</v>
      </c>
      <c r="E1438" t="str">
        <f>"CRS-201811-159562"</f>
        <v>CRS-201811-159562</v>
      </c>
      <c r="F1438" t="str">
        <f>"SECURE SITE CCH NAME SEARCH"</f>
        <v>SECURE SITE CCH NAME SEARCH</v>
      </c>
      <c r="G1438" s="2">
        <v>13</v>
      </c>
      <c r="H1438" t="str">
        <f>"SECURE SITE CCH NAME SEARCH"</f>
        <v>SECURE SITE CCH NAME SEARCH</v>
      </c>
    </row>
    <row r="1439" spans="1:9" x14ac:dyDescent="0.25">
      <c r="A1439" t="s">
        <v>469</v>
      </c>
      <c r="B1439">
        <v>80481</v>
      </c>
      <c r="C1439" s="2">
        <v>180</v>
      </c>
      <c r="D1439" s="1">
        <v>43479</v>
      </c>
      <c r="E1439" t="s">
        <v>470</v>
      </c>
      <c r="F1439" t="s">
        <v>471</v>
      </c>
      <c r="G1439" s="2" t="str">
        <f>"RESTITUTION-BILLIE FRITTZ"</f>
        <v>RESTITUTION-BILLIE FRITTZ</v>
      </c>
      <c r="H1439" t="str">
        <f>"210-0000"</f>
        <v>210-0000</v>
      </c>
      <c r="I1439" t="str">
        <f>""</f>
        <v/>
      </c>
    </row>
    <row r="1440" spans="1:9" x14ac:dyDescent="0.25">
      <c r="A1440" t="s">
        <v>472</v>
      </c>
      <c r="B1440">
        <v>80773</v>
      </c>
      <c r="C1440" s="2">
        <v>8400</v>
      </c>
      <c r="D1440" s="1">
        <v>43493</v>
      </c>
      <c r="E1440" t="str">
        <f>"201901156572"</f>
        <v>201901156572</v>
      </c>
      <c r="F1440" t="str">
        <f>"REVIEWED CASE MATERIAL/SCENE"</f>
        <v>REVIEWED CASE MATERIAL/SCENE</v>
      </c>
      <c r="G1440" s="2">
        <v>8400</v>
      </c>
      <c r="H1440" t="str">
        <f>"REVIEWED CASE MATERIAL/SCENE"</f>
        <v>REVIEWED CASE MATERIAL/SCENE</v>
      </c>
    </row>
    <row r="1441" spans="1:8" x14ac:dyDescent="0.25">
      <c r="A1441" t="s">
        <v>473</v>
      </c>
      <c r="B1441">
        <v>80482</v>
      </c>
      <c r="C1441" s="2">
        <v>300</v>
      </c>
      <c r="D1441" s="1">
        <v>43479</v>
      </c>
      <c r="E1441" t="str">
        <f>"69771"</f>
        <v>69771</v>
      </c>
      <c r="F1441" t="str">
        <f>"FY19 JP STAGE II-CEDELIA ALLEN"</f>
        <v>FY19 JP STAGE II-CEDELIA ALLEN</v>
      </c>
      <c r="G1441" s="2">
        <v>300</v>
      </c>
      <c r="H1441" t="str">
        <f>"FY19 JP STAGE II-CEDELIA ALLEN"</f>
        <v>FY19 JP STAGE II-CEDELIA ALLEN</v>
      </c>
    </row>
    <row r="1442" spans="1:8" x14ac:dyDescent="0.25">
      <c r="A1442" t="s">
        <v>473</v>
      </c>
      <c r="B1442">
        <v>80774</v>
      </c>
      <c r="C1442" s="2">
        <v>300</v>
      </c>
      <c r="D1442" s="1">
        <v>43493</v>
      </c>
      <c r="E1442" t="str">
        <f>"45264"</f>
        <v>45264</v>
      </c>
      <c r="F1442" t="str">
        <f>"FY_19 CIVIL PROCESS SEMINAR"</f>
        <v>FY_19 CIVIL PROCESS SEMINAR</v>
      </c>
      <c r="G1442" s="2">
        <v>150</v>
      </c>
      <c r="H1442" t="str">
        <f>"FY_19 CIVIL PROCESS SEMINAR"</f>
        <v>FY_19 CIVIL PROCESS SEMINAR</v>
      </c>
    </row>
    <row r="1443" spans="1:8" x14ac:dyDescent="0.25">
      <c r="E1443" t="str">
        <f>"70126"</f>
        <v>70126</v>
      </c>
      <c r="F1443" t="str">
        <f>"NEW CT PER SEM-T. GONZALES"</f>
        <v>NEW CT PER SEM-T. GONZALES</v>
      </c>
      <c r="G1443" s="2">
        <v>150</v>
      </c>
      <c r="H1443" t="str">
        <f>"NEW CT PER SEM-T. GONZALES"</f>
        <v>NEW CT PER SEM-T. GONZALES</v>
      </c>
    </row>
    <row r="1444" spans="1:8" x14ac:dyDescent="0.25">
      <c r="A1444" t="s">
        <v>474</v>
      </c>
      <c r="B1444">
        <v>80775</v>
      </c>
      <c r="C1444" s="2">
        <v>849.66</v>
      </c>
      <c r="D1444" s="1">
        <v>43493</v>
      </c>
      <c r="E1444" t="str">
        <f>"201901226740"</f>
        <v>201901226740</v>
      </c>
      <c r="F1444" t="str">
        <f>"INDIGENT HEALTH"</f>
        <v>INDIGENT HEALTH</v>
      </c>
      <c r="G1444" s="2">
        <v>849.66</v>
      </c>
      <c r="H1444" t="str">
        <f>"INDIGENT HEALTH"</f>
        <v>INDIGENT HEALTH</v>
      </c>
    </row>
    <row r="1445" spans="1:8" x14ac:dyDescent="0.25">
      <c r="E1445" t="str">
        <f>""</f>
        <v/>
      </c>
      <c r="F1445" t="str">
        <f>""</f>
        <v/>
      </c>
      <c r="H1445" t="str">
        <f>"INDIGENT HEALTH"</f>
        <v>INDIGENT HEALTH</v>
      </c>
    </row>
    <row r="1446" spans="1:8" x14ac:dyDescent="0.25">
      <c r="E1446" t="str">
        <f>""</f>
        <v/>
      </c>
      <c r="F1446" t="str">
        <f>""</f>
        <v/>
      </c>
      <c r="H1446" t="str">
        <f>"INDIGENT HEALTH"</f>
        <v>INDIGENT HEALTH</v>
      </c>
    </row>
    <row r="1447" spans="1:8" x14ac:dyDescent="0.25">
      <c r="A1447" t="s">
        <v>475</v>
      </c>
      <c r="B1447">
        <v>80483</v>
      </c>
      <c r="C1447" s="2">
        <v>114.75</v>
      </c>
      <c r="D1447" s="1">
        <v>43479</v>
      </c>
      <c r="E1447" t="str">
        <f>"J2-61703"</f>
        <v>J2-61703</v>
      </c>
      <c r="F1447" t="str">
        <f>"A8258522-A. ARTERBURN"</f>
        <v>A8258522-A. ARTERBURN</v>
      </c>
      <c r="G1447" s="2">
        <v>114.75</v>
      </c>
      <c r="H1447" t="str">
        <f>"A8258522-A. ARTERBURN"</f>
        <v>A8258522-A. ARTERBURN</v>
      </c>
    </row>
    <row r="1448" spans="1:8" x14ac:dyDescent="0.25">
      <c r="A1448" t="s">
        <v>476</v>
      </c>
      <c r="B1448">
        <v>80484</v>
      </c>
      <c r="C1448" s="2">
        <v>202.2</v>
      </c>
      <c r="D1448" s="1">
        <v>43479</v>
      </c>
      <c r="E1448" t="str">
        <f>"201901096509"</f>
        <v>201901096509</v>
      </c>
      <c r="F1448" t="str">
        <f>"INDIGENT HEALTH"</f>
        <v>INDIGENT HEALTH</v>
      </c>
      <c r="G1448" s="2">
        <v>202.2</v>
      </c>
      <c r="H1448" t="str">
        <f>"INDIGENT HEALTH"</f>
        <v>INDIGENT HEALTH</v>
      </c>
    </row>
    <row r="1449" spans="1:8" x14ac:dyDescent="0.25">
      <c r="E1449" t="str">
        <f>""</f>
        <v/>
      </c>
      <c r="F1449" t="str">
        <f>""</f>
        <v/>
      </c>
      <c r="H1449" t="str">
        <f>"INDIGENT HEALTH"</f>
        <v>INDIGENT HEALTH</v>
      </c>
    </row>
    <row r="1450" spans="1:8" x14ac:dyDescent="0.25">
      <c r="A1450" t="s">
        <v>476</v>
      </c>
      <c r="B1450">
        <v>80776</v>
      </c>
      <c r="C1450" s="2">
        <v>451.32</v>
      </c>
      <c r="D1450" s="1">
        <v>43493</v>
      </c>
      <c r="E1450" t="str">
        <f>"201901226742"</f>
        <v>201901226742</v>
      </c>
      <c r="F1450" t="str">
        <f>"INDIGENT HEALTH"</f>
        <v>INDIGENT HEALTH</v>
      </c>
      <c r="G1450" s="2">
        <v>451.32</v>
      </c>
      <c r="H1450" t="str">
        <f>"INDIGENT HEALTH"</f>
        <v>INDIGENT HEALTH</v>
      </c>
    </row>
    <row r="1451" spans="1:8" x14ac:dyDescent="0.25">
      <c r="A1451" t="s">
        <v>477</v>
      </c>
      <c r="B1451">
        <v>80485</v>
      </c>
      <c r="C1451" s="2">
        <v>1392</v>
      </c>
      <c r="D1451" s="1">
        <v>43479</v>
      </c>
      <c r="E1451" t="str">
        <f>"86975"</f>
        <v>86975</v>
      </c>
      <c r="F1451" t="str">
        <f>"ACCT#188757/RD &amp; BRIDGE BLDG"</f>
        <v>ACCT#188757/RD &amp; BRIDGE BLDG</v>
      </c>
      <c r="G1451" s="2">
        <v>95</v>
      </c>
      <c r="H1451" t="str">
        <f>"ACCT#188757/RD &amp; BRIDGE BLDG"</f>
        <v>ACCT#188757/RD &amp; BRIDGE BLDG</v>
      </c>
    </row>
    <row r="1452" spans="1:8" x14ac:dyDescent="0.25">
      <c r="E1452" t="str">
        <f>"86984"</f>
        <v>86984</v>
      </c>
      <c r="F1452" t="str">
        <f>"ACCT#188757/JUVENILE BOOT CAMP"</f>
        <v>ACCT#188757/JUVENILE BOOT CAMP</v>
      </c>
      <c r="G1452" s="2">
        <v>118.5</v>
      </c>
      <c r="H1452" t="str">
        <f>"ACCT#188757/JUVENILE BOOT CAMP"</f>
        <v>ACCT#188757/JUVENILE BOOT CAMP</v>
      </c>
    </row>
    <row r="1453" spans="1:8" x14ac:dyDescent="0.25">
      <c r="E1453" t="str">
        <f>"87043"</f>
        <v>87043</v>
      </c>
      <c r="F1453" t="str">
        <f>"ACCT#188757/MIKE FISHER BLDG"</f>
        <v>ACCT#188757/MIKE FISHER BLDG</v>
      </c>
      <c r="G1453" s="2">
        <v>112</v>
      </c>
      <c r="H1453" t="str">
        <f>"ACCT#188757/MIKE FISHER BLDG"</f>
        <v>ACCT#188757/MIKE FISHER BLDG</v>
      </c>
    </row>
    <row r="1454" spans="1:8" x14ac:dyDescent="0.25">
      <c r="E1454" t="str">
        <f>"87552"</f>
        <v>87552</v>
      </c>
      <c r="F1454" t="str">
        <f>"ACCT#188757/RD &amp; BRIDGE BARN"</f>
        <v>ACCT#188757/RD &amp; BRIDGE BARN</v>
      </c>
      <c r="G1454" s="2">
        <v>95.5</v>
      </c>
      <c r="H1454" t="str">
        <f>"ACCT#188757/RD &amp; BRIDGE BARN"</f>
        <v>ACCT#188757/RD &amp; BRIDGE BARN</v>
      </c>
    </row>
    <row r="1455" spans="1:8" x14ac:dyDescent="0.25">
      <c r="E1455" t="str">
        <f>"87589"</f>
        <v>87589</v>
      </c>
      <c r="F1455" t="str">
        <f>"ACCT#188757/TAX OFFICE"</f>
        <v>ACCT#188757/TAX OFFICE</v>
      </c>
      <c r="G1455" s="2">
        <v>102</v>
      </c>
      <c r="H1455" t="str">
        <f>"ACCT#188757/TAX OFFICE"</f>
        <v>ACCT#188757/TAX OFFICE</v>
      </c>
    </row>
    <row r="1456" spans="1:8" x14ac:dyDescent="0.25">
      <c r="E1456" t="str">
        <f>"87831"</f>
        <v>87831</v>
      </c>
      <c r="F1456" t="str">
        <f>"ACCT#188757/JUVENILE PROBATION"</f>
        <v>ACCT#188757/JUVENILE PROBATION</v>
      </c>
      <c r="G1456" s="2">
        <v>132</v>
      </c>
      <c r="H1456" t="str">
        <f>"ACCT#188757/JUVENILE PROBATION"</f>
        <v>ACCT#188757/JUVENILE PROBATION</v>
      </c>
    </row>
    <row r="1457" spans="1:8" x14ac:dyDescent="0.25">
      <c r="E1457" t="str">
        <f>"87838"</f>
        <v>87838</v>
      </c>
      <c r="F1457" t="str">
        <f>"ACCT#188757/LBJ BLDG/HLTH DEPT"</f>
        <v>ACCT#188757/LBJ BLDG/HLTH DEPT</v>
      </c>
      <c r="G1457" s="2">
        <v>69</v>
      </c>
      <c r="H1457" t="str">
        <f>"ACCT#188757/LBJ BLDG/HLTH DEPT"</f>
        <v>ACCT#188757/LBJ BLDG/HLTH DEPT</v>
      </c>
    </row>
    <row r="1458" spans="1:8" x14ac:dyDescent="0.25">
      <c r="E1458" t="str">
        <f>"87851"</f>
        <v>87851</v>
      </c>
      <c r="F1458" t="str">
        <f>"ACCT#188757/HISTORIC JAIL"</f>
        <v>ACCT#188757/HISTORIC JAIL</v>
      </c>
      <c r="G1458" s="2">
        <v>76</v>
      </c>
      <c r="H1458" t="str">
        <f>"ACCT#188757/HISTORIC JAIL"</f>
        <v>ACCT#188757/HISTORIC JAIL</v>
      </c>
    </row>
    <row r="1459" spans="1:8" x14ac:dyDescent="0.25">
      <c r="E1459" t="str">
        <f>"87852"</f>
        <v>87852</v>
      </c>
      <c r="F1459" t="str">
        <f>"ACCT#188757/CTHOUSE MAIN/ANNEX"</f>
        <v>ACCT#188757/CTHOUSE MAIN/ANNEX</v>
      </c>
      <c r="G1459" s="2">
        <v>137</v>
      </c>
      <c r="H1459" t="str">
        <f>"ACCT#188757/CTHOUSE MAIN/ANNEX"</f>
        <v>ACCT#188757/CTHOUSE MAIN/ANNEX</v>
      </c>
    </row>
    <row r="1460" spans="1:8" x14ac:dyDescent="0.25">
      <c r="E1460" t="str">
        <f>"87868"</f>
        <v>87868</v>
      </c>
      <c r="F1460" t="str">
        <f>"ACCT#188757/HABITAT OFFICE"</f>
        <v>ACCT#188757/HABITAT OFFICE</v>
      </c>
      <c r="G1460" s="2">
        <v>89</v>
      </c>
      <c r="H1460" t="str">
        <f>"ACCT#188757/HABITAT OFFICE"</f>
        <v>ACCT#188757/HABITAT OFFICE</v>
      </c>
    </row>
    <row r="1461" spans="1:8" x14ac:dyDescent="0.25">
      <c r="E1461" t="str">
        <f>"87877"</f>
        <v>87877</v>
      </c>
      <c r="F1461" t="str">
        <f>"ACCT#188757/DPS/TDL"</f>
        <v>ACCT#188757/DPS/TDL</v>
      </c>
      <c r="G1461" s="2">
        <v>76</v>
      </c>
      <c r="H1461" t="str">
        <f>"ACCT#188757/DPS/TDL"</f>
        <v>ACCT#188757/DPS/TDL</v>
      </c>
    </row>
    <row r="1462" spans="1:8" x14ac:dyDescent="0.25">
      <c r="E1462" t="str">
        <f>"88509"</f>
        <v>88509</v>
      </c>
      <c r="F1462" t="str">
        <f>"ACCT#188757/ANIMAL SHELTER"</f>
        <v>ACCT#188757/ANIMAL SHELTER</v>
      </c>
      <c r="G1462" s="2">
        <v>290</v>
      </c>
      <c r="H1462" t="str">
        <f>"ACCT#188757/ANIMAL SHELTER"</f>
        <v>ACCT#188757/ANIMAL SHELTER</v>
      </c>
    </row>
    <row r="1463" spans="1:8" x14ac:dyDescent="0.25">
      <c r="A1463" t="s">
        <v>477</v>
      </c>
      <c r="B1463">
        <v>80777</v>
      </c>
      <c r="C1463" s="2">
        <v>420.5</v>
      </c>
      <c r="D1463" s="1">
        <v>43493</v>
      </c>
      <c r="E1463" t="str">
        <f>"89801"</f>
        <v>89801</v>
      </c>
      <c r="F1463" t="str">
        <f>"ACCT#188757/RD&amp; BRIDGE/SIGN SH"</f>
        <v>ACCT#188757/RD&amp; BRIDGE/SIGN SH</v>
      </c>
      <c r="G1463" s="2">
        <v>95</v>
      </c>
      <c r="H1463" t="str">
        <f>"ACCT#188757/RD&amp; BRIDGE/SIGN SH"</f>
        <v>ACCT#188757/RD&amp; BRIDGE/SIGN SH</v>
      </c>
    </row>
    <row r="1464" spans="1:8" x14ac:dyDescent="0.25">
      <c r="E1464" t="str">
        <f>"89819"</f>
        <v>89819</v>
      </c>
      <c r="F1464" t="str">
        <f>"ACCT#188757/JUVENILE BOOT CAMP"</f>
        <v>ACCT#188757/JUVENILE BOOT CAMP</v>
      </c>
      <c r="G1464" s="2">
        <v>118.5</v>
      </c>
      <c r="H1464" t="str">
        <f>"ACCT#188757/JUVENILE BOOT CAMP"</f>
        <v>ACCT#188757/JUVENILE BOOT CAMP</v>
      </c>
    </row>
    <row r="1465" spans="1:8" x14ac:dyDescent="0.25">
      <c r="E1465" t="str">
        <f>"89854"</f>
        <v>89854</v>
      </c>
      <c r="F1465" t="str">
        <f>"ACCT#188757/MIKE FISHER BLDG"</f>
        <v>ACCT#188757/MIKE FISHER BLDG</v>
      </c>
      <c r="G1465" s="2">
        <v>112</v>
      </c>
      <c r="H1465" t="str">
        <f>"ACCT#188757/MIKE FISHER BLDG"</f>
        <v>ACCT#188757/MIKE FISHER BLDG</v>
      </c>
    </row>
    <row r="1466" spans="1:8" x14ac:dyDescent="0.25">
      <c r="E1466" t="str">
        <f>"90223"</f>
        <v>90223</v>
      </c>
      <c r="F1466" t="str">
        <f>"ACCT#188757/JP3 TAX OFFICE"</f>
        <v>ACCT#188757/JP3 TAX OFFICE</v>
      </c>
      <c r="G1466" s="2">
        <v>95</v>
      </c>
      <c r="H1466" t="str">
        <f>"ACCT#188757/JP3 TAX OFFICE"</f>
        <v>ACCT#188757/JP3 TAX OFFICE</v>
      </c>
    </row>
    <row r="1467" spans="1:8" x14ac:dyDescent="0.25">
      <c r="A1467" t="s">
        <v>478</v>
      </c>
      <c r="B1467">
        <v>354</v>
      </c>
      <c r="C1467" s="2">
        <v>2300</v>
      </c>
      <c r="D1467" s="1">
        <v>43494</v>
      </c>
      <c r="E1467" t="str">
        <f>"201901166583"</f>
        <v>201901166583</v>
      </c>
      <c r="F1467" t="str">
        <f>"18-19013"</f>
        <v>18-19013</v>
      </c>
      <c r="G1467" s="2">
        <v>225</v>
      </c>
      <c r="H1467" t="str">
        <f>"18-19013"</f>
        <v>18-19013</v>
      </c>
    </row>
    <row r="1468" spans="1:8" x14ac:dyDescent="0.25">
      <c r="E1468" t="str">
        <f>"201901176606"</f>
        <v>201901176606</v>
      </c>
      <c r="F1468" t="str">
        <f>"17-18617"</f>
        <v>17-18617</v>
      </c>
      <c r="G1468" s="2">
        <v>325</v>
      </c>
      <c r="H1468" t="str">
        <f>"17-18617"</f>
        <v>17-18617</v>
      </c>
    </row>
    <row r="1469" spans="1:8" x14ac:dyDescent="0.25">
      <c r="E1469" t="str">
        <f>"201901176621"</f>
        <v>201901176621</v>
      </c>
      <c r="F1469" t="str">
        <f>"54 645"</f>
        <v>54 645</v>
      </c>
      <c r="G1469" s="2">
        <v>250</v>
      </c>
      <c r="H1469" t="str">
        <f>"54 645"</f>
        <v>54 645</v>
      </c>
    </row>
    <row r="1470" spans="1:8" x14ac:dyDescent="0.25">
      <c r="E1470" t="str">
        <f>"201901176622"</f>
        <v>201901176622</v>
      </c>
      <c r="F1470" t="str">
        <f>"CH 2018 1003 B"</f>
        <v>CH 2018 1003 B</v>
      </c>
      <c r="G1470" s="2">
        <v>250</v>
      </c>
      <c r="H1470" t="str">
        <f>"CH 2018 1003 B"</f>
        <v>CH 2018 1003 B</v>
      </c>
    </row>
    <row r="1471" spans="1:8" x14ac:dyDescent="0.25">
      <c r="E1471" t="str">
        <f>"201901176623"</f>
        <v>201901176623</v>
      </c>
      <c r="F1471" t="str">
        <f>"55 617"</f>
        <v>55 617</v>
      </c>
      <c r="G1471" s="2">
        <v>250</v>
      </c>
      <c r="H1471" t="str">
        <f>"55 617"</f>
        <v>55 617</v>
      </c>
    </row>
    <row r="1472" spans="1:8" x14ac:dyDescent="0.25">
      <c r="E1472" t="str">
        <f>"201901176702"</f>
        <v>201901176702</v>
      </c>
      <c r="F1472" t="str">
        <f>"16 723  1JP71118A"</f>
        <v>16 723  1JP71118A</v>
      </c>
      <c r="G1472" s="2">
        <v>1000</v>
      </c>
      <c r="H1472" t="str">
        <f>"16 723  1JP71118A"</f>
        <v>16 723  1JP71118A</v>
      </c>
    </row>
    <row r="1473" spans="1:8" x14ac:dyDescent="0.25">
      <c r="A1473" t="s">
        <v>479</v>
      </c>
      <c r="B1473">
        <v>337</v>
      </c>
      <c r="C1473" s="2">
        <v>512</v>
      </c>
      <c r="D1473" s="1">
        <v>43480</v>
      </c>
      <c r="E1473" t="str">
        <f>"233693"</f>
        <v>233693</v>
      </c>
      <c r="F1473" t="str">
        <f>"ORD#1-173058/BASTRCOU"</f>
        <v>ORD#1-173058/BASTRCOU</v>
      </c>
      <c r="G1473" s="2">
        <v>512</v>
      </c>
      <c r="H1473" t="str">
        <f>"ORD#1-173058/BASTRCOU"</f>
        <v>ORD#1-173058/BASTRCOU</v>
      </c>
    </row>
    <row r="1474" spans="1:8" x14ac:dyDescent="0.25">
      <c r="A1474" t="s">
        <v>480</v>
      </c>
      <c r="B1474">
        <v>80486</v>
      </c>
      <c r="C1474" s="2">
        <v>2046.8</v>
      </c>
      <c r="D1474" s="1">
        <v>43479</v>
      </c>
      <c r="E1474" t="str">
        <f>"000550398"</f>
        <v>000550398</v>
      </c>
      <c r="F1474" t="str">
        <f>"ACCT#4812W1083/POL#15R29980-ZA"</f>
        <v>ACCT#4812W1083/POL#15R29980-ZA</v>
      </c>
      <c r="G1474" s="2">
        <v>2046.8</v>
      </c>
      <c r="H1474" t="str">
        <f>"ACCT#4812W1083/POL#15R29980-ZA"</f>
        <v>ACCT#4812W1083/POL#15R29980-ZA</v>
      </c>
    </row>
    <row r="1475" spans="1:8" x14ac:dyDescent="0.25">
      <c r="A1475" t="s">
        <v>481</v>
      </c>
      <c r="B1475">
        <v>80487</v>
      </c>
      <c r="C1475" s="2">
        <v>1440.5</v>
      </c>
      <c r="D1475" s="1">
        <v>43479</v>
      </c>
      <c r="E1475" t="str">
        <f>"839512460"</f>
        <v>839512460</v>
      </c>
      <c r="F1475" t="str">
        <f>"ACCT#100648597/WEST INFO CHRGS"</f>
        <v>ACCT#100648597/WEST INFO CHRGS</v>
      </c>
      <c r="G1475" s="2">
        <v>548</v>
      </c>
      <c r="H1475" t="str">
        <f>"ACCT#100648597/WEST INFO CHRGS"</f>
        <v>ACCT#100648597/WEST INFO CHRGS</v>
      </c>
    </row>
    <row r="1476" spans="1:8" x14ac:dyDescent="0.25">
      <c r="E1476" t="str">
        <f>"839524591"</f>
        <v>839524591</v>
      </c>
      <c r="F1476" t="str">
        <f>"ACCT#1005022937/WEST INFO CHGS"</f>
        <v>ACCT#1005022937/WEST INFO CHGS</v>
      </c>
      <c r="G1476" s="2">
        <v>892.5</v>
      </c>
      <c r="H1476" t="str">
        <f>"ACCT#1005022937/WEST INFO CHGS"</f>
        <v>ACCT#1005022937/WEST INFO CHGS</v>
      </c>
    </row>
    <row r="1477" spans="1:8" x14ac:dyDescent="0.25">
      <c r="A1477" t="s">
        <v>482</v>
      </c>
      <c r="B1477">
        <v>80488</v>
      </c>
      <c r="C1477" s="2">
        <v>3670.1</v>
      </c>
      <c r="D1477" s="1">
        <v>43479</v>
      </c>
      <c r="E1477" t="str">
        <f>"201812286003"</f>
        <v>201812286003</v>
      </c>
      <c r="F1477" t="str">
        <f>"423-2327"</f>
        <v>423-2327</v>
      </c>
      <c r="G1477" s="2">
        <v>1907.6</v>
      </c>
      <c r="H1477" t="str">
        <f>"423-2327"</f>
        <v>423-2327</v>
      </c>
    </row>
    <row r="1478" spans="1:8" x14ac:dyDescent="0.25">
      <c r="E1478" t="str">
        <f>"201901026073"</f>
        <v>201901026073</v>
      </c>
      <c r="F1478" t="str">
        <f>"423-2327"</f>
        <v>423-2327</v>
      </c>
      <c r="G1478" s="2">
        <v>1762.5</v>
      </c>
      <c r="H1478" t="str">
        <f>"423-2327"</f>
        <v>423-2327</v>
      </c>
    </row>
    <row r="1479" spans="1:8" x14ac:dyDescent="0.25">
      <c r="A1479" t="s">
        <v>483</v>
      </c>
      <c r="B1479">
        <v>80489</v>
      </c>
      <c r="C1479" s="2">
        <v>11409.89</v>
      </c>
      <c r="D1479" s="1">
        <v>43479</v>
      </c>
      <c r="E1479" t="str">
        <f>"201901046397"</f>
        <v>201901046397</v>
      </c>
      <c r="F1479" t="str">
        <f>"ACCT#8260163000003669"</f>
        <v>ACCT#8260163000003669</v>
      </c>
      <c r="G1479" s="2">
        <v>11409.89</v>
      </c>
      <c r="H1479" t="str">
        <f>"ACCT#8260163000003669"</f>
        <v>ACCT#8260163000003669</v>
      </c>
    </row>
    <row r="1480" spans="1:8" x14ac:dyDescent="0.25">
      <c r="E1480" t="str">
        <f>""</f>
        <v/>
      </c>
      <c r="F1480" t="str">
        <f>""</f>
        <v/>
      </c>
      <c r="H1480" t="str">
        <f>"ACCT#8260163000003669"</f>
        <v>ACCT#8260163000003669</v>
      </c>
    </row>
    <row r="1481" spans="1:8" x14ac:dyDescent="0.25">
      <c r="E1481" t="str">
        <f>""</f>
        <v/>
      </c>
      <c r="F1481" t="str">
        <f>""</f>
        <v/>
      </c>
      <c r="H1481" t="str">
        <f>"ACCT#8260163000003669"</f>
        <v>ACCT#8260163000003669</v>
      </c>
    </row>
    <row r="1482" spans="1:8" x14ac:dyDescent="0.25">
      <c r="A1482" t="s">
        <v>484</v>
      </c>
      <c r="B1482">
        <v>80490</v>
      </c>
      <c r="C1482" s="2">
        <v>2245.06</v>
      </c>
      <c r="D1482" s="1">
        <v>43479</v>
      </c>
      <c r="E1482" t="str">
        <f>"201901076410"</f>
        <v>201901076410</v>
      </c>
      <c r="F1482" t="str">
        <f>"Acct# 6035301200160982"</f>
        <v>Acct# 6035301200160982</v>
      </c>
      <c r="G1482" s="2">
        <v>2245.06</v>
      </c>
      <c r="H1482" t="str">
        <f>"inv# 200538668"</f>
        <v>inv# 200538668</v>
      </c>
    </row>
    <row r="1483" spans="1:8" x14ac:dyDescent="0.25">
      <c r="E1483" t="str">
        <f>""</f>
        <v/>
      </c>
      <c r="F1483" t="str">
        <f>""</f>
        <v/>
      </c>
      <c r="H1483" t="str">
        <f>"inv# 100574841"</f>
        <v>inv# 100574841</v>
      </c>
    </row>
    <row r="1484" spans="1:8" x14ac:dyDescent="0.25">
      <c r="E1484" t="str">
        <f>""</f>
        <v/>
      </c>
      <c r="F1484" t="str">
        <f>""</f>
        <v/>
      </c>
      <c r="H1484" t="str">
        <f>"inv# 200532802"</f>
        <v>inv# 200532802</v>
      </c>
    </row>
    <row r="1485" spans="1:8" x14ac:dyDescent="0.25">
      <c r="E1485" t="str">
        <f>""</f>
        <v/>
      </c>
      <c r="F1485" t="str">
        <f>""</f>
        <v/>
      </c>
      <c r="H1485" t="str">
        <f>"inv# 300508010"</f>
        <v>inv# 300508010</v>
      </c>
    </row>
    <row r="1486" spans="1:8" x14ac:dyDescent="0.25">
      <c r="E1486" t="str">
        <f>""</f>
        <v/>
      </c>
      <c r="F1486" t="str">
        <f>""</f>
        <v/>
      </c>
      <c r="H1486" t="str">
        <f>"Inv# 200539313"</f>
        <v>Inv# 200539313</v>
      </c>
    </row>
    <row r="1487" spans="1:8" x14ac:dyDescent="0.25">
      <c r="E1487" t="str">
        <f>""</f>
        <v/>
      </c>
      <c r="F1487" t="str">
        <f>""</f>
        <v/>
      </c>
      <c r="H1487" t="str">
        <f>"inv# 100574841"</f>
        <v>inv# 100574841</v>
      </c>
    </row>
    <row r="1488" spans="1:8" x14ac:dyDescent="0.25">
      <c r="E1488" t="str">
        <f>""</f>
        <v/>
      </c>
      <c r="F1488" t="str">
        <f>""</f>
        <v/>
      </c>
      <c r="H1488" t="str">
        <f>"inv# 100069856"</f>
        <v>inv# 100069856</v>
      </c>
    </row>
    <row r="1489" spans="1:8" x14ac:dyDescent="0.25">
      <c r="E1489" t="str">
        <f>""</f>
        <v/>
      </c>
      <c r="F1489" t="str">
        <f>""</f>
        <v/>
      </c>
      <c r="H1489" t="str">
        <f>"inv# 10069864"</f>
        <v>inv# 10069864</v>
      </c>
    </row>
    <row r="1490" spans="1:8" x14ac:dyDescent="0.25">
      <c r="E1490" t="str">
        <f>""</f>
        <v/>
      </c>
      <c r="F1490" t="str">
        <f>""</f>
        <v/>
      </c>
      <c r="H1490" t="str">
        <f>"inv# 100069990"</f>
        <v>inv# 100069990</v>
      </c>
    </row>
    <row r="1491" spans="1:8" x14ac:dyDescent="0.25">
      <c r="E1491" t="str">
        <f>""</f>
        <v/>
      </c>
      <c r="F1491" t="str">
        <f>""</f>
        <v/>
      </c>
      <c r="H1491" t="str">
        <f>"inv# 10071698"</f>
        <v>inv# 10071698</v>
      </c>
    </row>
    <row r="1492" spans="1:8" x14ac:dyDescent="0.25">
      <c r="E1492" t="str">
        <f>""</f>
        <v/>
      </c>
      <c r="F1492" t="str">
        <f>""</f>
        <v/>
      </c>
      <c r="H1492" t="str">
        <f>"inv# 100071723"</f>
        <v>inv# 100071723</v>
      </c>
    </row>
    <row r="1493" spans="1:8" x14ac:dyDescent="0.25">
      <c r="E1493" t="str">
        <f>""</f>
        <v/>
      </c>
      <c r="F1493" t="str">
        <f>""</f>
        <v/>
      </c>
      <c r="H1493" t="str">
        <f>"inv# 200535597"</f>
        <v>inv# 200535597</v>
      </c>
    </row>
    <row r="1494" spans="1:8" x14ac:dyDescent="0.25">
      <c r="E1494" t="str">
        <f>""</f>
        <v/>
      </c>
      <c r="F1494" t="str">
        <f>""</f>
        <v/>
      </c>
      <c r="H1494" t="str">
        <f>"Inv# 300508664"</f>
        <v>Inv# 300508664</v>
      </c>
    </row>
    <row r="1495" spans="1:8" x14ac:dyDescent="0.25">
      <c r="A1495" t="s">
        <v>485</v>
      </c>
      <c r="B1495">
        <v>80491</v>
      </c>
      <c r="C1495" s="2">
        <v>850</v>
      </c>
      <c r="D1495" s="1">
        <v>43479</v>
      </c>
      <c r="E1495" t="str">
        <f>"12205 11/29/18"</f>
        <v>12205 11/29/18</v>
      </c>
      <c r="F1495" t="str">
        <f t="shared" ref="F1495:F1500" si="23">"SERVICE"</f>
        <v>SERVICE</v>
      </c>
      <c r="G1495" s="2">
        <v>100</v>
      </c>
      <c r="H1495" t="str">
        <f t="shared" ref="H1495:H1500" si="24">"SERVICE"</f>
        <v>SERVICE</v>
      </c>
    </row>
    <row r="1496" spans="1:8" x14ac:dyDescent="0.25">
      <c r="E1496" t="str">
        <f>"12613"</f>
        <v>12613</v>
      </c>
      <c r="F1496" t="str">
        <f t="shared" si="23"/>
        <v>SERVICE</v>
      </c>
      <c r="G1496" s="2">
        <v>75</v>
      </c>
      <c r="H1496" t="str">
        <f t="shared" si="24"/>
        <v>SERVICE</v>
      </c>
    </row>
    <row r="1497" spans="1:8" x14ac:dyDescent="0.25">
      <c r="E1497" t="str">
        <f>"12857"</f>
        <v>12857</v>
      </c>
      <c r="F1497" t="str">
        <f t="shared" si="23"/>
        <v>SERVICE</v>
      </c>
      <c r="G1497" s="2">
        <v>225</v>
      </c>
      <c r="H1497" t="str">
        <f t="shared" si="24"/>
        <v>SERVICE</v>
      </c>
    </row>
    <row r="1498" spans="1:8" x14ac:dyDescent="0.25">
      <c r="E1498" t="str">
        <f>"12902"</f>
        <v>12902</v>
      </c>
      <c r="F1498" t="str">
        <f t="shared" si="23"/>
        <v>SERVICE</v>
      </c>
      <c r="G1498" s="2">
        <v>300</v>
      </c>
      <c r="H1498" t="str">
        <f t="shared" si="24"/>
        <v>SERVICE</v>
      </c>
    </row>
    <row r="1499" spans="1:8" x14ac:dyDescent="0.25">
      <c r="E1499" t="str">
        <f>"13078"</f>
        <v>13078</v>
      </c>
      <c r="F1499" t="str">
        <f t="shared" si="23"/>
        <v>SERVICE</v>
      </c>
      <c r="G1499" s="2">
        <v>150</v>
      </c>
      <c r="H1499" t="str">
        <f t="shared" si="24"/>
        <v>SERVICE</v>
      </c>
    </row>
    <row r="1500" spans="1:8" x14ac:dyDescent="0.25">
      <c r="A1500" t="s">
        <v>485</v>
      </c>
      <c r="B1500">
        <v>80778</v>
      </c>
      <c r="C1500" s="2">
        <v>75</v>
      </c>
      <c r="D1500" s="1">
        <v>43493</v>
      </c>
      <c r="E1500" t="str">
        <f>"13074"</f>
        <v>13074</v>
      </c>
      <c r="F1500" t="str">
        <f t="shared" si="23"/>
        <v>SERVICE</v>
      </c>
      <c r="G1500" s="2">
        <v>75</v>
      </c>
      <c r="H1500" t="str">
        <f t="shared" si="24"/>
        <v>SERVICE</v>
      </c>
    </row>
    <row r="1501" spans="1:8" x14ac:dyDescent="0.25">
      <c r="A1501" t="s">
        <v>486</v>
      </c>
      <c r="B1501">
        <v>80492</v>
      </c>
      <c r="C1501" s="2">
        <v>105.4</v>
      </c>
      <c r="D1501" s="1">
        <v>43479</v>
      </c>
      <c r="E1501" t="str">
        <f>"4458*98082*1"</f>
        <v>4458*98082*1</v>
      </c>
      <c r="F1501" t="str">
        <f>"JAIL MEDICAL"</f>
        <v>JAIL MEDICAL</v>
      </c>
      <c r="G1501" s="2">
        <v>105.4</v>
      </c>
      <c r="H1501" t="str">
        <f>"JAIL MEDICAL"</f>
        <v>JAIL MEDICAL</v>
      </c>
    </row>
    <row r="1502" spans="1:8" x14ac:dyDescent="0.25">
      <c r="A1502" t="s">
        <v>487</v>
      </c>
      <c r="B1502">
        <v>80493</v>
      </c>
      <c r="C1502" s="2">
        <v>2900</v>
      </c>
      <c r="D1502" s="1">
        <v>43479</v>
      </c>
      <c r="E1502" t="str">
        <f>"3300001865"</f>
        <v>3300001865</v>
      </c>
      <c r="F1502" t="str">
        <f>"INV#3300001865/CUST#100010"</f>
        <v>INV#3300001865/CUST#100010</v>
      </c>
      <c r="G1502" s="2">
        <v>2900</v>
      </c>
      <c r="H1502" t="str">
        <f>"INV#3300001865/CUST#100010"</f>
        <v>INV#3300001865/CUST#100010</v>
      </c>
    </row>
    <row r="1503" spans="1:8" x14ac:dyDescent="0.25">
      <c r="A1503" t="s">
        <v>488</v>
      </c>
      <c r="B1503">
        <v>291</v>
      </c>
      <c r="C1503" s="2">
        <v>1124.56</v>
      </c>
      <c r="D1503" s="1">
        <v>43480</v>
      </c>
      <c r="E1503" t="str">
        <f>"743131"</f>
        <v>743131</v>
      </c>
      <c r="F1503" t="str">
        <f>"INV 743131"</f>
        <v>INV 743131</v>
      </c>
      <c r="G1503" s="2">
        <v>138.24</v>
      </c>
      <c r="H1503" t="str">
        <f>"INV 743131"</f>
        <v>INV 743131</v>
      </c>
    </row>
    <row r="1504" spans="1:8" x14ac:dyDescent="0.25">
      <c r="E1504" t="str">
        <f>"7432626"</f>
        <v>7432626</v>
      </c>
      <c r="F1504" t="str">
        <f>"INV 7432626"</f>
        <v>INV 7432626</v>
      </c>
      <c r="G1504" s="2">
        <v>429.72</v>
      </c>
      <c r="H1504" t="str">
        <f>"INV 7432626"</f>
        <v>INV 7432626</v>
      </c>
    </row>
    <row r="1505" spans="1:8" x14ac:dyDescent="0.25">
      <c r="E1505" t="str">
        <f>"743625"</f>
        <v>743625</v>
      </c>
      <c r="F1505" t="str">
        <f>"INV 743625"</f>
        <v>INV 743625</v>
      </c>
      <c r="G1505" s="2">
        <v>556.6</v>
      </c>
      <c r="H1505" t="str">
        <f>"INV 743625"</f>
        <v>INV 743625</v>
      </c>
    </row>
    <row r="1506" spans="1:8" x14ac:dyDescent="0.25">
      <c r="A1506" t="s">
        <v>488</v>
      </c>
      <c r="B1506">
        <v>356</v>
      </c>
      <c r="C1506" s="2">
        <v>1658.88</v>
      </c>
      <c r="D1506" s="1">
        <v>43494</v>
      </c>
      <c r="E1506" t="str">
        <f>"744562"</f>
        <v>744562</v>
      </c>
      <c r="F1506" t="str">
        <f>"INV 744562 / UNIT 0119"</f>
        <v>INV 744562 / UNIT 0119</v>
      </c>
      <c r="G1506" s="2">
        <v>552.96</v>
      </c>
      <c r="H1506" t="str">
        <f>"INV 744562 / UNIT 0119"</f>
        <v>INV 744562 / UNIT 0119</v>
      </c>
    </row>
    <row r="1507" spans="1:8" x14ac:dyDescent="0.25">
      <c r="E1507" t="str">
        <f>"744563"</f>
        <v>744563</v>
      </c>
      <c r="F1507" t="str">
        <f>"INV 744563 / RESTOCK"</f>
        <v>INV 744563 / RESTOCK</v>
      </c>
      <c r="G1507" s="2">
        <v>552.96</v>
      </c>
      <c r="H1507" t="str">
        <f>"INV 744563 / RESTOCK"</f>
        <v>INV 744563 / RESTOCK</v>
      </c>
    </row>
    <row r="1508" spans="1:8" x14ac:dyDescent="0.25">
      <c r="E1508" t="str">
        <f>"744756"</f>
        <v>744756</v>
      </c>
      <c r="F1508" t="str">
        <f>"INV 744756 / UNIT 4716"</f>
        <v>INV 744756 / UNIT 4716</v>
      </c>
      <c r="G1508" s="2">
        <v>552.96</v>
      </c>
      <c r="H1508" t="str">
        <f>"INV 744756 / UNIT 4716"</f>
        <v>INV 744756 / UNIT 4716</v>
      </c>
    </row>
    <row r="1509" spans="1:8" x14ac:dyDescent="0.25">
      <c r="A1509" t="s">
        <v>489</v>
      </c>
      <c r="B1509">
        <v>80779</v>
      </c>
      <c r="C1509" s="2">
        <v>20</v>
      </c>
      <c r="D1509" s="1">
        <v>43493</v>
      </c>
      <c r="E1509" t="str">
        <f>"201901176698"</f>
        <v>201901176698</v>
      </c>
      <c r="F1509" t="str">
        <f>"FERAL HOGS"</f>
        <v>FERAL HOGS</v>
      </c>
      <c r="G1509" s="2">
        <v>20</v>
      </c>
      <c r="H1509" t="str">
        <f>"FERAL HOGS"</f>
        <v>FERAL HOGS</v>
      </c>
    </row>
    <row r="1510" spans="1:8" x14ac:dyDescent="0.25">
      <c r="A1510" t="s">
        <v>490</v>
      </c>
      <c r="B1510">
        <v>80780</v>
      </c>
      <c r="C1510" s="2">
        <v>113.93</v>
      </c>
      <c r="D1510" s="1">
        <v>43493</v>
      </c>
      <c r="E1510" t="str">
        <f>"201901226735"</f>
        <v>201901226735</v>
      </c>
      <c r="F1510" t="str">
        <f>"INDIGENT HEALTH"</f>
        <v>INDIGENT HEALTH</v>
      </c>
      <c r="G1510" s="2">
        <v>113.93</v>
      </c>
      <c r="H1510" t="str">
        <f>"INDIGENT HEALTH"</f>
        <v>INDIGENT HEALTH</v>
      </c>
    </row>
    <row r="1511" spans="1:8" x14ac:dyDescent="0.25">
      <c r="E1511" t="str">
        <f>""</f>
        <v/>
      </c>
      <c r="F1511" t="str">
        <f>""</f>
        <v/>
      </c>
      <c r="H1511" t="str">
        <f>"INDIGENT HEALTH"</f>
        <v>INDIGENT HEALTH</v>
      </c>
    </row>
    <row r="1512" spans="1:8" x14ac:dyDescent="0.25">
      <c r="A1512" t="s">
        <v>491</v>
      </c>
      <c r="B1512">
        <v>80781</v>
      </c>
      <c r="C1512" s="2">
        <v>74.78</v>
      </c>
      <c r="D1512" s="1">
        <v>43493</v>
      </c>
      <c r="E1512" t="str">
        <f>"201901166598"</f>
        <v>201901166598</v>
      </c>
      <c r="F1512" t="str">
        <f>"MEALS REIMBURSEMENT"</f>
        <v>MEALS REIMBURSEMENT</v>
      </c>
      <c r="G1512" s="2">
        <v>74.78</v>
      </c>
      <c r="H1512" t="str">
        <f>"MEALS REIMBURSEMENT"</f>
        <v>MEALS REIMBURSEMENT</v>
      </c>
    </row>
    <row r="1513" spans="1:8" x14ac:dyDescent="0.25">
      <c r="A1513" t="s">
        <v>492</v>
      </c>
      <c r="B1513">
        <v>346</v>
      </c>
      <c r="C1513" s="2">
        <v>40963.49</v>
      </c>
      <c r="D1513" s="1">
        <v>43490</v>
      </c>
      <c r="E1513" t="str">
        <f>"Pay App: 02"</f>
        <v>Pay App: 02</v>
      </c>
      <c r="F1513" t="str">
        <f>"WATER DAMAGE REPAIRS"</f>
        <v>WATER DAMAGE REPAIRS</v>
      </c>
      <c r="G1513" s="2">
        <v>40963.49</v>
      </c>
      <c r="H1513" t="str">
        <f>"THE SITHE GROUP  LLC"</f>
        <v>THE SITHE GROUP  LLC</v>
      </c>
    </row>
    <row r="1514" spans="1:8" x14ac:dyDescent="0.25">
      <c r="A1514" t="s">
        <v>493</v>
      </c>
      <c r="B1514">
        <v>343</v>
      </c>
      <c r="C1514" s="2">
        <v>2225</v>
      </c>
      <c r="D1514" s="1">
        <v>43480</v>
      </c>
      <c r="E1514" t="str">
        <f>"201812286004"</f>
        <v>201812286004</v>
      </c>
      <c r="F1514" t="str">
        <f>"16 570"</f>
        <v>16 570</v>
      </c>
      <c r="G1514" s="2">
        <v>400</v>
      </c>
      <c r="H1514" t="str">
        <f>"16 570"</f>
        <v>16 570</v>
      </c>
    </row>
    <row r="1515" spans="1:8" x14ac:dyDescent="0.25">
      <c r="E1515" t="str">
        <f>"201812286005"</f>
        <v>201812286005</v>
      </c>
      <c r="F1515" t="str">
        <f>"16 525"</f>
        <v>16 525</v>
      </c>
      <c r="G1515" s="2">
        <v>400</v>
      </c>
      <c r="H1515" t="str">
        <f>"16 525"</f>
        <v>16 525</v>
      </c>
    </row>
    <row r="1516" spans="1:8" x14ac:dyDescent="0.25">
      <c r="E1516" t="str">
        <f>"201812286006"</f>
        <v>201812286006</v>
      </c>
      <c r="F1516" t="str">
        <f>"16 602  16 715  412287-5"</f>
        <v>16 602  16 715  412287-5</v>
      </c>
      <c r="G1516" s="2">
        <v>800</v>
      </c>
      <c r="H1516" t="str">
        <f>"16 602  16 715  412287-5"</f>
        <v>16 602  16 715  412287-5</v>
      </c>
    </row>
    <row r="1517" spans="1:8" x14ac:dyDescent="0.25">
      <c r="E1517" t="str">
        <f>"201901036107"</f>
        <v>201901036107</v>
      </c>
      <c r="F1517" t="str">
        <f>"56 937  306022018E"</f>
        <v>56 937  306022018E</v>
      </c>
      <c r="G1517" s="2">
        <v>375</v>
      </c>
      <c r="H1517" t="str">
        <f>"56 937  306022018E"</f>
        <v>56 937  306022018E</v>
      </c>
    </row>
    <row r="1518" spans="1:8" x14ac:dyDescent="0.25">
      <c r="E1518" t="str">
        <f>"201901036109"</f>
        <v>201901036109</v>
      </c>
      <c r="F1518" t="str">
        <f>"56 214"</f>
        <v>56 214</v>
      </c>
      <c r="G1518" s="2">
        <v>250</v>
      </c>
      <c r="H1518" t="str">
        <f>"56 214"</f>
        <v>56 214</v>
      </c>
    </row>
    <row r="1519" spans="1:8" x14ac:dyDescent="0.25">
      <c r="A1519" t="s">
        <v>493</v>
      </c>
      <c r="B1519">
        <v>404</v>
      </c>
      <c r="C1519" s="2">
        <v>1650</v>
      </c>
      <c r="D1519" s="1">
        <v>43494</v>
      </c>
      <c r="E1519" t="str">
        <f>"201901166584"</f>
        <v>201901166584</v>
      </c>
      <c r="F1519" t="str">
        <f>"423-6258  1035-335  1034-21"</f>
        <v>423-6258  1035-335  1034-21</v>
      </c>
      <c r="G1519" s="2">
        <v>300</v>
      </c>
      <c r="H1519" t="str">
        <f>"423-6258  1035-335  1034-21"</f>
        <v>423-6258  1035-335  1034-21</v>
      </c>
    </row>
    <row r="1520" spans="1:8" x14ac:dyDescent="0.25">
      <c r="E1520" t="str">
        <f>"201901166585"</f>
        <v>201901166585</v>
      </c>
      <c r="F1520" t="str">
        <f>"1036-21  423-6259  1035-21"</f>
        <v>1036-21  423-6259  1035-21</v>
      </c>
      <c r="G1520" s="2">
        <v>300</v>
      </c>
      <c r="H1520" t="str">
        <f>"1036-21  423-6259  1035-21"</f>
        <v>1036-21  423-6259  1035-21</v>
      </c>
    </row>
    <row r="1521" spans="1:8" x14ac:dyDescent="0.25">
      <c r="E1521" t="str">
        <f>"201901176605"</f>
        <v>201901176605</v>
      </c>
      <c r="F1521" t="str">
        <f>"19-19431"</f>
        <v>19-19431</v>
      </c>
      <c r="G1521" s="2">
        <v>50</v>
      </c>
      <c r="H1521" t="str">
        <f>"19-19431"</f>
        <v>19-19431</v>
      </c>
    </row>
    <row r="1522" spans="1:8" x14ac:dyDescent="0.25">
      <c r="E1522" t="str">
        <f>"201901176625"</f>
        <v>201901176625</v>
      </c>
      <c r="F1522" t="str">
        <f>"56 419"</f>
        <v>56 419</v>
      </c>
      <c r="G1522" s="2">
        <v>250</v>
      </c>
      <c r="H1522" t="str">
        <f>"56 419"</f>
        <v>56 419</v>
      </c>
    </row>
    <row r="1523" spans="1:8" x14ac:dyDescent="0.25">
      <c r="E1523" t="str">
        <f>"201901176626"</f>
        <v>201901176626</v>
      </c>
      <c r="F1523" t="str">
        <f>"56 023  56 082"</f>
        <v>56 023  56 082</v>
      </c>
      <c r="G1523" s="2">
        <v>375</v>
      </c>
      <c r="H1523" t="str">
        <f>"56 023  56 082"</f>
        <v>56 023  56 082</v>
      </c>
    </row>
    <row r="1524" spans="1:8" x14ac:dyDescent="0.25">
      <c r="E1524" t="str">
        <f>"201901176641"</f>
        <v>201901176641</v>
      </c>
      <c r="F1524" t="str">
        <f>"55 881  18-S-01763"</f>
        <v>55 881  18-S-01763</v>
      </c>
      <c r="G1524" s="2">
        <v>375</v>
      </c>
      <c r="H1524" t="str">
        <f>"55 881  18-S-01763"</f>
        <v>55 881  18-S-01763</v>
      </c>
    </row>
    <row r="1525" spans="1:8" x14ac:dyDescent="0.25">
      <c r="A1525" t="s">
        <v>494</v>
      </c>
      <c r="B1525">
        <v>307</v>
      </c>
      <c r="C1525" s="2">
        <v>137</v>
      </c>
      <c r="D1525" s="1">
        <v>43480</v>
      </c>
      <c r="E1525" t="str">
        <f>"1385"</f>
        <v>1385</v>
      </c>
      <c r="F1525" t="str">
        <f>"INSPECTIONS/PCT#2"</f>
        <v>INSPECTIONS/PCT#2</v>
      </c>
      <c r="G1525" s="2">
        <v>102</v>
      </c>
      <c r="H1525" t="str">
        <f>"INSPECTIONS/PCT#2"</f>
        <v>INSPECTIONS/PCT#2</v>
      </c>
    </row>
    <row r="1526" spans="1:8" x14ac:dyDescent="0.25">
      <c r="E1526" t="str">
        <f>"1404"</f>
        <v>1404</v>
      </c>
      <c r="F1526" t="str">
        <f>"INSPECTIONS/PCT#2"</f>
        <v>INSPECTIONS/PCT#2</v>
      </c>
      <c r="G1526" s="2">
        <v>35</v>
      </c>
      <c r="H1526" t="str">
        <f>"INSPECTIONS/PCT#2"</f>
        <v>INSPECTIONS/PCT#2</v>
      </c>
    </row>
    <row r="1527" spans="1:8" x14ac:dyDescent="0.25">
      <c r="A1527" t="s">
        <v>494</v>
      </c>
      <c r="B1527">
        <v>367</v>
      </c>
      <c r="C1527" s="2">
        <v>7</v>
      </c>
      <c r="D1527" s="1">
        <v>43494</v>
      </c>
      <c r="E1527" t="str">
        <f>"1406"</f>
        <v>1406</v>
      </c>
      <c r="F1527" t="str">
        <f>"INSPECTION/PCT#2"</f>
        <v>INSPECTION/PCT#2</v>
      </c>
      <c r="G1527" s="2">
        <v>7</v>
      </c>
      <c r="H1527" t="str">
        <f>"INSPECTION/PCT#2"</f>
        <v>INSPECTION/PCT#2</v>
      </c>
    </row>
    <row r="1528" spans="1:8" x14ac:dyDescent="0.25">
      <c r="A1528" t="s">
        <v>495</v>
      </c>
      <c r="B1528">
        <v>80494</v>
      </c>
      <c r="C1528" s="2">
        <v>1520</v>
      </c>
      <c r="D1528" s="1">
        <v>43479</v>
      </c>
      <c r="E1528" t="str">
        <f>"201901026075"</f>
        <v>201901026075</v>
      </c>
      <c r="F1528" t="str">
        <f>"ACCT#0620010/WTR0051596-98"</f>
        <v>ACCT#0620010/WTR0051596-98</v>
      </c>
      <c r="G1528" s="2">
        <v>1520</v>
      </c>
      <c r="H1528" t="str">
        <f>"ACCT#0620010/WTR0051596-98"</f>
        <v>ACCT#0620010/WTR0051596-98</v>
      </c>
    </row>
    <row r="1529" spans="1:8" x14ac:dyDescent="0.25">
      <c r="A1529" t="s">
        <v>496</v>
      </c>
      <c r="B1529">
        <v>80495</v>
      </c>
      <c r="C1529" s="2">
        <v>3450</v>
      </c>
      <c r="D1529" s="1">
        <v>43479</v>
      </c>
      <c r="E1529" t="str">
        <f>"201812286056"</f>
        <v>201812286056</v>
      </c>
      <c r="F1529" t="str">
        <f>"ACCT#298344/WT TOLERANCE PERMI"</f>
        <v>ACCT#298344/WT TOLERANCE PERMI</v>
      </c>
      <c r="G1529" s="2">
        <v>3450</v>
      </c>
      <c r="H1529" t="str">
        <f>"ACCT#298344/WT TOLERANCE PERMI"</f>
        <v>ACCT#298344/WT TOLERANCE PERMI</v>
      </c>
    </row>
    <row r="1530" spans="1:8" x14ac:dyDescent="0.25">
      <c r="A1530" t="s">
        <v>497</v>
      </c>
      <c r="B1530">
        <v>286</v>
      </c>
      <c r="C1530" s="2">
        <v>492.94</v>
      </c>
      <c r="D1530" s="1">
        <v>43480</v>
      </c>
      <c r="E1530" t="str">
        <f>"10262188"</f>
        <v>10262188</v>
      </c>
      <c r="F1530" t="str">
        <f>"ACCT#38049/DOOR/PCT#4"</f>
        <v>ACCT#38049/DOOR/PCT#4</v>
      </c>
      <c r="G1530" s="2">
        <v>492.94</v>
      </c>
      <c r="H1530" t="str">
        <f>"ACCT#38049/DOOR/PCT#4"</f>
        <v>ACCT#38049/DOOR/PCT#4</v>
      </c>
    </row>
    <row r="1531" spans="1:8" x14ac:dyDescent="0.25">
      <c r="A1531" t="s">
        <v>498</v>
      </c>
      <c r="B1531">
        <v>80444</v>
      </c>
      <c r="C1531" s="2">
        <v>7553.02</v>
      </c>
      <c r="D1531" s="1">
        <v>43479</v>
      </c>
      <c r="E1531" t="str">
        <f>"201901096505"</f>
        <v>201901096505</v>
      </c>
      <c r="F1531" t="str">
        <f>"INDIGENT HEALTH"</f>
        <v>INDIGENT HEALTH</v>
      </c>
      <c r="G1531" s="2">
        <v>7553.02</v>
      </c>
      <c r="H1531" t="str">
        <f>"INDIGENT HEALTH"</f>
        <v>INDIGENT HEALTH</v>
      </c>
    </row>
    <row r="1532" spans="1:8" x14ac:dyDescent="0.25">
      <c r="A1532" t="s">
        <v>498</v>
      </c>
      <c r="B1532">
        <v>80749</v>
      </c>
      <c r="C1532" s="2">
        <v>4211.1400000000003</v>
      </c>
      <c r="D1532" s="1">
        <v>43493</v>
      </c>
      <c r="E1532" t="str">
        <f>"201901226736"</f>
        <v>201901226736</v>
      </c>
      <c r="F1532" t="str">
        <f>"INDIGENT HEALTH"</f>
        <v>INDIGENT HEALTH</v>
      </c>
      <c r="G1532" s="2">
        <v>1507.84</v>
      </c>
      <c r="H1532" t="str">
        <f>"INDIGENT HEALTH"</f>
        <v>INDIGENT HEALTH</v>
      </c>
    </row>
    <row r="1533" spans="1:8" x14ac:dyDescent="0.25">
      <c r="E1533" t="str">
        <f>"201901236758"</f>
        <v>201901236758</v>
      </c>
      <c r="F1533" t="str">
        <f>"JAIL MEDICAL"</f>
        <v>JAIL MEDICAL</v>
      </c>
      <c r="G1533" s="2">
        <v>2703.3</v>
      </c>
      <c r="H1533" t="str">
        <f>"JAIL MEDICAL"</f>
        <v>JAIL MEDICAL</v>
      </c>
    </row>
    <row r="1534" spans="1:8" x14ac:dyDescent="0.25">
      <c r="A1534" t="s">
        <v>499</v>
      </c>
      <c r="B1534">
        <v>80782</v>
      </c>
      <c r="C1534" s="2">
        <v>1305</v>
      </c>
      <c r="D1534" s="1">
        <v>43493</v>
      </c>
      <c r="E1534" t="str">
        <f>"201901236749"</f>
        <v>201901236749</v>
      </c>
      <c r="F1534" t="str">
        <f>"UNIVERSITY OF TEXAS"</f>
        <v>UNIVERSITY OF TEXAS</v>
      </c>
      <c r="G1534" s="2">
        <v>435</v>
      </c>
      <c r="H1534" t="str">
        <f>"Const Purchasing Man"</f>
        <v>Const Purchasing Man</v>
      </c>
    </row>
    <row r="1535" spans="1:8" x14ac:dyDescent="0.25">
      <c r="E1535" t="str">
        <f>"201901236750"</f>
        <v>201901236750</v>
      </c>
      <c r="F1535" t="str">
        <f>"UNIVERSITY OF TEXAS"</f>
        <v>UNIVERSITY OF TEXAS</v>
      </c>
      <c r="G1535" s="2">
        <v>435</v>
      </c>
      <c r="H1535" t="str">
        <f>"Proj Const Mgt"</f>
        <v>Proj Const Mgt</v>
      </c>
    </row>
    <row r="1536" spans="1:8" x14ac:dyDescent="0.25">
      <c r="E1536" t="str">
        <f>"201901236751"</f>
        <v>201901236751</v>
      </c>
      <c r="F1536" t="str">
        <f>"UNIVERSITY OF TEXAS"</f>
        <v>UNIVERSITY OF TEXAS</v>
      </c>
      <c r="G1536" s="2">
        <v>435</v>
      </c>
      <c r="H1536" t="str">
        <f>"Basics of Const"</f>
        <v>Basics of Const</v>
      </c>
    </row>
    <row r="1537" spans="1:8" x14ac:dyDescent="0.25">
      <c r="A1537" t="s">
        <v>500</v>
      </c>
      <c r="B1537">
        <v>80783</v>
      </c>
      <c r="C1537" s="2">
        <v>67.319999999999993</v>
      </c>
      <c r="D1537" s="1">
        <v>43493</v>
      </c>
      <c r="E1537" t="str">
        <f>"000018VW63029"</f>
        <v>000018VW63029</v>
      </c>
      <c r="F1537" t="str">
        <f>"SHIPPER#18VW63"</f>
        <v>SHIPPER#18VW63</v>
      </c>
      <c r="G1537" s="2">
        <v>67.319999999999993</v>
      </c>
      <c r="H1537" t="str">
        <f>"SHIPPER#18VW63"</f>
        <v>SHIPPER#18VW63</v>
      </c>
    </row>
    <row r="1538" spans="1:8" x14ac:dyDescent="0.25">
      <c r="A1538" t="s">
        <v>501</v>
      </c>
      <c r="B1538">
        <v>80784</v>
      </c>
      <c r="C1538" s="2">
        <v>25</v>
      </c>
      <c r="D1538" s="1">
        <v>43493</v>
      </c>
      <c r="E1538" t="str">
        <f>"201901176699"</f>
        <v>201901176699</v>
      </c>
      <c r="F1538" t="str">
        <f>"FERAL HOGS"</f>
        <v>FERAL HOGS</v>
      </c>
      <c r="G1538" s="2">
        <v>15</v>
      </c>
      <c r="H1538" t="str">
        <f>"FERAL HOGS"</f>
        <v>FERAL HOGS</v>
      </c>
    </row>
    <row r="1539" spans="1:8" x14ac:dyDescent="0.25">
      <c r="E1539" t="str">
        <f>"201901176700"</f>
        <v>201901176700</v>
      </c>
      <c r="F1539" t="str">
        <f>"FERAL HOGS"</f>
        <v>FERAL HOGS</v>
      </c>
      <c r="G1539" s="2">
        <v>10</v>
      </c>
      <c r="H1539" t="str">
        <f>"FERAL HOGS"</f>
        <v>FERAL HOGS</v>
      </c>
    </row>
    <row r="1540" spans="1:8" x14ac:dyDescent="0.25">
      <c r="A1540" t="s">
        <v>502</v>
      </c>
      <c r="B1540">
        <v>80496</v>
      </c>
      <c r="C1540" s="2">
        <v>89.67</v>
      </c>
      <c r="D1540" s="1">
        <v>43479</v>
      </c>
      <c r="E1540" t="str">
        <f>"2007415"</f>
        <v>2007415</v>
      </c>
      <c r="F1540" t="str">
        <f>"ACCT#17460002268 003/REMOTE BI"</f>
        <v>ACCT#17460002268 003/REMOTE BI</v>
      </c>
      <c r="G1540" s="2">
        <v>89.67</v>
      </c>
      <c r="H1540" t="str">
        <f>"ACCT#17460002268 003/REMOTE BI"</f>
        <v>ACCT#17460002268 003/REMOTE BI</v>
      </c>
    </row>
    <row r="1541" spans="1:8" x14ac:dyDescent="0.25">
      <c r="A1541" t="s">
        <v>503</v>
      </c>
      <c r="B1541">
        <v>80497</v>
      </c>
      <c r="C1541" s="2">
        <v>42307.839999999997</v>
      </c>
      <c r="D1541" s="1">
        <v>43479</v>
      </c>
      <c r="E1541" t="str">
        <f>"201901086448"</f>
        <v>201901086448</v>
      </c>
      <c r="F1541" t="str">
        <f>"Acct# 869395921"</f>
        <v>Acct# 869395921</v>
      </c>
      <c r="G1541" s="2">
        <v>42307.839999999997</v>
      </c>
      <c r="H1541" t="str">
        <f>"Fuel"</f>
        <v>Fuel</v>
      </c>
    </row>
    <row r="1542" spans="1:8" x14ac:dyDescent="0.25">
      <c r="E1542" t="str">
        <f>""</f>
        <v/>
      </c>
      <c r="F1542" t="str">
        <f>""</f>
        <v/>
      </c>
      <c r="H1542" t="str">
        <f>"Tax"</f>
        <v>Tax</v>
      </c>
    </row>
    <row r="1543" spans="1:8" x14ac:dyDescent="0.25">
      <c r="E1543" t="str">
        <f>""</f>
        <v/>
      </c>
      <c r="F1543" t="str">
        <f>""</f>
        <v/>
      </c>
      <c r="H1543" t="str">
        <f>"Fuel"</f>
        <v>Fuel</v>
      </c>
    </row>
    <row r="1544" spans="1:8" x14ac:dyDescent="0.25">
      <c r="E1544" t="str">
        <f>""</f>
        <v/>
      </c>
      <c r="F1544" t="str">
        <f>""</f>
        <v/>
      </c>
      <c r="H1544" t="str">
        <f>"Tax"</f>
        <v>Tax</v>
      </c>
    </row>
    <row r="1545" spans="1:8" x14ac:dyDescent="0.25">
      <c r="E1545" t="str">
        <f>""</f>
        <v/>
      </c>
      <c r="F1545" t="str">
        <f>""</f>
        <v/>
      </c>
      <c r="H1545" t="str">
        <f>"Maintenace"</f>
        <v>Maintenace</v>
      </c>
    </row>
    <row r="1546" spans="1:8" x14ac:dyDescent="0.25">
      <c r="E1546" t="str">
        <f>""</f>
        <v/>
      </c>
      <c r="F1546" t="str">
        <f>""</f>
        <v/>
      </c>
      <c r="H1546" t="str">
        <f>"Fuel"</f>
        <v>Fuel</v>
      </c>
    </row>
    <row r="1547" spans="1:8" x14ac:dyDescent="0.25">
      <c r="E1547" t="str">
        <f>""</f>
        <v/>
      </c>
      <c r="F1547" t="str">
        <f>""</f>
        <v/>
      </c>
      <c r="H1547" t="str">
        <f>"Tax"</f>
        <v>Tax</v>
      </c>
    </row>
    <row r="1548" spans="1:8" x14ac:dyDescent="0.25">
      <c r="E1548" t="str">
        <f>""</f>
        <v/>
      </c>
      <c r="F1548" t="str">
        <f>""</f>
        <v/>
      </c>
      <c r="H1548" t="str">
        <f>"Fuel"</f>
        <v>Fuel</v>
      </c>
    </row>
    <row r="1549" spans="1:8" x14ac:dyDescent="0.25">
      <c r="E1549" t="str">
        <f>""</f>
        <v/>
      </c>
      <c r="F1549" t="str">
        <f>""</f>
        <v/>
      </c>
      <c r="H1549" t="str">
        <f>"Tax"</f>
        <v>Tax</v>
      </c>
    </row>
    <row r="1550" spans="1:8" x14ac:dyDescent="0.25">
      <c r="E1550" t="str">
        <f>""</f>
        <v/>
      </c>
      <c r="F1550" t="str">
        <f>""</f>
        <v/>
      </c>
      <c r="H1550" t="str">
        <f>"Maintenace"</f>
        <v>Maintenace</v>
      </c>
    </row>
    <row r="1551" spans="1:8" x14ac:dyDescent="0.25">
      <c r="E1551" t="str">
        <f>""</f>
        <v/>
      </c>
      <c r="F1551" t="str">
        <f>""</f>
        <v/>
      </c>
      <c r="H1551" t="str">
        <f>"Fuel"</f>
        <v>Fuel</v>
      </c>
    </row>
    <row r="1552" spans="1:8" x14ac:dyDescent="0.25">
      <c r="E1552" t="str">
        <f>""</f>
        <v/>
      </c>
      <c r="F1552" t="str">
        <f>""</f>
        <v/>
      </c>
      <c r="H1552" t="str">
        <f>"Tax"</f>
        <v>Tax</v>
      </c>
    </row>
    <row r="1553" spans="1:8" x14ac:dyDescent="0.25">
      <c r="E1553" t="str">
        <f>""</f>
        <v/>
      </c>
      <c r="F1553" t="str">
        <f>""</f>
        <v/>
      </c>
      <c r="H1553" t="str">
        <f>"Maintenance"</f>
        <v>Maintenance</v>
      </c>
    </row>
    <row r="1554" spans="1:8" x14ac:dyDescent="0.25">
      <c r="E1554" t="str">
        <f>""</f>
        <v/>
      </c>
      <c r="F1554" t="str">
        <f>""</f>
        <v/>
      </c>
      <c r="H1554" t="str">
        <f>"Fuel"</f>
        <v>Fuel</v>
      </c>
    </row>
    <row r="1555" spans="1:8" x14ac:dyDescent="0.25">
      <c r="E1555" t="str">
        <f>""</f>
        <v/>
      </c>
      <c r="F1555" t="str">
        <f>""</f>
        <v/>
      </c>
      <c r="H1555" t="str">
        <f>"Tax"</f>
        <v>Tax</v>
      </c>
    </row>
    <row r="1556" spans="1:8" x14ac:dyDescent="0.25">
      <c r="E1556" t="str">
        <f>""</f>
        <v/>
      </c>
      <c r="F1556" t="str">
        <f>""</f>
        <v/>
      </c>
      <c r="H1556" t="str">
        <f>"Fuel"</f>
        <v>Fuel</v>
      </c>
    </row>
    <row r="1557" spans="1:8" x14ac:dyDescent="0.25">
      <c r="E1557" t="str">
        <f>""</f>
        <v/>
      </c>
      <c r="F1557" t="str">
        <f>""</f>
        <v/>
      </c>
      <c r="H1557" t="str">
        <f>"Tax"</f>
        <v>Tax</v>
      </c>
    </row>
    <row r="1558" spans="1:8" x14ac:dyDescent="0.25">
      <c r="E1558" t="str">
        <f>""</f>
        <v/>
      </c>
      <c r="F1558" t="str">
        <f>""</f>
        <v/>
      </c>
      <c r="H1558" t="str">
        <f>"Fuel"</f>
        <v>Fuel</v>
      </c>
    </row>
    <row r="1559" spans="1:8" x14ac:dyDescent="0.25">
      <c r="E1559" t="str">
        <f>""</f>
        <v/>
      </c>
      <c r="F1559" t="str">
        <f>""</f>
        <v/>
      </c>
      <c r="H1559" t="str">
        <f>"Tax"</f>
        <v>Tax</v>
      </c>
    </row>
    <row r="1560" spans="1:8" x14ac:dyDescent="0.25">
      <c r="E1560" t="str">
        <f>""</f>
        <v/>
      </c>
      <c r="F1560" t="str">
        <f>""</f>
        <v/>
      </c>
      <c r="H1560" t="str">
        <f>"Fuel"</f>
        <v>Fuel</v>
      </c>
    </row>
    <row r="1561" spans="1:8" x14ac:dyDescent="0.25">
      <c r="E1561" t="str">
        <f>""</f>
        <v/>
      </c>
      <c r="F1561" t="str">
        <f>""</f>
        <v/>
      </c>
      <c r="H1561" t="str">
        <f>"Tax"</f>
        <v>Tax</v>
      </c>
    </row>
    <row r="1562" spans="1:8" x14ac:dyDescent="0.25">
      <c r="E1562" t="str">
        <f>""</f>
        <v/>
      </c>
      <c r="F1562" t="str">
        <f>""</f>
        <v/>
      </c>
      <c r="H1562" t="str">
        <f>"Maintanence"</f>
        <v>Maintanence</v>
      </c>
    </row>
    <row r="1563" spans="1:8" x14ac:dyDescent="0.25">
      <c r="E1563" t="str">
        <f>""</f>
        <v/>
      </c>
      <c r="F1563" t="str">
        <f>""</f>
        <v/>
      </c>
      <c r="H1563" t="str">
        <f>"Fuel"</f>
        <v>Fuel</v>
      </c>
    </row>
    <row r="1564" spans="1:8" x14ac:dyDescent="0.25">
      <c r="E1564" t="str">
        <f>""</f>
        <v/>
      </c>
      <c r="F1564" t="str">
        <f>""</f>
        <v/>
      </c>
      <c r="H1564" t="str">
        <f>"Tax"</f>
        <v>Tax</v>
      </c>
    </row>
    <row r="1565" spans="1:8" x14ac:dyDescent="0.25">
      <c r="E1565" t="str">
        <f>""</f>
        <v/>
      </c>
      <c r="F1565" t="str">
        <f>""</f>
        <v/>
      </c>
      <c r="H1565" t="str">
        <f>"Maintanance"</f>
        <v>Maintanance</v>
      </c>
    </row>
    <row r="1566" spans="1:8" x14ac:dyDescent="0.25">
      <c r="E1566" t="str">
        <f>""</f>
        <v/>
      </c>
      <c r="F1566" t="str">
        <f>""</f>
        <v/>
      </c>
      <c r="H1566" t="str">
        <f>"Maintance"</f>
        <v>Maintance</v>
      </c>
    </row>
    <row r="1567" spans="1:8" x14ac:dyDescent="0.25">
      <c r="A1567" t="s">
        <v>504</v>
      </c>
      <c r="B1567">
        <v>294</v>
      </c>
      <c r="C1567" s="2">
        <v>10554.83</v>
      </c>
      <c r="D1567" s="1">
        <v>43480</v>
      </c>
      <c r="E1567" t="str">
        <f>"15930"</f>
        <v>15930</v>
      </c>
      <c r="F1567" t="str">
        <f>"COLD MIX/PCT#4"</f>
        <v>COLD MIX/PCT#4</v>
      </c>
      <c r="G1567" s="2">
        <v>2569.6799999999998</v>
      </c>
      <c r="H1567" t="str">
        <f>"COLD MIX/PCT#4"</f>
        <v>COLD MIX/PCT#4</v>
      </c>
    </row>
    <row r="1568" spans="1:8" x14ac:dyDescent="0.25">
      <c r="E1568" t="str">
        <f>"15979"</f>
        <v>15979</v>
      </c>
      <c r="F1568" t="str">
        <f>"COLD MIX/FREIGHT/PCT#3"</f>
        <v>COLD MIX/FREIGHT/PCT#3</v>
      </c>
      <c r="G1568" s="2">
        <v>2728.35</v>
      </c>
      <c r="H1568" t="str">
        <f>"COLD MIX/FREIGHT/PCT#3"</f>
        <v>COLD MIX/FREIGHT/PCT#3</v>
      </c>
    </row>
    <row r="1569" spans="1:8" x14ac:dyDescent="0.25">
      <c r="E1569" t="str">
        <f>"15980"</f>
        <v>15980</v>
      </c>
      <c r="F1569" t="str">
        <f>"COLD MIX/FREIGHT/PCT#1"</f>
        <v>COLD MIX/FREIGHT/PCT#1</v>
      </c>
      <c r="G1569" s="2">
        <v>2655.35</v>
      </c>
      <c r="H1569" t="str">
        <f>"COLD MIX/FREIGHT/PCT#1"</f>
        <v>COLD MIX/FREIGHT/PCT#1</v>
      </c>
    </row>
    <row r="1570" spans="1:8" x14ac:dyDescent="0.25">
      <c r="E1570" t="str">
        <f>"15981"</f>
        <v>15981</v>
      </c>
      <c r="F1570" t="str">
        <f>"COLD MIX/FREIGHT/PCT#4"</f>
        <v>COLD MIX/FREIGHT/PCT#4</v>
      </c>
      <c r="G1570" s="2">
        <v>2601.4499999999998</v>
      </c>
      <c r="H1570" t="str">
        <f>"COLD MIX/FREIGHT/PCT#4"</f>
        <v>COLD MIX/FREIGHT/PCT#4</v>
      </c>
    </row>
    <row r="1571" spans="1:8" x14ac:dyDescent="0.25">
      <c r="A1571" t="s">
        <v>504</v>
      </c>
      <c r="B1571">
        <v>359</v>
      </c>
      <c r="C1571" s="2">
        <v>7739.42</v>
      </c>
      <c r="D1571" s="1">
        <v>43494</v>
      </c>
      <c r="E1571" t="str">
        <f>"15997"</f>
        <v>15997</v>
      </c>
      <c r="F1571" t="str">
        <f>"COLD MIX/FREIGHT/PCT#4"</f>
        <v>COLD MIX/FREIGHT/PCT#4</v>
      </c>
      <c r="G1571" s="2">
        <v>2555.33</v>
      </c>
      <c r="H1571" t="str">
        <f>"COLD MIX/FREIGHT/PCT#4"</f>
        <v>COLD MIX/FREIGHT/PCT#4</v>
      </c>
    </row>
    <row r="1572" spans="1:8" x14ac:dyDescent="0.25">
      <c r="E1572" t="str">
        <f>"16037"</f>
        <v>16037</v>
      </c>
      <c r="F1572" t="str">
        <f>"COLD MIX/FREIGHT/PCT#1"</f>
        <v>COLD MIX/FREIGHT/PCT#1</v>
      </c>
      <c r="G1572" s="2">
        <v>2605.19</v>
      </c>
      <c r="H1572" t="str">
        <f>"COLD MIX/FREIGHT/PCT#1"</f>
        <v>COLD MIX/FREIGHT/PCT#1</v>
      </c>
    </row>
    <row r="1573" spans="1:8" x14ac:dyDescent="0.25">
      <c r="E1573" t="str">
        <f>"16064"</f>
        <v>16064</v>
      </c>
      <c r="F1573" t="str">
        <f>"COLD MIX / PCT #4"</f>
        <v>COLD MIX / PCT #4</v>
      </c>
      <c r="G1573" s="2">
        <v>2578.9</v>
      </c>
      <c r="H1573" t="str">
        <f>"COLD MIX / PCT #4"</f>
        <v>COLD MIX / PCT #4</v>
      </c>
    </row>
    <row r="1574" spans="1:8" x14ac:dyDescent="0.25">
      <c r="A1574" t="s">
        <v>505</v>
      </c>
      <c r="B1574">
        <v>80498</v>
      </c>
      <c r="C1574" s="2">
        <v>668.16</v>
      </c>
      <c r="D1574" s="1">
        <v>43479</v>
      </c>
      <c r="E1574" t="str">
        <f>"201901076412"</f>
        <v>201901076412</v>
      </c>
      <c r="F1574" t="str">
        <f>"Acct# 60322020532476"</f>
        <v>Acct# 60322020532476</v>
      </c>
      <c r="G1574" s="2">
        <v>668.16</v>
      </c>
      <c r="H1574" t="str">
        <f>"Inv# 005766"</f>
        <v>Inv# 005766</v>
      </c>
    </row>
    <row r="1575" spans="1:8" x14ac:dyDescent="0.25">
      <c r="E1575" t="str">
        <f>""</f>
        <v/>
      </c>
      <c r="F1575" t="str">
        <f>""</f>
        <v/>
      </c>
      <c r="H1575" t="str">
        <f>"Inv# 002152"</f>
        <v>Inv# 002152</v>
      </c>
    </row>
    <row r="1576" spans="1:8" x14ac:dyDescent="0.25">
      <c r="E1576" t="str">
        <f>""</f>
        <v/>
      </c>
      <c r="F1576" t="str">
        <f>""</f>
        <v/>
      </c>
      <c r="H1576" t="str">
        <f>"Inv# 001594"</f>
        <v>Inv# 001594</v>
      </c>
    </row>
    <row r="1577" spans="1:8" x14ac:dyDescent="0.25">
      <c r="E1577" t="str">
        <f>""</f>
        <v/>
      </c>
      <c r="F1577" t="str">
        <f>""</f>
        <v/>
      </c>
      <c r="H1577" t="str">
        <f>"Inv# 002582"</f>
        <v>Inv# 002582</v>
      </c>
    </row>
    <row r="1578" spans="1:8" x14ac:dyDescent="0.25">
      <c r="E1578" t="str">
        <f>""</f>
        <v/>
      </c>
      <c r="F1578" t="str">
        <f>""</f>
        <v/>
      </c>
      <c r="H1578" t="str">
        <f>"Inv# 002503"</f>
        <v>Inv# 002503</v>
      </c>
    </row>
    <row r="1579" spans="1:8" x14ac:dyDescent="0.25">
      <c r="E1579" t="str">
        <f>""</f>
        <v/>
      </c>
      <c r="F1579" t="str">
        <f>""</f>
        <v/>
      </c>
      <c r="H1579" t="str">
        <f>"Inv# 009491"</f>
        <v>Inv# 009491</v>
      </c>
    </row>
    <row r="1580" spans="1:8" x14ac:dyDescent="0.25">
      <c r="E1580" t="str">
        <f>""</f>
        <v/>
      </c>
      <c r="F1580" t="str">
        <f>""</f>
        <v/>
      </c>
      <c r="H1580" t="str">
        <f>"Inv# 004400"</f>
        <v>Inv# 004400</v>
      </c>
    </row>
    <row r="1581" spans="1:8" x14ac:dyDescent="0.25">
      <c r="E1581" t="str">
        <f>""</f>
        <v/>
      </c>
      <c r="F1581" t="str">
        <f>""</f>
        <v/>
      </c>
      <c r="H1581" t="str">
        <f>"Inv# 002931"</f>
        <v>Inv# 002931</v>
      </c>
    </row>
    <row r="1582" spans="1:8" x14ac:dyDescent="0.25">
      <c r="E1582" t="str">
        <f>""</f>
        <v/>
      </c>
      <c r="F1582" t="str">
        <f>""</f>
        <v/>
      </c>
      <c r="H1582" t="str">
        <f>"Inv# 008322"</f>
        <v>Inv# 008322</v>
      </c>
    </row>
    <row r="1583" spans="1:8" x14ac:dyDescent="0.25">
      <c r="E1583" t="str">
        <f>""</f>
        <v/>
      </c>
      <c r="F1583" t="str">
        <f>""</f>
        <v/>
      </c>
      <c r="H1583" t="str">
        <f>"Inv# 007780"</f>
        <v>Inv# 007780</v>
      </c>
    </row>
    <row r="1584" spans="1:8" x14ac:dyDescent="0.25">
      <c r="E1584" t="str">
        <f>""</f>
        <v/>
      </c>
      <c r="F1584" t="str">
        <f>""</f>
        <v/>
      </c>
      <c r="H1584" t="str">
        <f>"Inv# 008340"</f>
        <v>Inv# 008340</v>
      </c>
    </row>
    <row r="1585" spans="1:8" x14ac:dyDescent="0.25">
      <c r="E1585" t="str">
        <f>""</f>
        <v/>
      </c>
      <c r="F1585" t="str">
        <f>""</f>
        <v/>
      </c>
      <c r="H1585" t="str">
        <f>"Inv# 002712"</f>
        <v>Inv# 002712</v>
      </c>
    </row>
    <row r="1586" spans="1:8" x14ac:dyDescent="0.25">
      <c r="A1586" t="s">
        <v>506</v>
      </c>
      <c r="B1586">
        <v>80301</v>
      </c>
      <c r="C1586" s="2">
        <v>18871.16</v>
      </c>
      <c r="D1586" s="1">
        <v>43469</v>
      </c>
      <c r="E1586" t="str">
        <f>"1702090239"</f>
        <v>1702090239</v>
      </c>
      <c r="F1586" t="str">
        <f>"ACCT#5150-005117630 / 123118"</f>
        <v>ACCT#5150-005117630 / 123118</v>
      </c>
      <c r="G1586" s="2">
        <v>250.29</v>
      </c>
      <c r="H1586" t="str">
        <f>"ACCT#5150-005117630 / 123118"</f>
        <v>ACCT#5150-005117630 / 123118</v>
      </c>
    </row>
    <row r="1587" spans="1:8" x14ac:dyDescent="0.25">
      <c r="E1587" t="str">
        <f>"1702090240"</f>
        <v>1702090240</v>
      </c>
      <c r="F1587" t="str">
        <f>"ACCT#5150-005117766 / 123118"</f>
        <v>ACCT#5150-005117766 / 123118</v>
      </c>
      <c r="G1587" s="2">
        <v>109.87</v>
      </c>
      <c r="H1587" t="str">
        <f>"ACCT#5150-005117766 / 123118"</f>
        <v>ACCT#5150-005117766 / 123118</v>
      </c>
    </row>
    <row r="1588" spans="1:8" x14ac:dyDescent="0.25">
      <c r="E1588" t="str">
        <f>"1702090241"</f>
        <v>1702090241</v>
      </c>
      <c r="F1588" t="str">
        <f>"ACCT#5150-005117838 / 123118"</f>
        <v>ACCT#5150-005117838 / 123118</v>
      </c>
      <c r="G1588" s="2">
        <v>101.69</v>
      </c>
      <c r="H1588" t="str">
        <f>"ACCT#5150-005117838 / 123118"</f>
        <v>ACCT#5150-005117838 / 123118</v>
      </c>
    </row>
    <row r="1589" spans="1:8" x14ac:dyDescent="0.25">
      <c r="E1589" t="str">
        <f>"1702090243"</f>
        <v>1702090243</v>
      </c>
      <c r="F1589" t="str">
        <f>"ACCT#5150-005117882 / 123118"</f>
        <v>ACCT#5150-005117882 / 123118</v>
      </c>
      <c r="G1589" s="2">
        <v>137.32</v>
      </c>
      <c r="H1589" t="str">
        <f>"ACCT#5150-005117882 / 123118"</f>
        <v>ACCT#5150-005117882 / 123118</v>
      </c>
    </row>
    <row r="1590" spans="1:8" x14ac:dyDescent="0.25">
      <c r="E1590" t="str">
        <f>"1702090245"</f>
        <v>1702090245</v>
      </c>
      <c r="F1590" t="str">
        <f>"ACCT#5150-005118183 / 123118"</f>
        <v>ACCT#5150-005118183 / 123118</v>
      </c>
      <c r="G1590" s="2">
        <v>589.49</v>
      </c>
      <c r="H1590" t="str">
        <f>"ACCT#5150-005118183 / 123118"</f>
        <v>ACCT#5150-005118183 / 123118</v>
      </c>
    </row>
    <row r="1591" spans="1:8" x14ac:dyDescent="0.25">
      <c r="E1591" t="str">
        <f>"1702090257"</f>
        <v>1702090257</v>
      </c>
      <c r="F1591" t="str">
        <f>"ACCT#5150-005129483 / 123118"</f>
        <v>ACCT#5150-005129483 / 123118</v>
      </c>
      <c r="G1591" s="2">
        <v>17682.5</v>
      </c>
      <c r="H1591" t="str">
        <f>"ACCT#5150-005129483 / 123118"</f>
        <v>ACCT#5150-005129483 / 123118</v>
      </c>
    </row>
    <row r="1592" spans="1:8" x14ac:dyDescent="0.25">
      <c r="A1592" t="s">
        <v>507</v>
      </c>
      <c r="B1592">
        <v>80499</v>
      </c>
      <c r="C1592" s="2">
        <v>108.54</v>
      </c>
      <c r="D1592" s="1">
        <v>43479</v>
      </c>
      <c r="E1592" t="str">
        <f>"0037672-2162-9"</f>
        <v>0037672-2162-9</v>
      </c>
      <c r="F1592" t="str">
        <f>"CUST ID:16-27603-83003/ANIMAL"</f>
        <v>CUST ID:16-27603-83003/ANIMAL</v>
      </c>
      <c r="G1592" s="2">
        <v>108.54</v>
      </c>
      <c r="H1592" t="str">
        <f>"CUST ID:16-27603-83003/ANIMAL"</f>
        <v>CUST ID:16-27603-83003/ANIMAL</v>
      </c>
    </row>
    <row r="1593" spans="1:8" x14ac:dyDescent="0.25">
      <c r="A1593" t="s">
        <v>507</v>
      </c>
      <c r="B1593">
        <v>80785</v>
      </c>
      <c r="C1593" s="2">
        <v>3213.29</v>
      </c>
      <c r="D1593" s="1">
        <v>43493</v>
      </c>
      <c r="E1593" t="str">
        <f>"0001077-2161-5"</f>
        <v>0001077-2161-5</v>
      </c>
      <c r="F1593" t="str">
        <f>"CUST#2-56581-95066/ANIMAL CONT"</f>
        <v>CUST#2-56581-95066/ANIMAL CONT</v>
      </c>
      <c r="G1593" s="2">
        <v>791.09</v>
      </c>
      <c r="H1593" t="str">
        <f>"CUST#2-56581-95066/ANIMAL CONT"</f>
        <v>CUST#2-56581-95066/ANIMAL CONT</v>
      </c>
    </row>
    <row r="1594" spans="1:8" x14ac:dyDescent="0.25">
      <c r="E1594" t="str">
        <f>"0003455-2161-1"</f>
        <v>0003455-2161-1</v>
      </c>
      <c r="F1594" t="str">
        <f>"CUST ID:2-57060-55062/PCT#4"</f>
        <v>CUST ID:2-57060-55062/PCT#4</v>
      </c>
      <c r="G1594" s="2">
        <v>2422.1999999999998</v>
      </c>
      <c r="H1594" t="str">
        <f>"CUST ID:2-57060-55062/PCT#4"</f>
        <v>CUST ID:2-57060-55062/PCT#4</v>
      </c>
    </row>
    <row r="1595" spans="1:8" x14ac:dyDescent="0.25">
      <c r="A1595" t="s">
        <v>508</v>
      </c>
      <c r="B1595">
        <v>303</v>
      </c>
      <c r="C1595" s="2">
        <v>100</v>
      </c>
      <c r="D1595" s="1">
        <v>43480</v>
      </c>
      <c r="E1595" t="str">
        <f>"3325"</f>
        <v>3325</v>
      </c>
      <c r="F1595" t="str">
        <f>"COROPLAST SIGN"</f>
        <v>COROPLAST SIGN</v>
      </c>
      <c r="G1595" s="2">
        <v>100</v>
      </c>
      <c r="H1595" t="str">
        <f>"COROPLAST SIGN"</f>
        <v>COROPLAST SIGN</v>
      </c>
    </row>
    <row r="1596" spans="1:8" x14ac:dyDescent="0.25">
      <c r="A1596" t="s">
        <v>508</v>
      </c>
      <c r="B1596">
        <v>365</v>
      </c>
      <c r="C1596" s="2">
        <v>40</v>
      </c>
      <c r="D1596" s="1">
        <v>43494</v>
      </c>
      <c r="E1596" t="str">
        <f>"3352"</f>
        <v>3352</v>
      </c>
      <c r="F1596" t="str">
        <f>"VINYL BANNER"</f>
        <v>VINYL BANNER</v>
      </c>
      <c r="G1596" s="2">
        <v>40</v>
      </c>
      <c r="H1596" t="str">
        <f>"VINYL BANNER"</f>
        <v>VINYL BANNER</v>
      </c>
    </row>
    <row r="1597" spans="1:8" x14ac:dyDescent="0.25">
      <c r="A1597" t="s">
        <v>509</v>
      </c>
      <c r="B1597">
        <v>80786</v>
      </c>
      <c r="C1597" s="2">
        <v>9.98</v>
      </c>
      <c r="D1597" s="1">
        <v>43493</v>
      </c>
      <c r="E1597" t="str">
        <f>"298893"</f>
        <v>298893</v>
      </c>
      <c r="F1597" t="str">
        <f>"PAINT/GEN SVCS"</f>
        <v>PAINT/GEN SVCS</v>
      </c>
      <c r="G1597" s="2">
        <v>9.98</v>
      </c>
    </row>
    <row r="1598" spans="1:8" x14ac:dyDescent="0.25">
      <c r="A1598" t="s">
        <v>509</v>
      </c>
      <c r="B1598">
        <v>80786</v>
      </c>
      <c r="C1598" s="2">
        <v>9.98</v>
      </c>
      <c r="D1598" s="1">
        <v>43493</v>
      </c>
      <c r="E1598" t="str">
        <f>"CHECK"</f>
        <v>CHECK</v>
      </c>
      <c r="F1598" t="str">
        <f>""</f>
        <v/>
      </c>
      <c r="G1598" s="2">
        <v>9.98</v>
      </c>
    </row>
    <row r="1599" spans="1:8" x14ac:dyDescent="0.25">
      <c r="A1599" t="s">
        <v>510</v>
      </c>
      <c r="B1599">
        <v>366</v>
      </c>
      <c r="C1599" s="2">
        <v>250.75</v>
      </c>
      <c r="D1599" s="1">
        <v>43494</v>
      </c>
      <c r="E1599" t="str">
        <f>"31317"</f>
        <v>31317</v>
      </c>
      <c r="F1599" t="str">
        <f>"compact chlrorinator"</f>
        <v>compact chlrorinator</v>
      </c>
      <c r="G1599" s="2">
        <v>250.75</v>
      </c>
      <c r="H1599" t="str">
        <f>"Item# KCI 100"</f>
        <v>Item# KCI 100</v>
      </c>
    </row>
    <row r="1600" spans="1:8" x14ac:dyDescent="0.25">
      <c r="E1600" t="str">
        <f>""</f>
        <v/>
      </c>
      <c r="F1600" t="str">
        <f>""</f>
        <v/>
      </c>
      <c r="H1600" t="str">
        <f>"Item# HCC100"</f>
        <v>Item# HCC100</v>
      </c>
    </row>
    <row r="1601" spans="1:8" x14ac:dyDescent="0.25">
      <c r="E1601" t="str">
        <f>""</f>
        <v/>
      </c>
      <c r="F1601" t="str">
        <f>""</f>
        <v/>
      </c>
      <c r="H1601" t="str">
        <f>"Freight"</f>
        <v>Freight</v>
      </c>
    </row>
    <row r="1602" spans="1:8" x14ac:dyDescent="0.25">
      <c r="A1602" t="s">
        <v>511</v>
      </c>
      <c r="B1602">
        <v>362</v>
      </c>
      <c r="C1602" s="2">
        <v>14099.47</v>
      </c>
      <c r="D1602" s="1">
        <v>43494</v>
      </c>
      <c r="E1602" t="str">
        <f>"21611"</f>
        <v>21611</v>
      </c>
      <c r="F1602" t="str">
        <f>"INV 21611"</f>
        <v>INV 21611</v>
      </c>
      <c r="G1602" s="2">
        <v>14099.47</v>
      </c>
      <c r="H1602" t="str">
        <f>"INV 21611"</f>
        <v>INV 21611</v>
      </c>
    </row>
    <row r="1603" spans="1:8" x14ac:dyDescent="0.25">
      <c r="A1603" t="s">
        <v>512</v>
      </c>
      <c r="B1603">
        <v>80787</v>
      </c>
      <c r="C1603" s="2">
        <v>215</v>
      </c>
      <c r="D1603" s="1">
        <v>43493</v>
      </c>
      <c r="E1603" t="str">
        <f>"201901176701"</f>
        <v>201901176701</v>
      </c>
      <c r="F1603" t="str">
        <f>"FERAL HOGS"</f>
        <v>FERAL HOGS</v>
      </c>
      <c r="G1603" s="2">
        <v>215</v>
      </c>
      <c r="H1603" t="str">
        <f>"FERAL HOGS"</f>
        <v>FERAL HOGS</v>
      </c>
    </row>
    <row r="1604" spans="1:8" x14ac:dyDescent="0.25">
      <c r="A1604" t="s">
        <v>513</v>
      </c>
      <c r="B1604">
        <v>80500</v>
      </c>
      <c r="C1604" s="2">
        <v>140</v>
      </c>
      <c r="D1604" s="1">
        <v>43479</v>
      </c>
      <c r="E1604" t="str">
        <f>"12918"</f>
        <v>12918</v>
      </c>
      <c r="F1604" t="str">
        <f>"SERVICE"</f>
        <v>SERVICE</v>
      </c>
      <c r="G1604" s="2">
        <v>140</v>
      </c>
      <c r="H1604" t="str">
        <f>"SERVICE"</f>
        <v>SERVICE</v>
      </c>
    </row>
    <row r="1605" spans="1:8" x14ac:dyDescent="0.25">
      <c r="A1605" t="s">
        <v>514</v>
      </c>
      <c r="B1605">
        <v>80788</v>
      </c>
      <c r="C1605" s="2">
        <v>70</v>
      </c>
      <c r="D1605" s="1">
        <v>43493</v>
      </c>
      <c r="E1605" t="str">
        <f>"12515"</f>
        <v>12515</v>
      </c>
      <c r="F1605" t="str">
        <f>"SERVICE"</f>
        <v>SERVICE</v>
      </c>
      <c r="G1605" s="2">
        <v>70</v>
      </c>
      <c r="H1605" t="str">
        <f>"SERVICE"</f>
        <v>SERVICE</v>
      </c>
    </row>
    <row r="1606" spans="1:8" x14ac:dyDescent="0.25">
      <c r="A1606" t="s">
        <v>515</v>
      </c>
      <c r="B1606">
        <v>80789</v>
      </c>
      <c r="C1606" s="2">
        <v>184.43</v>
      </c>
      <c r="D1606" s="1">
        <v>43493</v>
      </c>
      <c r="E1606" t="str">
        <f>"095611350"</f>
        <v>095611350</v>
      </c>
      <c r="F1606" t="str">
        <f>"CUST#662445931/TAX OFFICE"</f>
        <v>CUST#662445931/TAX OFFICE</v>
      </c>
      <c r="G1606" s="2">
        <v>106.45</v>
      </c>
      <c r="H1606" t="str">
        <f>"CUST#662445931/TAX OFFICE"</f>
        <v>CUST#662445931/TAX OFFICE</v>
      </c>
    </row>
    <row r="1607" spans="1:8" x14ac:dyDescent="0.25">
      <c r="E1607" t="str">
        <f>"095611351"</f>
        <v>095611351</v>
      </c>
      <c r="F1607" t="str">
        <f>"CUST#662445931/TAX OFFICE"</f>
        <v>CUST#662445931/TAX OFFICE</v>
      </c>
      <c r="G1607" s="2">
        <v>38.99</v>
      </c>
      <c r="H1607" t="str">
        <f>"CUST#662445931/TAX OFFICE"</f>
        <v>CUST#662445931/TAX OFFICE</v>
      </c>
    </row>
    <row r="1608" spans="1:8" x14ac:dyDescent="0.25">
      <c r="E1608" t="str">
        <f>"095611364"</f>
        <v>095611364</v>
      </c>
      <c r="F1608" t="str">
        <f>"CUST#723230843/TAX OFFICE"</f>
        <v>CUST#723230843/TAX OFFICE</v>
      </c>
      <c r="G1608" s="2">
        <v>38.99</v>
      </c>
      <c r="H1608" t="str">
        <f>"CUST#723230843/TAX OFFICE"</f>
        <v>CUST#723230843/TAX OFFICE</v>
      </c>
    </row>
    <row r="1609" spans="1:8" x14ac:dyDescent="0.25">
      <c r="A1609" t="s">
        <v>515</v>
      </c>
      <c r="B1609">
        <v>80790</v>
      </c>
      <c r="C1609" s="2">
        <v>201.64</v>
      </c>
      <c r="D1609" s="1">
        <v>43493</v>
      </c>
      <c r="E1609" t="str">
        <f>"1477485"</f>
        <v>1477485</v>
      </c>
      <c r="F1609" t="str">
        <f>"CONTRACT#010-0095885-001"</f>
        <v>CONTRACT#010-0095885-001</v>
      </c>
      <c r="G1609" s="2">
        <v>201.64</v>
      </c>
      <c r="H1609" t="str">
        <f>"CONTRACT#010-0095885-001"</f>
        <v>CONTRACT#010-0095885-001</v>
      </c>
    </row>
    <row r="1610" spans="1:8" x14ac:dyDescent="0.25">
      <c r="A1610" t="s">
        <v>516</v>
      </c>
      <c r="B1610">
        <v>80501</v>
      </c>
      <c r="C1610" s="2">
        <v>787.92</v>
      </c>
      <c r="D1610" s="1">
        <v>43479</v>
      </c>
      <c r="E1610" t="str">
        <f>"0013452"</f>
        <v>0013452</v>
      </c>
      <c r="F1610" t="str">
        <f>"SERVICE/MILEAGE"</f>
        <v>SERVICE/MILEAGE</v>
      </c>
      <c r="G1610" s="2">
        <v>362.64</v>
      </c>
      <c r="H1610" t="str">
        <f>"SERVICE/MILEAGE"</f>
        <v>SERVICE/MILEAGE</v>
      </c>
    </row>
    <row r="1611" spans="1:8" x14ac:dyDescent="0.25">
      <c r="E1611" t="str">
        <f>"0013455 MILEAGE"</f>
        <v>0013455 MILEAGE</v>
      </c>
      <c r="F1611" t="str">
        <f>"MILEAGE 07/17/18"</f>
        <v>MILEAGE 07/17/18</v>
      </c>
      <c r="G1611" s="2">
        <v>62.64</v>
      </c>
      <c r="H1611" t="str">
        <f>"MILEAGE 07/17/18"</f>
        <v>MILEAGE 07/17/18</v>
      </c>
    </row>
    <row r="1612" spans="1:8" x14ac:dyDescent="0.25">
      <c r="E1612" t="str">
        <f>"0013515"</f>
        <v>0013515</v>
      </c>
      <c r="F1612" t="str">
        <f>"423-5672"</f>
        <v>423-5672</v>
      </c>
      <c r="G1612" s="2">
        <v>362.64</v>
      </c>
      <c r="H1612" t="str">
        <f>"423-5672"</f>
        <v>423-5672</v>
      </c>
    </row>
    <row r="1613" spans="1:8" x14ac:dyDescent="0.25">
      <c r="A1613" t="s">
        <v>516</v>
      </c>
      <c r="B1613">
        <v>80791</v>
      </c>
      <c r="C1613" s="2">
        <v>362.64</v>
      </c>
      <c r="D1613" s="1">
        <v>43493</v>
      </c>
      <c r="E1613" t="str">
        <f>"0013521"</f>
        <v>0013521</v>
      </c>
      <c r="F1613" t="str">
        <f>"TRANSLATION/MILEAGE"</f>
        <v>TRANSLATION/MILEAGE</v>
      </c>
      <c r="G1613" s="2">
        <v>362.64</v>
      </c>
      <c r="H1613" t="str">
        <f>"TRANSLATION/MILEAGE"</f>
        <v>TRANSLATION/MILEAGE</v>
      </c>
    </row>
    <row r="1614" spans="1:8" x14ac:dyDescent="0.25">
      <c r="A1614" t="s">
        <v>517</v>
      </c>
      <c r="B1614">
        <v>80792</v>
      </c>
      <c r="C1614" s="2">
        <v>372.76</v>
      </c>
      <c r="D1614" s="1">
        <v>43493</v>
      </c>
      <c r="E1614" t="str">
        <f>"201901226743"</f>
        <v>201901226743</v>
      </c>
      <c r="F1614" t="str">
        <f>"INDIGENT HEALTH"</f>
        <v>INDIGENT HEALTH</v>
      </c>
      <c r="G1614" s="2">
        <v>372.76</v>
      </c>
      <c r="H1614" t="str">
        <f>"INDIGENT HEALTH"</f>
        <v>INDIGENT HEALTH</v>
      </c>
    </row>
    <row r="1615" spans="1:8" x14ac:dyDescent="0.25">
      <c r="A1615" t="s">
        <v>518</v>
      </c>
      <c r="B1615">
        <v>80793</v>
      </c>
      <c r="C1615" s="2">
        <v>108.21</v>
      </c>
      <c r="D1615" s="1">
        <v>43493</v>
      </c>
      <c r="E1615" t="str">
        <f>"9007387276"</f>
        <v>9007387276</v>
      </c>
      <c r="F1615" t="str">
        <f>"CUST#2000053103/ANIMAL SHELTER"</f>
        <v>CUST#2000053103/ANIMAL SHELTER</v>
      </c>
      <c r="G1615" s="2">
        <v>108.21</v>
      </c>
      <c r="H1615" t="str">
        <f>"CUST#2000053103/ANIMAL SHELTER"</f>
        <v>CUST#2000053103/ANIMAL SHELTER</v>
      </c>
    </row>
    <row r="1616" spans="1:8" x14ac:dyDescent="0.25">
      <c r="A1616" t="s">
        <v>519</v>
      </c>
      <c r="B1616">
        <v>80794</v>
      </c>
      <c r="C1616" s="2">
        <v>840.14</v>
      </c>
      <c r="D1616" s="1">
        <v>43493</v>
      </c>
      <c r="E1616" t="str">
        <f>"INV5173901"</f>
        <v>INV5173901</v>
      </c>
      <c r="F1616" t="str">
        <f>"Cabinets"</f>
        <v>Cabinets</v>
      </c>
      <c r="G1616" s="2">
        <v>840.14</v>
      </c>
      <c r="H1616" t="str">
        <f>"G8631016"</f>
        <v>G8631016</v>
      </c>
    </row>
    <row r="1617" spans="1:8" x14ac:dyDescent="0.25">
      <c r="E1617" t="str">
        <f>""</f>
        <v/>
      </c>
      <c r="F1617" t="str">
        <f>""</f>
        <v/>
      </c>
      <c r="H1617" t="str">
        <f>"Rebate"</f>
        <v>Rebate</v>
      </c>
    </row>
    <row r="1618" spans="1:8" x14ac:dyDescent="0.25">
      <c r="A1618" t="s">
        <v>23</v>
      </c>
      <c r="B1618">
        <v>80795</v>
      </c>
      <c r="C1618" s="2">
        <v>59.75</v>
      </c>
      <c r="D1618" s="1">
        <v>43493</v>
      </c>
      <c r="E1618" t="str">
        <f>"19TX-69D1-X7NW"</f>
        <v>19TX-69D1-X7NW</v>
      </c>
      <c r="F1618" t="str">
        <f>"First Aid Kit"</f>
        <v>First Aid Kit</v>
      </c>
      <c r="G1618" s="2">
        <v>59.75</v>
      </c>
      <c r="H1618" t="str">
        <f>"First Aid Kit"</f>
        <v>First Aid Kit</v>
      </c>
    </row>
    <row r="1619" spans="1:8" x14ac:dyDescent="0.25">
      <c r="A1619" t="s">
        <v>29</v>
      </c>
      <c r="B1619">
        <v>80502</v>
      </c>
      <c r="C1619" s="2">
        <v>151.97999999999999</v>
      </c>
      <c r="D1619" s="1">
        <v>43479</v>
      </c>
      <c r="E1619" t="str">
        <f>"201901036365"</f>
        <v>201901036365</v>
      </c>
      <c r="F1619" t="str">
        <f>"ACCT#015397/JUVENILE BOOT CAMP"</f>
        <v>ACCT#015397/JUVENILE BOOT CAMP</v>
      </c>
      <c r="G1619" s="2">
        <v>151.97999999999999</v>
      </c>
      <c r="H1619" t="str">
        <f>"ACCT#015397/JUVENILE BOOT CAMP"</f>
        <v>ACCT#015397/JUVENILE BOOT CAMP</v>
      </c>
    </row>
    <row r="1620" spans="1:8" x14ac:dyDescent="0.25">
      <c r="A1620" t="s">
        <v>52</v>
      </c>
      <c r="B1620">
        <v>80503</v>
      </c>
      <c r="C1620" s="2">
        <v>119.1</v>
      </c>
      <c r="D1620" s="1">
        <v>43479</v>
      </c>
      <c r="E1620" t="str">
        <f>"201901086451"</f>
        <v>201901086451</v>
      </c>
      <c r="F1620" t="str">
        <f>"ACCT#BC01/INV#'S 12921/12924"</f>
        <v>ACCT#BC01/INV#'S 12921/12924</v>
      </c>
      <c r="G1620" s="2">
        <v>119.1</v>
      </c>
      <c r="H1620" t="str">
        <f>"ACCT#BC01/INV#'S 12921/12924"</f>
        <v>ACCT#BC01/INV#'S 12921/12924</v>
      </c>
    </row>
    <row r="1621" spans="1:8" x14ac:dyDescent="0.25">
      <c r="A1621" t="s">
        <v>520</v>
      </c>
      <c r="B1621">
        <v>80504</v>
      </c>
      <c r="C1621" s="2">
        <v>3165</v>
      </c>
      <c r="D1621" s="1">
        <v>43479</v>
      </c>
      <c r="E1621" t="str">
        <f>"16-6717.4"</f>
        <v>16-6717.4</v>
      </c>
      <c r="F1621" t="str">
        <f>"LAND SURVEYOR/CREW"</f>
        <v>LAND SURVEYOR/CREW</v>
      </c>
      <c r="G1621" s="2">
        <v>3165</v>
      </c>
      <c r="H1621" t="str">
        <f>"LAND SURVEYOR/CREW"</f>
        <v>LAND SURVEYOR/CREW</v>
      </c>
    </row>
    <row r="1622" spans="1:8" x14ac:dyDescent="0.25">
      <c r="A1622" t="s">
        <v>81</v>
      </c>
      <c r="B1622">
        <v>80576</v>
      </c>
      <c r="C1622" s="2">
        <v>337.06</v>
      </c>
      <c r="D1622" s="1">
        <v>43482</v>
      </c>
      <c r="E1622" t="str">
        <f>"201901176655"</f>
        <v>201901176655</v>
      </c>
      <c r="F1622" t="str">
        <f>"ACCT#5000057374 / 01062019"</f>
        <v>ACCT#5000057374 / 01062019</v>
      </c>
      <c r="G1622" s="2">
        <v>337.06</v>
      </c>
      <c r="H1622" t="str">
        <f>"ACCT#5000057374 / 01062019"</f>
        <v>ACCT#5000057374 / 01062019</v>
      </c>
    </row>
    <row r="1623" spans="1:8" x14ac:dyDescent="0.25">
      <c r="A1623" t="s">
        <v>107</v>
      </c>
      <c r="B1623">
        <v>80505</v>
      </c>
      <c r="C1623" s="2">
        <v>12417.3</v>
      </c>
      <c r="D1623" s="1">
        <v>43479</v>
      </c>
      <c r="E1623" t="str">
        <f>"201812286060"</f>
        <v>201812286060</v>
      </c>
      <c r="F1623" t="str">
        <f>"SHELTER GRANT REIMBURSEMENT#10"</f>
        <v>SHELTER GRANT REIMBURSEMENT#10</v>
      </c>
      <c r="G1623" s="2">
        <v>12417.3</v>
      </c>
      <c r="H1623" t="str">
        <f>"SHELTER GRANT REIMBURSEMENT#10"</f>
        <v>SHELTER GRANT REIMBURSEMENT#10</v>
      </c>
    </row>
    <row r="1624" spans="1:8" x14ac:dyDescent="0.25">
      <c r="A1624" t="s">
        <v>521</v>
      </c>
      <c r="B1624">
        <v>80506</v>
      </c>
      <c r="C1624" s="2">
        <v>2834.19</v>
      </c>
      <c r="D1624" s="1">
        <v>43479</v>
      </c>
      <c r="E1624" t="str">
        <f>"8904"</f>
        <v>8904</v>
      </c>
      <c r="F1624" t="str">
        <f>"COMMUNITY TRUCKING"</f>
        <v>COMMUNITY TRUCKING</v>
      </c>
      <c r="G1624" s="2">
        <v>2834.19</v>
      </c>
      <c r="H1624" t="str">
        <f>"Truck Hauling"</f>
        <v>Truck Hauling</v>
      </c>
    </row>
    <row r="1625" spans="1:8" x14ac:dyDescent="0.25">
      <c r="A1625" t="s">
        <v>132</v>
      </c>
      <c r="B1625">
        <v>80507</v>
      </c>
      <c r="C1625" s="2">
        <v>233.7</v>
      </c>
      <c r="D1625" s="1">
        <v>43479</v>
      </c>
      <c r="E1625" t="str">
        <f>"075798"</f>
        <v>075798</v>
      </c>
      <c r="F1625" t="str">
        <f>"D &amp; A WIRE ROPE  INC"</f>
        <v>D &amp; A WIRE ROPE  INC</v>
      </c>
      <c r="G1625" s="2">
        <v>233.7</v>
      </c>
      <c r="H1625" t="str">
        <f>"CLAMPS CPWO500MA"</f>
        <v>CLAMPS CPWO500MA</v>
      </c>
    </row>
    <row r="1626" spans="1:8" x14ac:dyDescent="0.25">
      <c r="E1626" t="str">
        <f>""</f>
        <v/>
      </c>
      <c r="F1626" t="str">
        <f>""</f>
        <v/>
      </c>
      <c r="H1626" t="str">
        <f>"CLAMPS CPW0500DF"</f>
        <v>CLAMPS CPW0500DF</v>
      </c>
    </row>
    <row r="1627" spans="1:8" x14ac:dyDescent="0.25">
      <c r="A1627" t="s">
        <v>522</v>
      </c>
      <c r="B1627">
        <v>49</v>
      </c>
      <c r="C1627" s="2">
        <v>630817.71</v>
      </c>
      <c r="D1627" s="1">
        <v>43493</v>
      </c>
      <c r="E1627" t="str">
        <f>"1332243"</f>
        <v>1332243</v>
      </c>
      <c r="F1627" t="str">
        <f>"DEBT SERVICE PMT - SERIES 2017"</f>
        <v>DEBT SERVICE PMT - SERIES 2017</v>
      </c>
      <c r="G1627" s="2">
        <v>139350</v>
      </c>
      <c r="H1627" t="str">
        <f>"DEBT SERVICE PMT - SERIES 2017"</f>
        <v>DEBT SERVICE PMT - SERIES 2017</v>
      </c>
    </row>
    <row r="1628" spans="1:8" x14ac:dyDescent="0.25">
      <c r="E1628" t="str">
        <f>"1332244"</f>
        <v>1332244</v>
      </c>
      <c r="F1628" t="str">
        <f>"DEBT SERVICE PMT - SERIES 2014"</f>
        <v>DEBT SERVICE PMT - SERIES 2014</v>
      </c>
      <c r="G1628" s="2">
        <v>143093.75</v>
      </c>
      <c r="H1628" t="str">
        <f>"DEBT SERVICE PMT - SERIES 2014"</f>
        <v>DEBT SERVICE PMT - SERIES 2014</v>
      </c>
    </row>
    <row r="1629" spans="1:8" x14ac:dyDescent="0.25">
      <c r="E1629" t="str">
        <f>"1332253"</f>
        <v>1332253</v>
      </c>
      <c r="F1629" t="str">
        <f>"DEBT SERVICE PMT - SERIES 2018"</f>
        <v>DEBT SERVICE PMT - SERIES 2018</v>
      </c>
      <c r="G1629" s="2">
        <v>204130.21</v>
      </c>
      <c r="H1629" t="str">
        <f>"DEBT SERVICE PMT - SERIES 2018"</f>
        <v>DEBT SERVICE PMT - SERIES 2018</v>
      </c>
    </row>
    <row r="1630" spans="1:8" x14ac:dyDescent="0.25">
      <c r="E1630" t="str">
        <f>"201901166603"</f>
        <v>201901166603</v>
      </c>
      <c r="F1630" t="str">
        <f>"DEBT SERVICE PMT - SERIES 2010"</f>
        <v>DEBT SERVICE PMT - SERIES 2010</v>
      </c>
      <c r="G1630" s="2">
        <v>144243.75</v>
      </c>
      <c r="H1630" t="str">
        <f>"DEBT SERVICE PMT - SERIES 2010"</f>
        <v>DEBT SERVICE PMT - SERIES 2010</v>
      </c>
    </row>
    <row r="1631" spans="1:8" x14ac:dyDescent="0.25">
      <c r="E1631" t="str">
        <f>""</f>
        <v/>
      </c>
      <c r="F1631" t="str">
        <f>""</f>
        <v/>
      </c>
      <c r="H1631" t="str">
        <f>"DEBT SERVICE PMT - SERIES 2010"</f>
        <v>DEBT SERVICE PMT - SERIES 2010</v>
      </c>
    </row>
    <row r="1632" spans="1:8" x14ac:dyDescent="0.25">
      <c r="A1632" t="s">
        <v>200</v>
      </c>
      <c r="B1632">
        <v>80796</v>
      </c>
      <c r="C1632" s="2">
        <v>77989</v>
      </c>
      <c r="D1632" s="1">
        <v>43493</v>
      </c>
      <c r="E1632" t="str">
        <f>"201901166600"</f>
        <v>201901166600</v>
      </c>
      <c r="F1632" t="str">
        <f>"BD HOLT CO"</f>
        <v>BD HOLT CO</v>
      </c>
      <c r="G1632" s="2">
        <v>77989</v>
      </c>
      <c r="H1632" t="str">
        <f>"289D Skid Steer"</f>
        <v>289D Skid Steer</v>
      </c>
    </row>
    <row r="1633" spans="1:8" x14ac:dyDescent="0.25">
      <c r="A1633" t="s">
        <v>201</v>
      </c>
      <c r="B1633">
        <v>80508</v>
      </c>
      <c r="C1633" s="2">
        <v>454.64</v>
      </c>
      <c r="D1633" s="1">
        <v>43479</v>
      </c>
      <c r="E1633" t="str">
        <f>"201901076409"</f>
        <v>201901076409</v>
      </c>
      <c r="F1633" t="str">
        <f>"Acct 3780"</f>
        <v>Acct 3780</v>
      </c>
      <c r="G1633" s="2">
        <v>454.64</v>
      </c>
      <c r="H1633" t="str">
        <f>"inv# 2152110"</f>
        <v>inv# 2152110</v>
      </c>
    </row>
    <row r="1634" spans="1:8" x14ac:dyDescent="0.25">
      <c r="E1634" t="str">
        <f>""</f>
        <v/>
      </c>
      <c r="F1634" t="str">
        <f>""</f>
        <v/>
      </c>
      <c r="H1634" t="str">
        <f>"inv# 1011521"</f>
        <v>inv# 1011521</v>
      </c>
    </row>
    <row r="1635" spans="1:8" x14ac:dyDescent="0.25">
      <c r="E1635" t="str">
        <f>""</f>
        <v/>
      </c>
      <c r="F1635" t="str">
        <f>""</f>
        <v/>
      </c>
      <c r="H1635" t="str">
        <f>"inv# 11564"</f>
        <v>inv# 11564</v>
      </c>
    </row>
    <row r="1636" spans="1:8" x14ac:dyDescent="0.25">
      <c r="E1636" t="str">
        <f>""</f>
        <v/>
      </c>
      <c r="F1636" t="str">
        <f>""</f>
        <v/>
      </c>
      <c r="H1636" t="str">
        <f>"inv# 9024262"</f>
        <v>inv# 9024262</v>
      </c>
    </row>
    <row r="1637" spans="1:8" x14ac:dyDescent="0.25">
      <c r="A1637" t="s">
        <v>523</v>
      </c>
      <c r="B1637">
        <v>80509</v>
      </c>
      <c r="C1637" s="2">
        <v>5650</v>
      </c>
      <c r="D1637" s="1">
        <v>43479</v>
      </c>
      <c r="E1637" t="str">
        <f>"2018121801"</f>
        <v>2018121801</v>
      </c>
      <c r="F1637" t="str">
        <f>"SOFTWARE LICENSE-FEB19-JAN2020"</f>
        <v>SOFTWARE LICENSE-FEB19-JAN2020</v>
      </c>
      <c r="G1637" s="2">
        <v>5650</v>
      </c>
      <c r="H1637" t="str">
        <f>"SOFTWARE LICENSE-FEB19-JAN2020"</f>
        <v>SOFTWARE LICENSE-FEB19-JAN2020</v>
      </c>
    </row>
    <row r="1638" spans="1:8" x14ac:dyDescent="0.25">
      <c r="A1638" t="s">
        <v>524</v>
      </c>
      <c r="B1638">
        <v>80797</v>
      </c>
      <c r="C1638" s="2">
        <v>18370.919999999998</v>
      </c>
      <c r="D1638" s="1">
        <v>43493</v>
      </c>
      <c r="E1638" t="str">
        <f>"201812171"</f>
        <v>201812171</v>
      </c>
      <c r="F1638" t="str">
        <f>"PROJ#2017072/911 ER OPER &amp; IT"</f>
        <v>PROJ#2017072/911 ER OPER &amp; IT</v>
      </c>
      <c r="G1638" s="2">
        <v>18370.919999999998</v>
      </c>
      <c r="H1638" t="str">
        <f>"PROJ#2017072/911 ER OPER &amp; IT"</f>
        <v>PROJ#2017072/911 ER OPER &amp; IT</v>
      </c>
    </row>
    <row r="1639" spans="1:8" x14ac:dyDescent="0.25">
      <c r="A1639" t="s">
        <v>232</v>
      </c>
      <c r="B1639">
        <v>80510</v>
      </c>
      <c r="C1639" s="2">
        <v>488.74</v>
      </c>
      <c r="D1639" s="1">
        <v>43479</v>
      </c>
      <c r="E1639" t="str">
        <f>"201901036087"</f>
        <v>201901036087</v>
      </c>
      <c r="F1639" t="str">
        <f>"ACCT#1645/WILDFIRE MITIGATION"</f>
        <v>ACCT#1645/WILDFIRE MITIGATION</v>
      </c>
      <c r="G1639" s="2">
        <v>488.74</v>
      </c>
      <c r="H1639" t="str">
        <f>"ACCT#1645/WILDFIRE MITIGATION"</f>
        <v>ACCT#1645/WILDFIRE MITIGATION</v>
      </c>
    </row>
    <row r="1640" spans="1:8" x14ac:dyDescent="0.25">
      <c r="A1640" t="s">
        <v>525</v>
      </c>
      <c r="B1640">
        <v>80511</v>
      </c>
      <c r="C1640" s="2">
        <v>16473.32</v>
      </c>
      <c r="D1640" s="1">
        <v>43479</v>
      </c>
      <c r="E1640" t="str">
        <f>"3631"</f>
        <v>3631</v>
      </c>
      <c r="F1640" t="str">
        <f>"DRAINAGE IMPROVEMENT PROJECT"</f>
        <v>DRAINAGE IMPROVEMENT PROJECT</v>
      </c>
      <c r="G1640" s="2">
        <v>6973.32</v>
      </c>
      <c r="H1640" t="str">
        <f>"DRAINAGE IMPROVEMENT PROJECT"</f>
        <v>DRAINAGE IMPROVEMENT PROJECT</v>
      </c>
    </row>
    <row r="1641" spans="1:8" x14ac:dyDescent="0.25">
      <c r="E1641" t="str">
        <f>"3668"</f>
        <v>3668</v>
      </c>
      <c r="F1641" t="str">
        <f>"FUEL REDUCTION PROJECT"</f>
        <v>FUEL REDUCTION PROJECT</v>
      </c>
      <c r="G1641" s="2">
        <v>9500</v>
      </c>
      <c r="H1641" t="str">
        <f>"FUEL REDUCTION PROJECT"</f>
        <v>FUEL REDUCTION PROJECT</v>
      </c>
    </row>
    <row r="1642" spans="1:8" x14ac:dyDescent="0.25">
      <c r="A1642" t="s">
        <v>526</v>
      </c>
      <c r="B1642">
        <v>80512</v>
      </c>
      <c r="C1642" s="2">
        <v>40</v>
      </c>
      <c r="D1642" s="1">
        <v>43479</v>
      </c>
      <c r="E1642" t="str">
        <f>"1131"</f>
        <v>1131</v>
      </c>
      <c r="F1642" t="str">
        <f>"CPR/AED/FIRST AID INSTRUCTION"</f>
        <v>CPR/AED/FIRST AID INSTRUCTION</v>
      </c>
      <c r="G1642" s="2">
        <v>40</v>
      </c>
      <c r="H1642" t="str">
        <f>"CPR/AED/FIRST AID INSTRUCTION"</f>
        <v>CPR/AED/FIRST AID INSTRUCTION</v>
      </c>
    </row>
    <row r="1643" spans="1:8" x14ac:dyDescent="0.25">
      <c r="A1643" t="s">
        <v>527</v>
      </c>
      <c r="B1643">
        <v>80513</v>
      </c>
      <c r="C1643" s="2">
        <v>199.82</v>
      </c>
      <c r="D1643" s="1">
        <v>43479</v>
      </c>
      <c r="E1643" t="str">
        <f>"PART4849729"</f>
        <v>PART4849729</v>
      </c>
      <c r="F1643" t="str">
        <f>"CUST#1006635/OEM"</f>
        <v>CUST#1006635/OEM</v>
      </c>
      <c r="G1643" s="2">
        <v>-199.82</v>
      </c>
      <c r="H1643" t="str">
        <f>"CUST#1006635/OEM"</f>
        <v>CUST#1006635/OEM</v>
      </c>
    </row>
    <row r="1644" spans="1:8" x14ac:dyDescent="0.25">
      <c r="E1644" t="str">
        <f>"PART4849728"</f>
        <v>PART4849728</v>
      </c>
      <c r="F1644" t="str">
        <f>"CUST#1006635/OEM"</f>
        <v>CUST#1006635/OEM</v>
      </c>
      <c r="G1644" s="2">
        <v>399.64</v>
      </c>
      <c r="H1644" t="str">
        <f>"CUST#1006635/OEM"</f>
        <v>CUST#1006635/OEM</v>
      </c>
    </row>
    <row r="1645" spans="1:8" x14ac:dyDescent="0.25">
      <c r="A1645" t="s">
        <v>388</v>
      </c>
      <c r="B1645">
        <v>80514</v>
      </c>
      <c r="C1645" s="2">
        <v>389.78</v>
      </c>
      <c r="D1645" s="1">
        <v>43479</v>
      </c>
      <c r="E1645" t="str">
        <f>"201901076407"</f>
        <v>201901076407</v>
      </c>
      <c r="F1645" t="str">
        <f>"Bill# 10509420"</f>
        <v>Bill# 10509420</v>
      </c>
      <c r="G1645" s="2">
        <v>389.78</v>
      </c>
      <c r="H1645" t="str">
        <f>"Ord# 248139152001"</f>
        <v>Ord# 248139152001</v>
      </c>
    </row>
    <row r="1646" spans="1:8" x14ac:dyDescent="0.25">
      <c r="E1646" t="str">
        <f>""</f>
        <v/>
      </c>
      <c r="F1646" t="str">
        <f>""</f>
        <v/>
      </c>
      <c r="H1646" t="str">
        <f>"Ord# 248162906001"</f>
        <v>Ord# 248162906001</v>
      </c>
    </row>
    <row r="1647" spans="1:8" x14ac:dyDescent="0.25">
      <c r="A1647" t="s">
        <v>528</v>
      </c>
      <c r="B1647">
        <v>80515</v>
      </c>
      <c r="C1647" s="2">
        <v>2958.29</v>
      </c>
      <c r="D1647" s="1">
        <v>43479</v>
      </c>
      <c r="E1647" t="str">
        <f>"10304"</f>
        <v>10304</v>
      </c>
      <c r="F1647" t="str">
        <f>"Remaining Payment"</f>
        <v>Remaining Payment</v>
      </c>
      <c r="G1647" s="2">
        <v>2958.29</v>
      </c>
      <c r="H1647" t="str">
        <f>"Remaining Balance"</f>
        <v>Remaining Balance</v>
      </c>
    </row>
    <row r="1648" spans="1:8" x14ac:dyDescent="0.25">
      <c r="A1648" t="s">
        <v>529</v>
      </c>
      <c r="B1648">
        <v>80516</v>
      </c>
      <c r="C1648" s="2">
        <v>563436.44999999995</v>
      </c>
      <c r="D1648" s="1">
        <v>43479</v>
      </c>
      <c r="E1648" t="str">
        <f>"181204-4"</f>
        <v>181204-4</v>
      </c>
      <c r="F1648" t="str">
        <f>"PROJ#181204"</f>
        <v>PROJ#181204</v>
      </c>
      <c r="G1648" s="2">
        <v>563436.44999999995</v>
      </c>
      <c r="H1648" t="str">
        <f>"PROJ#181204"</f>
        <v>PROJ#181204</v>
      </c>
    </row>
    <row r="1649" spans="1:8" x14ac:dyDescent="0.25">
      <c r="A1649" t="s">
        <v>463</v>
      </c>
      <c r="B1649">
        <v>80798</v>
      </c>
      <c r="C1649" s="2">
        <v>515.38</v>
      </c>
      <c r="D1649" s="1">
        <v>43493</v>
      </c>
      <c r="E1649" t="str">
        <f>"0819241-IN"</f>
        <v>0819241-IN</v>
      </c>
      <c r="F1649" t="str">
        <f>"ACCT#01-0112917/HABITAT CONSER"</f>
        <v>ACCT#01-0112917/HABITAT CONSER</v>
      </c>
      <c r="G1649" s="2">
        <v>515.38</v>
      </c>
      <c r="H1649" t="str">
        <f>"ACCT#01-0112917/HABITAT CONSER"</f>
        <v>ACCT#01-0112917/HABITAT CONSER</v>
      </c>
    </row>
    <row r="1650" spans="1:8" x14ac:dyDescent="0.25">
      <c r="A1650" t="s">
        <v>466</v>
      </c>
      <c r="B1650">
        <v>80517</v>
      </c>
      <c r="C1650" s="2">
        <v>26.71</v>
      </c>
      <c r="D1650" s="1">
        <v>43479</v>
      </c>
      <c r="E1650" t="str">
        <f>"D-2019-1-0110- 245"</f>
        <v>D-2019-1-0110- 245</v>
      </c>
      <c r="F1650" t="str">
        <f>"UNEMPLOYMENT QTR END 12/31/18"</f>
        <v>UNEMPLOYMENT QTR END 12/31/18</v>
      </c>
      <c r="G1650" s="2">
        <v>26.71</v>
      </c>
      <c r="H1650" t="str">
        <f>"UNEMPLOYMENT QTR END 12/31/18"</f>
        <v>UNEMPLOYMENT QTR END 12/31/18</v>
      </c>
    </row>
    <row r="1651" spans="1:8" x14ac:dyDescent="0.25">
      <c r="A1651" t="s">
        <v>530</v>
      </c>
      <c r="B1651">
        <v>80799</v>
      </c>
      <c r="C1651" s="2">
        <v>36500</v>
      </c>
      <c r="D1651" s="1">
        <v>43493</v>
      </c>
      <c r="E1651" t="str">
        <f>"201901166599"</f>
        <v>201901166599</v>
      </c>
      <c r="F1651" t="str">
        <f>"TRAILBOSS TRAILERS INC"</f>
        <v>TRAILBOSS TRAILERS INC</v>
      </c>
      <c r="G1651" s="2">
        <v>36500</v>
      </c>
      <c r="H1651" t="str">
        <f>"Trailboss Trailer"</f>
        <v>Trailboss Trailer</v>
      </c>
    </row>
    <row r="1652" spans="1:8" x14ac:dyDescent="0.25">
      <c r="E1652" t="str">
        <f>""</f>
        <v/>
      </c>
      <c r="F1652" t="str">
        <f>""</f>
        <v/>
      </c>
      <c r="H1652" t="str">
        <f>"Delivery"</f>
        <v>Delivery</v>
      </c>
    </row>
    <row r="1653" spans="1:8" x14ac:dyDescent="0.25">
      <c r="A1653" t="s">
        <v>531</v>
      </c>
      <c r="B1653">
        <v>80801</v>
      </c>
      <c r="C1653" s="2">
        <v>946.89</v>
      </c>
      <c r="D1653" s="1">
        <v>43493</v>
      </c>
      <c r="E1653" t="str">
        <f>"T30213"</f>
        <v>T30213</v>
      </c>
      <c r="F1653" t="str">
        <f>"SANDY LOAM - CC PARK - FEMA"</f>
        <v>SANDY LOAM - CC PARK - FEMA</v>
      </c>
      <c r="G1653" s="2">
        <v>946.89</v>
      </c>
      <c r="H1653" t="str">
        <f>"SANDY LOAM - CC PARK - FEMA"</f>
        <v>SANDY LOAM - CC PARK - FEMA</v>
      </c>
    </row>
    <row r="1654" spans="1:8" x14ac:dyDescent="0.25">
      <c r="A1654" t="s">
        <v>532</v>
      </c>
      <c r="B1654">
        <v>80518</v>
      </c>
      <c r="C1654" s="2">
        <v>18000</v>
      </c>
      <c r="D1654" s="1">
        <v>43479</v>
      </c>
      <c r="E1654" t="str">
        <f>"BC0102019"</f>
        <v>BC0102019</v>
      </c>
      <c r="F1654" t="str">
        <f>"2ND PAYMENT REFORESTATION PROG"</f>
        <v>2ND PAYMENT REFORESTATION PROG</v>
      </c>
      <c r="G1654" s="2">
        <v>18000</v>
      </c>
      <c r="H1654" t="str">
        <f>"2ND PAYMENT REFORESTATION PROG"</f>
        <v>2ND PAYMENT REFORESTATION PROG</v>
      </c>
    </row>
    <row r="1655" spans="1:8" x14ac:dyDescent="0.25">
      <c r="A1655" t="s">
        <v>503</v>
      </c>
      <c r="B1655">
        <v>80519</v>
      </c>
      <c r="C1655" s="2">
        <v>1818.28</v>
      </c>
      <c r="D1655" s="1">
        <v>43479</v>
      </c>
      <c r="E1655" t="str">
        <f>"869395921852"</f>
        <v>869395921852</v>
      </c>
      <c r="F1655" t="str">
        <f>"Acct# 869395921"</f>
        <v>Acct# 869395921</v>
      </c>
      <c r="G1655" s="2">
        <v>1818.28</v>
      </c>
      <c r="H1655" t="str">
        <f>"FUel"</f>
        <v>FUel</v>
      </c>
    </row>
    <row r="1656" spans="1:8" x14ac:dyDescent="0.25">
      <c r="E1656" t="str">
        <f>""</f>
        <v/>
      </c>
      <c r="F1656" t="str">
        <f>""</f>
        <v/>
      </c>
      <c r="H1656" t="str">
        <f>"Tax"</f>
        <v>Tax</v>
      </c>
    </row>
    <row r="1657" spans="1:8" x14ac:dyDescent="0.25">
      <c r="E1657" t="str">
        <f>""</f>
        <v/>
      </c>
      <c r="F1657" t="str">
        <f>""</f>
        <v/>
      </c>
      <c r="H1657" t="str">
        <f>"Maintenance"</f>
        <v>Maintenance</v>
      </c>
    </row>
    <row r="1658" spans="1:8" x14ac:dyDescent="0.25">
      <c r="A1658" t="s">
        <v>505</v>
      </c>
      <c r="B1658">
        <v>80520</v>
      </c>
      <c r="C1658" s="2">
        <v>163.77000000000001</v>
      </c>
      <c r="D1658" s="1">
        <v>43479</v>
      </c>
      <c r="E1658" t="str">
        <f>"201901076408"</f>
        <v>201901076408</v>
      </c>
      <c r="F1658" t="str">
        <f>"Acct# 60322020532476"</f>
        <v>Acct# 60322020532476</v>
      </c>
      <c r="G1658" s="2">
        <v>163.77000000000001</v>
      </c>
      <c r="H1658" t="str">
        <f>"Inv# 000667"</f>
        <v>Inv# 000667</v>
      </c>
    </row>
    <row r="1659" spans="1:8" x14ac:dyDescent="0.25">
      <c r="E1659" t="str">
        <f>""</f>
        <v/>
      </c>
      <c r="F1659" t="str">
        <f>""</f>
        <v/>
      </c>
      <c r="H1659" t="str">
        <f>"Inv# 009882"</f>
        <v>Inv# 009882</v>
      </c>
    </row>
    <row r="1660" spans="1:8" x14ac:dyDescent="0.25">
      <c r="E1660" t="str">
        <f>""</f>
        <v/>
      </c>
      <c r="F1660" t="str">
        <f>""</f>
        <v/>
      </c>
      <c r="H1660" t="str">
        <f>"Inv# 002255"</f>
        <v>Inv# 002255</v>
      </c>
    </row>
    <row r="1661" spans="1:8" x14ac:dyDescent="0.25">
      <c r="E1661" t="str">
        <f>""</f>
        <v/>
      </c>
      <c r="F1661" t="str">
        <f>""</f>
        <v/>
      </c>
      <c r="H1661" t="str">
        <f>"Inv# 001070"</f>
        <v>Inv# 001070</v>
      </c>
    </row>
    <row r="1662" spans="1:8" x14ac:dyDescent="0.25">
      <c r="E1662" t="str">
        <f>""</f>
        <v/>
      </c>
      <c r="F1662" t="str">
        <f>""</f>
        <v/>
      </c>
      <c r="H1662" t="str">
        <f>"Inv# 007941"</f>
        <v>Inv# 007941</v>
      </c>
    </row>
    <row r="1663" spans="1:8" x14ac:dyDescent="0.25">
      <c r="A1663" t="s">
        <v>509</v>
      </c>
      <c r="B1663">
        <v>80521</v>
      </c>
      <c r="C1663" s="2">
        <v>5259.23</v>
      </c>
      <c r="D1663" s="1">
        <v>43479</v>
      </c>
      <c r="E1663" t="str">
        <f>"298893 300781 2991"</f>
        <v>298893 300781 2991</v>
      </c>
      <c r="F1663" t="str">
        <f>"Inv#298893  300781 299104"</f>
        <v>Inv#298893  300781 299104</v>
      </c>
      <c r="G1663" s="2">
        <v>5259.23</v>
      </c>
      <c r="H1663" t="str">
        <f>"Inv#298893"</f>
        <v>Inv#298893</v>
      </c>
    </row>
    <row r="1664" spans="1:8" x14ac:dyDescent="0.25">
      <c r="E1664" t="str">
        <f>""</f>
        <v/>
      </c>
      <c r="F1664" t="str">
        <f>""</f>
        <v/>
      </c>
      <c r="H1664" t="str">
        <f>"Inv#300781"</f>
        <v>Inv#300781</v>
      </c>
    </row>
    <row r="1665" spans="1:8" x14ac:dyDescent="0.25">
      <c r="E1665" t="str">
        <f>""</f>
        <v/>
      </c>
      <c r="F1665" t="str">
        <f>""</f>
        <v/>
      </c>
      <c r="H1665" t="str">
        <f>"Inv#299104"</f>
        <v>Inv#299104</v>
      </c>
    </row>
    <row r="1666" spans="1:8" x14ac:dyDescent="0.25">
      <c r="A1666" t="s">
        <v>533</v>
      </c>
      <c r="B1666">
        <v>80800</v>
      </c>
      <c r="C1666" s="2">
        <v>2978.97</v>
      </c>
      <c r="D1666" s="1">
        <v>43493</v>
      </c>
      <c r="E1666" t="str">
        <f>"201901236763"</f>
        <v>201901236763</v>
      </c>
      <c r="F1666" t="str">
        <f>"FM-5116 HIDDEN PINES FIRE"</f>
        <v>FM-5116 HIDDEN PINES FIRE</v>
      </c>
      <c r="G1666" s="2">
        <v>2978.97</v>
      </c>
      <c r="H1666" t="str">
        <f>"FM-5116 HIDDEN PINES FIRE"</f>
        <v>FM-5116 HIDDEN PINES FIRE</v>
      </c>
    </row>
    <row r="1667" spans="1:8" x14ac:dyDescent="0.25">
      <c r="A1667" t="s">
        <v>534</v>
      </c>
      <c r="B1667">
        <v>56</v>
      </c>
      <c r="C1667" s="2">
        <v>5944.02</v>
      </c>
      <c r="D1667" s="1">
        <v>43496</v>
      </c>
      <c r="E1667" t="str">
        <f>"201901316950"</f>
        <v>201901316950</v>
      </c>
      <c r="F1667" t="str">
        <f>"ALLSTATE-AMERICAN HERITAGE LIF"</f>
        <v>ALLSTATE-AMERICAN HERITAGE LIF</v>
      </c>
      <c r="G1667" s="2">
        <v>0.06</v>
      </c>
      <c r="H1667" t="str">
        <f>"ALLSTATE-AMERICAN HERITAGE LIF"</f>
        <v>ALLSTATE-AMERICAN HERITAGE LIF</v>
      </c>
    </row>
    <row r="1668" spans="1:8" x14ac:dyDescent="0.25">
      <c r="E1668" t="str">
        <f>"AS 201901096477"</f>
        <v>AS 201901096477</v>
      </c>
      <c r="F1668" t="str">
        <f t="shared" ref="F1668:F1681" si="25">"ALLSTATE"</f>
        <v>ALLSTATE</v>
      </c>
      <c r="G1668" s="2">
        <v>547.05999999999995</v>
      </c>
      <c r="H1668" t="str">
        <f t="shared" ref="H1668:H1681" si="26">"ALLSTATE"</f>
        <v>ALLSTATE</v>
      </c>
    </row>
    <row r="1669" spans="1:8" x14ac:dyDescent="0.25">
      <c r="E1669" t="str">
        <f>"AS 201901096483"</f>
        <v>AS 201901096483</v>
      </c>
      <c r="F1669" t="str">
        <f t="shared" si="25"/>
        <v>ALLSTATE</v>
      </c>
      <c r="G1669" s="2">
        <v>27.14</v>
      </c>
      <c r="H1669" t="str">
        <f t="shared" si="26"/>
        <v>ALLSTATE</v>
      </c>
    </row>
    <row r="1670" spans="1:8" x14ac:dyDescent="0.25">
      <c r="E1670" t="str">
        <f>"AS 201901236760"</f>
        <v>AS 201901236760</v>
      </c>
      <c r="F1670" t="str">
        <f t="shared" si="25"/>
        <v>ALLSTATE</v>
      </c>
      <c r="G1670" s="2">
        <v>547.05999999999995</v>
      </c>
      <c r="H1670" t="str">
        <f t="shared" si="26"/>
        <v>ALLSTATE</v>
      </c>
    </row>
    <row r="1671" spans="1:8" x14ac:dyDescent="0.25">
      <c r="E1671" t="str">
        <f>"AS 201901236761"</f>
        <v>AS 201901236761</v>
      </c>
      <c r="F1671" t="str">
        <f t="shared" si="25"/>
        <v>ALLSTATE</v>
      </c>
      <c r="G1671" s="2">
        <v>27.14</v>
      </c>
      <c r="H1671" t="str">
        <f t="shared" si="26"/>
        <v>ALLSTATE</v>
      </c>
    </row>
    <row r="1672" spans="1:8" x14ac:dyDescent="0.25">
      <c r="E1672" t="str">
        <f>"ASD201901096477"</f>
        <v>ASD201901096477</v>
      </c>
      <c r="F1672" t="str">
        <f t="shared" si="25"/>
        <v>ALLSTATE</v>
      </c>
      <c r="G1672" s="2">
        <v>193.92</v>
      </c>
      <c r="H1672" t="str">
        <f t="shared" si="26"/>
        <v>ALLSTATE</v>
      </c>
    </row>
    <row r="1673" spans="1:8" x14ac:dyDescent="0.25">
      <c r="E1673" t="str">
        <f>"ASD201901236760"</f>
        <v>ASD201901236760</v>
      </c>
      <c r="F1673" t="str">
        <f t="shared" si="25"/>
        <v>ALLSTATE</v>
      </c>
      <c r="G1673" s="2">
        <v>193.92</v>
      </c>
      <c r="H1673" t="str">
        <f t="shared" si="26"/>
        <v>ALLSTATE</v>
      </c>
    </row>
    <row r="1674" spans="1:8" x14ac:dyDescent="0.25">
      <c r="E1674" t="str">
        <f>"ASI201901096477"</f>
        <v>ASI201901096477</v>
      </c>
      <c r="F1674" t="str">
        <f t="shared" si="25"/>
        <v>ALLSTATE</v>
      </c>
      <c r="G1674" s="2">
        <v>684.22</v>
      </c>
      <c r="H1674" t="str">
        <f t="shared" si="26"/>
        <v>ALLSTATE</v>
      </c>
    </row>
    <row r="1675" spans="1:8" x14ac:dyDescent="0.25">
      <c r="E1675" t="str">
        <f>"ASI201901096483"</f>
        <v>ASI201901096483</v>
      </c>
      <c r="F1675" t="str">
        <f t="shared" si="25"/>
        <v>ALLSTATE</v>
      </c>
      <c r="G1675" s="2">
        <v>67.150000000000006</v>
      </c>
      <c r="H1675" t="str">
        <f t="shared" si="26"/>
        <v>ALLSTATE</v>
      </c>
    </row>
    <row r="1676" spans="1:8" x14ac:dyDescent="0.25">
      <c r="E1676" t="str">
        <f>"ASI201901236760"</f>
        <v>ASI201901236760</v>
      </c>
      <c r="F1676" t="str">
        <f t="shared" si="25"/>
        <v>ALLSTATE</v>
      </c>
      <c r="G1676" s="2">
        <v>684.22</v>
      </c>
      <c r="H1676" t="str">
        <f t="shared" si="26"/>
        <v>ALLSTATE</v>
      </c>
    </row>
    <row r="1677" spans="1:8" x14ac:dyDescent="0.25">
      <c r="E1677" t="str">
        <f>"ASI201901236761"</f>
        <v>ASI201901236761</v>
      </c>
      <c r="F1677" t="str">
        <f t="shared" si="25"/>
        <v>ALLSTATE</v>
      </c>
      <c r="G1677" s="2">
        <v>67.150000000000006</v>
      </c>
      <c r="H1677" t="str">
        <f t="shared" si="26"/>
        <v>ALLSTATE</v>
      </c>
    </row>
    <row r="1678" spans="1:8" x14ac:dyDescent="0.25">
      <c r="E1678" t="str">
        <f>"AST201901096477"</f>
        <v>AST201901096477</v>
      </c>
      <c r="F1678" t="str">
        <f t="shared" si="25"/>
        <v>ALLSTATE</v>
      </c>
      <c r="G1678" s="2">
        <v>1410.36</v>
      </c>
      <c r="H1678" t="str">
        <f t="shared" si="26"/>
        <v>ALLSTATE</v>
      </c>
    </row>
    <row r="1679" spans="1:8" x14ac:dyDescent="0.25">
      <c r="E1679" t="str">
        <f>"AST201901096483"</f>
        <v>AST201901096483</v>
      </c>
      <c r="F1679" t="str">
        <f t="shared" si="25"/>
        <v>ALLSTATE</v>
      </c>
      <c r="G1679" s="2">
        <v>53.83</v>
      </c>
      <c r="H1679" t="str">
        <f t="shared" si="26"/>
        <v>ALLSTATE</v>
      </c>
    </row>
    <row r="1680" spans="1:8" x14ac:dyDescent="0.25">
      <c r="E1680" t="str">
        <f>"AST201901236760"</f>
        <v>AST201901236760</v>
      </c>
      <c r="F1680" t="str">
        <f t="shared" si="25"/>
        <v>ALLSTATE</v>
      </c>
      <c r="G1680" s="2">
        <v>1386.96</v>
      </c>
      <c r="H1680" t="str">
        <f t="shared" si="26"/>
        <v>ALLSTATE</v>
      </c>
    </row>
    <row r="1681" spans="1:8" x14ac:dyDescent="0.25">
      <c r="E1681" t="str">
        <f>"AST201901236761"</f>
        <v>AST201901236761</v>
      </c>
      <c r="F1681" t="str">
        <f t="shared" si="25"/>
        <v>ALLSTATE</v>
      </c>
      <c r="G1681" s="2">
        <v>53.83</v>
      </c>
      <c r="H1681" t="str">
        <f t="shared" si="26"/>
        <v>ALLSTATE</v>
      </c>
    </row>
    <row r="1682" spans="1:8" x14ac:dyDescent="0.25">
      <c r="A1682" t="s">
        <v>535</v>
      </c>
      <c r="B1682">
        <v>51</v>
      </c>
      <c r="C1682" s="2">
        <v>26921.22</v>
      </c>
      <c r="D1682" s="1">
        <v>43494</v>
      </c>
      <c r="E1682" t="str">
        <f>"201901296907"</f>
        <v>201901296907</v>
      </c>
      <c r="F1682" t="str">
        <f>"AmWINS Group Benefits  Inc."</f>
        <v>AmWINS Group Benefits  Inc.</v>
      </c>
      <c r="G1682" s="2">
        <v>26921.22</v>
      </c>
      <c r="H1682" t="str">
        <f>"AmWINS Group Benefits  Inc."</f>
        <v>AmWINS Group Benefits  Inc.</v>
      </c>
    </row>
    <row r="1683" spans="1:8" x14ac:dyDescent="0.25">
      <c r="A1683" t="s">
        <v>536</v>
      </c>
      <c r="B1683">
        <v>32</v>
      </c>
      <c r="C1683" s="2">
        <v>2939.89</v>
      </c>
      <c r="D1683" s="1">
        <v>43476</v>
      </c>
      <c r="E1683" t="str">
        <f>"DHM201901096487"</f>
        <v>DHM201901096487</v>
      </c>
      <c r="F1683" t="str">
        <f>"AP - DENTAL HMO"</f>
        <v>AP - DENTAL HMO</v>
      </c>
      <c r="G1683" s="2">
        <v>56.6</v>
      </c>
      <c r="H1683" t="str">
        <f>"AP - DENTAL HMO"</f>
        <v>AP - DENTAL HMO</v>
      </c>
    </row>
    <row r="1684" spans="1:8" x14ac:dyDescent="0.25">
      <c r="E1684" t="str">
        <f>"DTX201901096487"</f>
        <v>DTX201901096487</v>
      </c>
      <c r="F1684" t="str">
        <f>"AP - TEXAS DENTAL"</f>
        <v>AP - TEXAS DENTAL</v>
      </c>
      <c r="G1684" s="2">
        <v>402.48</v>
      </c>
      <c r="H1684" t="str">
        <f>"AP - TEXAS DENTAL"</f>
        <v>AP - TEXAS DENTAL</v>
      </c>
    </row>
    <row r="1685" spans="1:8" x14ac:dyDescent="0.25">
      <c r="E1685" t="str">
        <f>"FD 201901096487"</f>
        <v>FD 201901096487</v>
      </c>
      <c r="F1685" t="str">
        <f>"AP - FT DEARBORN PRE-TAX"</f>
        <v>AP - FT DEARBORN PRE-TAX</v>
      </c>
      <c r="G1685" s="2">
        <v>272.89999999999998</v>
      </c>
      <c r="H1685" t="str">
        <f>"AP - FT DEARBORN PRE-TAX"</f>
        <v>AP - FT DEARBORN PRE-TAX</v>
      </c>
    </row>
    <row r="1686" spans="1:8" x14ac:dyDescent="0.25">
      <c r="E1686" t="str">
        <f>"FDT201901096487"</f>
        <v>FDT201901096487</v>
      </c>
      <c r="F1686" t="str">
        <f>"AP - FT DEARBORN AFTER TAX"</f>
        <v>AP - FT DEARBORN AFTER TAX</v>
      </c>
      <c r="G1686" s="2">
        <v>83.22</v>
      </c>
      <c r="H1686" t="str">
        <f>"AP - FT DEARBORN AFTER TAX"</f>
        <v>AP - FT DEARBORN AFTER TAX</v>
      </c>
    </row>
    <row r="1687" spans="1:8" x14ac:dyDescent="0.25">
      <c r="E1687" t="str">
        <f>"FLX201901096487"</f>
        <v>FLX201901096487</v>
      </c>
      <c r="F1687" t="str">
        <f>"AP - TEX FLEX"</f>
        <v>AP - TEX FLEX</v>
      </c>
      <c r="G1687" s="2">
        <v>220</v>
      </c>
      <c r="H1687" t="str">
        <f>"AP - TEX FLEX"</f>
        <v>AP - TEX FLEX</v>
      </c>
    </row>
    <row r="1688" spans="1:8" x14ac:dyDescent="0.25">
      <c r="E1688" t="str">
        <f>"MHS201901096487"</f>
        <v>MHS201901096487</v>
      </c>
      <c r="F1688" t="str">
        <f>"AP - HEALTH SELECT MEDICAL"</f>
        <v>AP - HEALTH SELECT MEDICAL</v>
      </c>
      <c r="G1688" s="2">
        <v>1436.65</v>
      </c>
      <c r="H1688" t="str">
        <f>"AP - HEALTH SELECT MEDICAL"</f>
        <v>AP - HEALTH SELECT MEDICAL</v>
      </c>
    </row>
    <row r="1689" spans="1:8" x14ac:dyDescent="0.25">
      <c r="E1689" t="str">
        <f>"MSW201901096487"</f>
        <v>MSW201901096487</v>
      </c>
      <c r="F1689" t="str">
        <f>"AP - SCOTT &amp; WHITE MEDICAL"</f>
        <v>AP - SCOTT &amp; WHITE MEDICAL</v>
      </c>
      <c r="G1689" s="2">
        <v>431.02</v>
      </c>
      <c r="H1689" t="str">
        <f>"AP - SCOTT &amp; WHITE MEDICAL"</f>
        <v>AP - SCOTT &amp; WHITE MEDICAL</v>
      </c>
    </row>
    <row r="1690" spans="1:8" x14ac:dyDescent="0.25">
      <c r="E1690" t="str">
        <f>"SPE201901096487"</f>
        <v>SPE201901096487</v>
      </c>
      <c r="F1690" t="str">
        <f>"AP - STATE VISION"</f>
        <v>AP - STATE VISION</v>
      </c>
      <c r="G1690" s="2">
        <v>37.020000000000003</v>
      </c>
      <c r="H1690" t="str">
        <f>"AP - STATE VISION"</f>
        <v>AP - STATE VISION</v>
      </c>
    </row>
    <row r="1691" spans="1:8" x14ac:dyDescent="0.25">
      <c r="A1691" t="s">
        <v>536</v>
      </c>
      <c r="B1691">
        <v>44</v>
      </c>
      <c r="C1691" s="2">
        <v>2939.89</v>
      </c>
      <c r="D1691" s="1">
        <v>43490</v>
      </c>
      <c r="E1691" t="str">
        <f>"DHM201901236762"</f>
        <v>DHM201901236762</v>
      </c>
      <c r="F1691" t="str">
        <f>"AP - DENTAL HMO"</f>
        <v>AP - DENTAL HMO</v>
      </c>
      <c r="G1691" s="2">
        <v>56.6</v>
      </c>
      <c r="H1691" t="str">
        <f>"AP - DENTAL HMO"</f>
        <v>AP - DENTAL HMO</v>
      </c>
    </row>
    <row r="1692" spans="1:8" x14ac:dyDescent="0.25">
      <c r="E1692" t="str">
        <f>"DTX201901236762"</f>
        <v>DTX201901236762</v>
      </c>
      <c r="F1692" t="str">
        <f>"AP - TEXAS DENTAL"</f>
        <v>AP - TEXAS DENTAL</v>
      </c>
      <c r="G1692" s="2">
        <v>402.48</v>
      </c>
      <c r="H1692" t="str">
        <f>"AP - TEXAS DENTAL"</f>
        <v>AP - TEXAS DENTAL</v>
      </c>
    </row>
    <row r="1693" spans="1:8" x14ac:dyDescent="0.25">
      <c r="E1693" t="str">
        <f>"FD 201901236762"</f>
        <v>FD 201901236762</v>
      </c>
      <c r="F1693" t="str">
        <f>"AP - FT DEARBORN PRE-TAX"</f>
        <v>AP - FT DEARBORN PRE-TAX</v>
      </c>
      <c r="G1693" s="2">
        <v>272.89999999999998</v>
      </c>
      <c r="H1693" t="str">
        <f>"AP - FT DEARBORN PRE-TAX"</f>
        <v>AP - FT DEARBORN PRE-TAX</v>
      </c>
    </row>
    <row r="1694" spans="1:8" x14ac:dyDescent="0.25">
      <c r="E1694" t="str">
        <f>"FDT201901236762"</f>
        <v>FDT201901236762</v>
      </c>
      <c r="F1694" t="str">
        <f>"AP - FT DEARBORN AFTER TAX"</f>
        <v>AP - FT DEARBORN AFTER TAX</v>
      </c>
      <c r="G1694" s="2">
        <v>83.22</v>
      </c>
      <c r="H1694" t="str">
        <f>"AP - FT DEARBORN AFTER TAX"</f>
        <v>AP - FT DEARBORN AFTER TAX</v>
      </c>
    </row>
    <row r="1695" spans="1:8" x14ac:dyDescent="0.25">
      <c r="E1695" t="str">
        <f>"FLX201901236762"</f>
        <v>FLX201901236762</v>
      </c>
      <c r="F1695" t="str">
        <f>"AP - TEX FLEX"</f>
        <v>AP - TEX FLEX</v>
      </c>
      <c r="G1695" s="2">
        <v>220</v>
      </c>
      <c r="H1695" t="str">
        <f>"AP - TEX FLEX"</f>
        <v>AP - TEX FLEX</v>
      </c>
    </row>
    <row r="1696" spans="1:8" x14ac:dyDescent="0.25">
      <c r="E1696" t="str">
        <f>"MHS201901236762"</f>
        <v>MHS201901236762</v>
      </c>
      <c r="F1696" t="str">
        <f>"AP - HEALTH SELECT MEDICAL"</f>
        <v>AP - HEALTH SELECT MEDICAL</v>
      </c>
      <c r="G1696" s="2">
        <v>1436.65</v>
      </c>
      <c r="H1696" t="str">
        <f>"AP - HEALTH SELECT MEDICAL"</f>
        <v>AP - HEALTH SELECT MEDICAL</v>
      </c>
    </row>
    <row r="1697" spans="1:8" x14ac:dyDescent="0.25">
      <c r="E1697" t="str">
        <f>"MSW201901236762"</f>
        <v>MSW201901236762</v>
      </c>
      <c r="F1697" t="str">
        <f>"AP - SCOTT &amp; WHITE MEDICAL"</f>
        <v>AP - SCOTT &amp; WHITE MEDICAL</v>
      </c>
      <c r="G1697" s="2">
        <v>431.02</v>
      </c>
      <c r="H1697" t="str">
        <f>"AP - SCOTT &amp; WHITE MEDICAL"</f>
        <v>AP - SCOTT &amp; WHITE MEDICAL</v>
      </c>
    </row>
    <row r="1698" spans="1:8" x14ac:dyDescent="0.25">
      <c r="E1698" t="str">
        <f>"SPE201901236762"</f>
        <v>SPE201901236762</v>
      </c>
      <c r="F1698" t="str">
        <f>"AP - STATE VISION"</f>
        <v>AP - STATE VISION</v>
      </c>
      <c r="G1698" s="2">
        <v>37.020000000000003</v>
      </c>
      <c r="H1698" t="str">
        <f>"AP - STATE VISION"</f>
        <v>AP - STATE VISION</v>
      </c>
    </row>
    <row r="1699" spans="1:8" x14ac:dyDescent="0.25">
      <c r="A1699" t="s">
        <v>537</v>
      </c>
      <c r="B1699">
        <v>57</v>
      </c>
      <c r="C1699" s="2">
        <v>4768.5600000000004</v>
      </c>
      <c r="D1699" s="1">
        <v>43496</v>
      </c>
      <c r="E1699" t="str">
        <f>"201901316951"</f>
        <v>201901316951</v>
      </c>
      <c r="F1699" t="str">
        <f>"COLONIAL LIFE &amp; ACCIDENT INS."</f>
        <v>COLONIAL LIFE &amp; ACCIDENT INS.</v>
      </c>
      <c r="G1699" s="2">
        <v>-1.68</v>
      </c>
      <c r="H1699" t="str">
        <f>"COLONIAL LIFE &amp; ACCIDENT INS."</f>
        <v>COLONIAL LIFE &amp; ACCIDENT INS.</v>
      </c>
    </row>
    <row r="1700" spans="1:8" x14ac:dyDescent="0.25">
      <c r="E1700" t="str">
        <f>"CLT201901176708"</f>
        <v>CLT201901176708</v>
      </c>
      <c r="F1700" t="str">
        <f t="shared" ref="F1700:F1722" si="27">"COLONIAL"</f>
        <v>COLONIAL</v>
      </c>
      <c r="G1700" s="2">
        <v>-16.62</v>
      </c>
      <c r="H1700" t="str">
        <f t="shared" ref="H1700:H1722" si="28">"COLONIAL"</f>
        <v>COLONIAL</v>
      </c>
    </row>
    <row r="1701" spans="1:8" x14ac:dyDescent="0.25">
      <c r="E1701" t="str">
        <f>"CL 201901096477"</f>
        <v>CL 201901096477</v>
      </c>
      <c r="F1701" t="str">
        <f t="shared" si="27"/>
        <v>COLONIAL</v>
      </c>
      <c r="G1701" s="2">
        <v>730.04</v>
      </c>
      <c r="H1701" t="str">
        <f t="shared" si="28"/>
        <v>COLONIAL</v>
      </c>
    </row>
    <row r="1702" spans="1:8" x14ac:dyDescent="0.25">
      <c r="E1702" t="str">
        <f>"CL 201901096483"</f>
        <v>CL 201901096483</v>
      </c>
      <c r="F1702" t="str">
        <f t="shared" si="27"/>
        <v>COLONIAL</v>
      </c>
      <c r="G1702" s="2">
        <v>14.49</v>
      </c>
      <c r="H1702" t="str">
        <f t="shared" si="28"/>
        <v>COLONIAL</v>
      </c>
    </row>
    <row r="1703" spans="1:8" x14ac:dyDescent="0.25">
      <c r="E1703" t="str">
        <f>"CL 201901236760"</f>
        <v>CL 201901236760</v>
      </c>
      <c r="F1703" t="str">
        <f t="shared" si="27"/>
        <v>COLONIAL</v>
      </c>
      <c r="G1703" s="2">
        <v>676.2</v>
      </c>
      <c r="H1703" t="str">
        <f t="shared" si="28"/>
        <v>COLONIAL</v>
      </c>
    </row>
    <row r="1704" spans="1:8" x14ac:dyDescent="0.25">
      <c r="E1704" t="str">
        <f>"CL 201901236761"</f>
        <v>CL 201901236761</v>
      </c>
      <c r="F1704" t="str">
        <f t="shared" si="27"/>
        <v>COLONIAL</v>
      </c>
      <c r="G1704" s="2">
        <v>14.49</v>
      </c>
      <c r="H1704" t="str">
        <f t="shared" si="28"/>
        <v>COLONIAL</v>
      </c>
    </row>
    <row r="1705" spans="1:8" x14ac:dyDescent="0.25">
      <c r="E1705" t="str">
        <f>"CLC201901096477"</f>
        <v>CLC201901096477</v>
      </c>
      <c r="F1705" t="str">
        <f t="shared" si="27"/>
        <v>COLONIAL</v>
      </c>
      <c r="G1705" s="2">
        <v>33.99</v>
      </c>
      <c r="H1705" t="str">
        <f t="shared" si="28"/>
        <v>COLONIAL</v>
      </c>
    </row>
    <row r="1706" spans="1:8" x14ac:dyDescent="0.25">
      <c r="E1706" t="str">
        <f>"CLC201901236760"</f>
        <v>CLC201901236760</v>
      </c>
      <c r="F1706" t="str">
        <f t="shared" si="27"/>
        <v>COLONIAL</v>
      </c>
      <c r="G1706" s="2">
        <v>33.99</v>
      </c>
      <c r="H1706" t="str">
        <f t="shared" si="28"/>
        <v>COLONIAL</v>
      </c>
    </row>
    <row r="1707" spans="1:8" x14ac:dyDescent="0.25">
      <c r="E1707" t="str">
        <f>"CLI201901096477"</f>
        <v>CLI201901096477</v>
      </c>
      <c r="F1707" t="str">
        <f t="shared" si="27"/>
        <v>COLONIAL</v>
      </c>
      <c r="G1707" s="2">
        <v>629.96</v>
      </c>
      <c r="H1707" t="str">
        <f t="shared" si="28"/>
        <v>COLONIAL</v>
      </c>
    </row>
    <row r="1708" spans="1:8" x14ac:dyDescent="0.25">
      <c r="E1708" t="str">
        <f>"CLI201901096483"</f>
        <v>CLI201901096483</v>
      </c>
      <c r="F1708" t="str">
        <f t="shared" si="27"/>
        <v>COLONIAL</v>
      </c>
      <c r="G1708" s="2">
        <v>5.18</v>
      </c>
      <c r="H1708" t="str">
        <f t="shared" si="28"/>
        <v>COLONIAL</v>
      </c>
    </row>
    <row r="1709" spans="1:8" x14ac:dyDescent="0.25">
      <c r="E1709" t="str">
        <f>"CLI201901236760"</f>
        <v>CLI201901236760</v>
      </c>
      <c r="F1709" t="str">
        <f t="shared" si="27"/>
        <v>COLONIAL</v>
      </c>
      <c r="G1709" s="2">
        <v>565.26</v>
      </c>
      <c r="H1709" t="str">
        <f t="shared" si="28"/>
        <v>COLONIAL</v>
      </c>
    </row>
    <row r="1710" spans="1:8" x14ac:dyDescent="0.25">
      <c r="E1710" t="str">
        <f>"CLI201901236761"</f>
        <v>CLI201901236761</v>
      </c>
      <c r="F1710" t="str">
        <f t="shared" si="27"/>
        <v>COLONIAL</v>
      </c>
      <c r="G1710" s="2">
        <v>5.18</v>
      </c>
      <c r="H1710" t="str">
        <f t="shared" si="28"/>
        <v>COLONIAL</v>
      </c>
    </row>
    <row r="1711" spans="1:8" x14ac:dyDescent="0.25">
      <c r="E1711" t="str">
        <f>"CLK201901096477"</f>
        <v>CLK201901096477</v>
      </c>
      <c r="F1711" t="str">
        <f t="shared" si="27"/>
        <v>COLONIAL</v>
      </c>
      <c r="G1711" s="2">
        <v>27.09</v>
      </c>
      <c r="H1711" t="str">
        <f t="shared" si="28"/>
        <v>COLONIAL</v>
      </c>
    </row>
    <row r="1712" spans="1:8" x14ac:dyDescent="0.25">
      <c r="E1712" t="str">
        <f>"CLK201901236760"</f>
        <v>CLK201901236760</v>
      </c>
      <c r="F1712" t="str">
        <f t="shared" si="27"/>
        <v>COLONIAL</v>
      </c>
      <c r="G1712" s="2">
        <v>27.09</v>
      </c>
      <c r="H1712" t="str">
        <f t="shared" si="28"/>
        <v>COLONIAL</v>
      </c>
    </row>
    <row r="1713" spans="1:8" x14ac:dyDescent="0.25">
      <c r="E1713" t="str">
        <f>"CLS201901096477"</f>
        <v>CLS201901096477</v>
      </c>
      <c r="F1713" t="str">
        <f t="shared" si="27"/>
        <v>COLONIAL</v>
      </c>
      <c r="G1713" s="2">
        <v>386.49</v>
      </c>
      <c r="H1713" t="str">
        <f t="shared" si="28"/>
        <v>COLONIAL</v>
      </c>
    </row>
    <row r="1714" spans="1:8" x14ac:dyDescent="0.25">
      <c r="E1714" t="str">
        <f>"CLS201901096483"</f>
        <v>CLS201901096483</v>
      </c>
      <c r="F1714" t="str">
        <f t="shared" si="27"/>
        <v>COLONIAL</v>
      </c>
      <c r="G1714" s="2">
        <v>28.57</v>
      </c>
      <c r="H1714" t="str">
        <f t="shared" si="28"/>
        <v>COLONIAL</v>
      </c>
    </row>
    <row r="1715" spans="1:8" x14ac:dyDescent="0.25">
      <c r="E1715" t="str">
        <f>"CLS201901236760"</f>
        <v>CLS201901236760</v>
      </c>
      <c r="F1715" t="str">
        <f t="shared" si="27"/>
        <v>COLONIAL</v>
      </c>
      <c r="G1715" s="2">
        <v>386.49</v>
      </c>
      <c r="H1715" t="str">
        <f t="shared" si="28"/>
        <v>COLONIAL</v>
      </c>
    </row>
    <row r="1716" spans="1:8" x14ac:dyDescent="0.25">
      <c r="E1716" t="str">
        <f>"CLS201901236761"</f>
        <v>CLS201901236761</v>
      </c>
      <c r="F1716" t="str">
        <f t="shared" si="27"/>
        <v>COLONIAL</v>
      </c>
      <c r="G1716" s="2">
        <v>28.57</v>
      </c>
      <c r="H1716" t="str">
        <f t="shared" si="28"/>
        <v>COLONIAL</v>
      </c>
    </row>
    <row r="1717" spans="1:8" x14ac:dyDescent="0.25">
      <c r="E1717" t="str">
        <f>"CLT201901096477"</f>
        <v>CLT201901096477</v>
      </c>
      <c r="F1717" t="str">
        <f t="shared" si="27"/>
        <v>COLONIAL</v>
      </c>
      <c r="G1717" s="2">
        <v>325.14</v>
      </c>
      <c r="H1717" t="str">
        <f t="shared" si="28"/>
        <v>COLONIAL</v>
      </c>
    </row>
    <row r="1718" spans="1:8" x14ac:dyDescent="0.25">
      <c r="E1718" t="str">
        <f>"CLT201901236760"</f>
        <v>CLT201901236760</v>
      </c>
      <c r="F1718" t="str">
        <f t="shared" si="27"/>
        <v>COLONIAL</v>
      </c>
      <c r="G1718" s="2">
        <v>325.14</v>
      </c>
      <c r="H1718" t="str">
        <f t="shared" si="28"/>
        <v>COLONIAL</v>
      </c>
    </row>
    <row r="1719" spans="1:8" x14ac:dyDescent="0.25">
      <c r="E1719" t="str">
        <f>"CLU201901096477"</f>
        <v>CLU201901096477</v>
      </c>
      <c r="F1719" t="str">
        <f t="shared" si="27"/>
        <v>COLONIAL</v>
      </c>
      <c r="G1719" s="2">
        <v>116.56</v>
      </c>
      <c r="H1719" t="str">
        <f t="shared" si="28"/>
        <v>COLONIAL</v>
      </c>
    </row>
    <row r="1720" spans="1:8" x14ac:dyDescent="0.25">
      <c r="E1720" t="str">
        <f>"CLU201901236760"</f>
        <v>CLU201901236760</v>
      </c>
      <c r="F1720" t="str">
        <f t="shared" si="27"/>
        <v>COLONIAL</v>
      </c>
      <c r="G1720" s="2">
        <v>116.56</v>
      </c>
      <c r="H1720" t="str">
        <f t="shared" si="28"/>
        <v>COLONIAL</v>
      </c>
    </row>
    <row r="1721" spans="1:8" x14ac:dyDescent="0.25">
      <c r="E1721" t="str">
        <f>"CLW201901096477"</f>
        <v>CLW201901096477</v>
      </c>
      <c r="F1721" t="str">
        <f t="shared" si="27"/>
        <v>COLONIAL</v>
      </c>
      <c r="G1721" s="2">
        <v>155.19</v>
      </c>
      <c r="H1721" t="str">
        <f t="shared" si="28"/>
        <v>COLONIAL</v>
      </c>
    </row>
    <row r="1722" spans="1:8" x14ac:dyDescent="0.25">
      <c r="E1722" t="str">
        <f>"CLW201901236760"</f>
        <v>CLW201901236760</v>
      </c>
      <c r="F1722" t="str">
        <f t="shared" si="27"/>
        <v>COLONIAL</v>
      </c>
      <c r="G1722" s="2">
        <v>155.19</v>
      </c>
      <c r="H1722" t="str">
        <f t="shared" si="28"/>
        <v>COLONIAL</v>
      </c>
    </row>
    <row r="1723" spans="1:8" x14ac:dyDescent="0.25">
      <c r="A1723" t="s">
        <v>538</v>
      </c>
      <c r="B1723">
        <v>33</v>
      </c>
      <c r="C1723" s="2">
        <v>6702.89</v>
      </c>
      <c r="D1723" s="1">
        <v>43476</v>
      </c>
      <c r="E1723" t="str">
        <f>"CPI201901096477"</f>
        <v>CPI201901096477</v>
      </c>
      <c r="F1723" t="str">
        <f>"DEFERRED COMP 457B PAYABLE"</f>
        <v>DEFERRED COMP 457B PAYABLE</v>
      </c>
      <c r="G1723" s="2">
        <v>6595.39</v>
      </c>
      <c r="H1723" t="str">
        <f>"DEFERRED COMP 457B PAYABLE"</f>
        <v>DEFERRED COMP 457B PAYABLE</v>
      </c>
    </row>
    <row r="1724" spans="1:8" x14ac:dyDescent="0.25">
      <c r="E1724" t="str">
        <f>"CPI201901096483"</f>
        <v>CPI201901096483</v>
      </c>
      <c r="F1724" t="str">
        <f>"DEFERRED COMP 457B PAYABLE"</f>
        <v>DEFERRED COMP 457B PAYABLE</v>
      </c>
      <c r="G1724" s="2">
        <v>107.5</v>
      </c>
      <c r="H1724" t="str">
        <f>"DEFERRED COMP 457B PAYABLE"</f>
        <v>DEFERRED COMP 457B PAYABLE</v>
      </c>
    </row>
    <row r="1725" spans="1:8" x14ac:dyDescent="0.25">
      <c r="A1725" t="s">
        <v>538</v>
      </c>
      <c r="B1725">
        <v>45</v>
      </c>
      <c r="C1725" s="2">
        <v>6666.24</v>
      </c>
      <c r="D1725" s="1">
        <v>43490</v>
      </c>
      <c r="E1725" t="str">
        <f>"CPI201901236760"</f>
        <v>CPI201901236760</v>
      </c>
      <c r="F1725" t="str">
        <f>"DEFERRED COMP 457B PAYABLE"</f>
        <v>DEFERRED COMP 457B PAYABLE</v>
      </c>
      <c r="G1725" s="2">
        <v>6558.74</v>
      </c>
      <c r="H1725" t="str">
        <f>"DEFERRED COMP 457B PAYABLE"</f>
        <v>DEFERRED COMP 457B PAYABLE</v>
      </c>
    </row>
    <row r="1726" spans="1:8" x14ac:dyDescent="0.25">
      <c r="E1726" t="str">
        <f>"CPI201901236761"</f>
        <v>CPI201901236761</v>
      </c>
      <c r="F1726" t="str">
        <f>"DEFERRED COMP 457B PAYABLE"</f>
        <v>DEFERRED COMP 457B PAYABLE</v>
      </c>
      <c r="G1726" s="2">
        <v>107.5</v>
      </c>
      <c r="H1726" t="str">
        <f>"DEFERRED COMP 457B PAYABLE"</f>
        <v>DEFERRED COMP 457B PAYABLE</v>
      </c>
    </row>
    <row r="1727" spans="1:8" x14ac:dyDescent="0.25">
      <c r="A1727" t="s">
        <v>539</v>
      </c>
      <c r="B1727">
        <v>47244</v>
      </c>
      <c r="C1727" s="2">
        <v>1368.7</v>
      </c>
      <c r="D1727" s="1">
        <v>43476</v>
      </c>
      <c r="E1727" t="str">
        <f>"B13201901096477"</f>
        <v>B13201901096477</v>
      </c>
      <c r="F1727" t="str">
        <f>"Rosa Warren 15-10357-TMD"</f>
        <v>Rosa Warren 15-10357-TMD</v>
      </c>
      <c r="G1727" s="2">
        <v>853.85</v>
      </c>
      <c r="H1727" t="str">
        <f>"Rosa Warren 15-10357-TMD"</f>
        <v>Rosa Warren 15-10357-TMD</v>
      </c>
    </row>
    <row r="1728" spans="1:8" x14ac:dyDescent="0.25">
      <c r="E1728" t="str">
        <f>"BJL201901096477"</f>
        <v>BJL201901096477</v>
      </c>
      <c r="F1728" t="str">
        <f>"Julian Luna 14-10230-TMD"</f>
        <v>Julian Luna 14-10230-TMD</v>
      </c>
      <c r="G1728" s="2">
        <v>514.85</v>
      </c>
      <c r="H1728" t="str">
        <f>"Julian Luna 14-10230-TMD"</f>
        <v>Julian Luna 14-10230-TMD</v>
      </c>
    </row>
    <row r="1729" spans="1:8" x14ac:dyDescent="0.25">
      <c r="A1729" t="s">
        <v>539</v>
      </c>
      <c r="B1729">
        <v>47273</v>
      </c>
      <c r="C1729" s="2">
        <v>1368.7</v>
      </c>
      <c r="D1729" s="1">
        <v>43490</v>
      </c>
      <c r="E1729" t="str">
        <f>"B13201901236760"</f>
        <v>B13201901236760</v>
      </c>
      <c r="F1729" t="str">
        <f>"Rosa Warren 15-10357-TMD"</f>
        <v>Rosa Warren 15-10357-TMD</v>
      </c>
      <c r="G1729" s="2">
        <v>853.85</v>
      </c>
      <c r="H1729" t="str">
        <f>"Rosa Warren 15-10357-TMD"</f>
        <v>Rosa Warren 15-10357-TMD</v>
      </c>
    </row>
    <row r="1730" spans="1:8" x14ac:dyDescent="0.25">
      <c r="E1730" t="str">
        <f>"BJL201901236760"</f>
        <v>BJL201901236760</v>
      </c>
      <c r="F1730" t="str">
        <f>"Julian Luna 14-10230-TMD"</f>
        <v>Julian Luna 14-10230-TMD</v>
      </c>
      <c r="G1730" s="2">
        <v>514.85</v>
      </c>
      <c r="H1730" t="str">
        <f>"Julian Luna 14-10230-TMD"</f>
        <v>Julian Luna 14-10230-TMD</v>
      </c>
    </row>
    <row r="1731" spans="1:8" x14ac:dyDescent="0.25">
      <c r="A1731" t="s">
        <v>540</v>
      </c>
      <c r="B1731">
        <v>52</v>
      </c>
      <c r="C1731" s="2">
        <v>40286.239999999998</v>
      </c>
      <c r="D1731" s="1">
        <v>43494</v>
      </c>
      <c r="E1731" t="str">
        <f>"201901296902"</f>
        <v>201901296902</v>
      </c>
      <c r="F1731" t="str">
        <f>"Rounding Jan 2019"</f>
        <v>Rounding Jan 2019</v>
      </c>
      <c r="G1731" s="2">
        <v>-7.54</v>
      </c>
      <c r="H1731" t="str">
        <f>"Rounding Jan 2019"</f>
        <v>Rounding Jan 2019</v>
      </c>
    </row>
    <row r="1732" spans="1:8" x14ac:dyDescent="0.25">
      <c r="E1732" t="str">
        <f>"201901296906"</f>
        <v>201901296906</v>
      </c>
      <c r="F1732" t="str">
        <f>"Adjustments unaccount for HR"</f>
        <v>Adjustments unaccount for HR</v>
      </c>
      <c r="G1732" s="2">
        <v>-109.24</v>
      </c>
      <c r="H1732" t="str">
        <f>"Adjustments unaccount for HR"</f>
        <v>Adjustments unaccount for HR</v>
      </c>
    </row>
    <row r="1733" spans="1:8" x14ac:dyDescent="0.25">
      <c r="E1733" t="str">
        <f>"ADE201901176708"</f>
        <v>ADE201901176708</v>
      </c>
      <c r="F1733" t="str">
        <f>"GUARDIAN"</f>
        <v>GUARDIAN</v>
      </c>
      <c r="G1733" s="2">
        <v>-0.75</v>
      </c>
      <c r="H1733" t="str">
        <f>"GUARDIAN"</f>
        <v>GUARDIAN</v>
      </c>
    </row>
    <row r="1734" spans="1:8" x14ac:dyDescent="0.25">
      <c r="E1734" t="str">
        <f>"GDE201901176708"</f>
        <v>GDE201901176708</v>
      </c>
      <c r="F1734" t="str">
        <f>"GUARDIAN"</f>
        <v>GUARDIAN</v>
      </c>
      <c r="G1734" s="2">
        <v>-15.39</v>
      </c>
      <c r="H1734" t="str">
        <f>"GUARDIAN"</f>
        <v>GUARDIAN</v>
      </c>
    </row>
    <row r="1735" spans="1:8" x14ac:dyDescent="0.25">
      <c r="E1735" t="str">
        <f>"GVE201901176708"</f>
        <v>GVE201901176708</v>
      </c>
      <c r="F1735" t="str">
        <f>"GUARDIAN VISION VENDOR"</f>
        <v>GUARDIAN VISION VENDOR</v>
      </c>
      <c r="G1735" s="2">
        <v>-3.69</v>
      </c>
      <c r="H1735" t="str">
        <f>"GUARDIAN VISION VENDOR"</f>
        <v>GUARDIAN VISION VENDOR</v>
      </c>
    </row>
    <row r="1736" spans="1:8" x14ac:dyDescent="0.25">
      <c r="E1736" t="str">
        <f>"LIE201901176708"</f>
        <v>LIE201901176708</v>
      </c>
      <c r="F1736" t="str">
        <f>"GUARDIAN"</f>
        <v>GUARDIAN</v>
      </c>
      <c r="G1736" s="2">
        <v>-12.1</v>
      </c>
      <c r="H1736" t="str">
        <f>"GUARDIAN"</f>
        <v>GUARDIAN</v>
      </c>
    </row>
    <row r="1737" spans="1:8" x14ac:dyDescent="0.25">
      <c r="E1737" t="str">
        <f>""</f>
        <v/>
      </c>
      <c r="F1737" t="str">
        <f>""</f>
        <v/>
      </c>
      <c r="H1737" t="str">
        <f>"GUARDIAN"</f>
        <v>GUARDIAN</v>
      </c>
    </row>
    <row r="1738" spans="1:8" x14ac:dyDescent="0.25">
      <c r="E1738" t="str">
        <f>"201901296899"</f>
        <v>201901296899</v>
      </c>
      <c r="F1738" t="str">
        <f>"Retiree Jan 2019"</f>
        <v>Retiree Jan 2019</v>
      </c>
      <c r="G1738" s="2">
        <v>3211.35</v>
      </c>
      <c r="H1738" t="str">
        <f>"GUARDIAN"</f>
        <v>GUARDIAN</v>
      </c>
    </row>
    <row r="1739" spans="1:8" x14ac:dyDescent="0.25">
      <c r="E1739" t="str">
        <f>"201901296900"</f>
        <v>201901296900</v>
      </c>
      <c r="F1739" t="str">
        <f>"COBRA Jan 2019"</f>
        <v>COBRA Jan 2019</v>
      </c>
      <c r="G1739" s="2">
        <v>30.77</v>
      </c>
      <c r="H1739" t="str">
        <f>"COBRA Jan 2019"</f>
        <v>COBRA Jan 2019</v>
      </c>
    </row>
    <row r="1740" spans="1:8" x14ac:dyDescent="0.25">
      <c r="E1740" t="str">
        <f>"201901296903"</f>
        <v>201901296903</v>
      </c>
      <c r="F1740" t="str">
        <f t="shared" ref="F1740:F1753" si="29">"GUARDIAN"</f>
        <v>GUARDIAN</v>
      </c>
      <c r="G1740" s="2">
        <v>136.91</v>
      </c>
      <c r="H1740" t="str">
        <f t="shared" ref="H1740:H1803" si="30">"GUARDIAN"</f>
        <v>GUARDIAN</v>
      </c>
    </row>
    <row r="1741" spans="1:8" x14ac:dyDescent="0.25">
      <c r="E1741" t="str">
        <f>"ADC201901096477"</f>
        <v>ADC201901096477</v>
      </c>
      <c r="F1741" t="str">
        <f t="shared" si="29"/>
        <v>GUARDIAN</v>
      </c>
      <c r="G1741" s="2">
        <v>5.28</v>
      </c>
      <c r="H1741" t="str">
        <f t="shared" si="30"/>
        <v>GUARDIAN</v>
      </c>
    </row>
    <row r="1742" spans="1:8" x14ac:dyDescent="0.25">
      <c r="E1742" t="str">
        <f>"ADC201901096483"</f>
        <v>ADC201901096483</v>
      </c>
      <c r="F1742" t="str">
        <f t="shared" si="29"/>
        <v>GUARDIAN</v>
      </c>
      <c r="G1742" s="2">
        <v>0.16</v>
      </c>
      <c r="H1742" t="str">
        <f t="shared" si="30"/>
        <v>GUARDIAN</v>
      </c>
    </row>
    <row r="1743" spans="1:8" x14ac:dyDescent="0.25">
      <c r="E1743" t="str">
        <f>"ADC201901236760"</f>
        <v>ADC201901236760</v>
      </c>
      <c r="F1743" t="str">
        <f t="shared" si="29"/>
        <v>GUARDIAN</v>
      </c>
      <c r="G1743" s="2">
        <v>5.12</v>
      </c>
      <c r="H1743" t="str">
        <f t="shared" si="30"/>
        <v>GUARDIAN</v>
      </c>
    </row>
    <row r="1744" spans="1:8" x14ac:dyDescent="0.25">
      <c r="E1744" t="str">
        <f>"ADC201901236761"</f>
        <v>ADC201901236761</v>
      </c>
      <c r="F1744" t="str">
        <f t="shared" si="29"/>
        <v>GUARDIAN</v>
      </c>
      <c r="G1744" s="2">
        <v>0.16</v>
      </c>
      <c r="H1744" t="str">
        <f t="shared" si="30"/>
        <v>GUARDIAN</v>
      </c>
    </row>
    <row r="1745" spans="5:8" x14ac:dyDescent="0.25">
      <c r="E1745" t="str">
        <f>"ADE201901096477"</f>
        <v>ADE201901096477</v>
      </c>
      <c r="F1745" t="str">
        <f t="shared" si="29"/>
        <v>GUARDIAN</v>
      </c>
      <c r="G1745" s="2">
        <v>227.22</v>
      </c>
      <c r="H1745" t="str">
        <f t="shared" si="30"/>
        <v>GUARDIAN</v>
      </c>
    </row>
    <row r="1746" spans="5:8" x14ac:dyDescent="0.25">
      <c r="E1746" t="str">
        <f>"ADE201901096483"</f>
        <v>ADE201901096483</v>
      </c>
      <c r="F1746" t="str">
        <f t="shared" si="29"/>
        <v>GUARDIAN</v>
      </c>
      <c r="G1746" s="2">
        <v>6.3</v>
      </c>
      <c r="H1746" t="str">
        <f t="shared" si="30"/>
        <v>GUARDIAN</v>
      </c>
    </row>
    <row r="1747" spans="5:8" x14ac:dyDescent="0.25">
      <c r="E1747" t="str">
        <f>"ADE201901236760"</f>
        <v>ADE201901236760</v>
      </c>
      <c r="F1747" t="str">
        <f t="shared" si="29"/>
        <v>GUARDIAN</v>
      </c>
      <c r="G1747" s="2">
        <v>226.86</v>
      </c>
      <c r="H1747" t="str">
        <f t="shared" si="30"/>
        <v>GUARDIAN</v>
      </c>
    </row>
    <row r="1748" spans="5:8" x14ac:dyDescent="0.25">
      <c r="E1748" t="str">
        <f>"ADE201901236761"</f>
        <v>ADE201901236761</v>
      </c>
      <c r="F1748" t="str">
        <f t="shared" si="29"/>
        <v>GUARDIAN</v>
      </c>
      <c r="G1748" s="2">
        <v>6.3</v>
      </c>
      <c r="H1748" t="str">
        <f t="shared" si="30"/>
        <v>GUARDIAN</v>
      </c>
    </row>
    <row r="1749" spans="5:8" x14ac:dyDescent="0.25">
      <c r="E1749" t="str">
        <f>"ADS201901096477"</f>
        <v>ADS201901096477</v>
      </c>
      <c r="F1749" t="str">
        <f t="shared" si="29"/>
        <v>GUARDIAN</v>
      </c>
      <c r="G1749" s="2">
        <v>42.13</v>
      </c>
      <c r="H1749" t="str">
        <f t="shared" si="30"/>
        <v>GUARDIAN</v>
      </c>
    </row>
    <row r="1750" spans="5:8" x14ac:dyDescent="0.25">
      <c r="E1750" t="str">
        <f>"ADS201901096483"</f>
        <v>ADS201901096483</v>
      </c>
      <c r="F1750" t="str">
        <f t="shared" si="29"/>
        <v>GUARDIAN</v>
      </c>
      <c r="G1750" s="2">
        <v>0.53</v>
      </c>
      <c r="H1750" t="str">
        <f t="shared" si="30"/>
        <v>GUARDIAN</v>
      </c>
    </row>
    <row r="1751" spans="5:8" x14ac:dyDescent="0.25">
      <c r="E1751" t="str">
        <f>"ADS201901236760"</f>
        <v>ADS201901236760</v>
      </c>
      <c r="F1751" t="str">
        <f t="shared" si="29"/>
        <v>GUARDIAN</v>
      </c>
      <c r="G1751" s="2">
        <v>42.13</v>
      </c>
      <c r="H1751" t="str">
        <f t="shared" si="30"/>
        <v>GUARDIAN</v>
      </c>
    </row>
    <row r="1752" spans="5:8" x14ac:dyDescent="0.25">
      <c r="E1752" t="str">
        <f>"ADS201901236761"</f>
        <v>ADS201901236761</v>
      </c>
      <c r="F1752" t="str">
        <f t="shared" si="29"/>
        <v>GUARDIAN</v>
      </c>
      <c r="G1752" s="2">
        <v>0.53</v>
      </c>
      <c r="H1752" t="str">
        <f t="shared" si="30"/>
        <v>GUARDIAN</v>
      </c>
    </row>
    <row r="1753" spans="5:8" x14ac:dyDescent="0.25">
      <c r="E1753" t="str">
        <f>"GDC201901096477"</f>
        <v>GDC201901096477</v>
      </c>
      <c r="F1753" t="str">
        <f t="shared" si="29"/>
        <v>GUARDIAN</v>
      </c>
      <c r="G1753" s="2">
        <v>2648.88</v>
      </c>
      <c r="H1753" t="str">
        <f t="shared" si="30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30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30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30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30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30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30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30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30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30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30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30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30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30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30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30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30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30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30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30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30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30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30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30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30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30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30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30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30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0"/>
        <v>GUARDIAN</v>
      </c>
    </row>
    <row r="1783" spans="5:8" x14ac:dyDescent="0.25">
      <c r="E1783" t="str">
        <f>"GDC201901096483"</f>
        <v>GDC201901096483</v>
      </c>
      <c r="F1783" t="str">
        <f>"GUARDIAN"</f>
        <v>GUARDIAN</v>
      </c>
      <c r="G1783" s="2">
        <v>135.84</v>
      </c>
      <c r="H1783" t="str">
        <f t="shared" si="30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0"/>
        <v>GUARDIAN</v>
      </c>
    </row>
    <row r="1785" spans="5:8" x14ac:dyDescent="0.25">
      <c r="E1785" t="str">
        <f>"GDC201901236760"</f>
        <v>GDC201901236760</v>
      </c>
      <c r="F1785" t="str">
        <f>"GUARDIAN"</f>
        <v>GUARDIAN</v>
      </c>
      <c r="G1785" s="2">
        <v>2580.96</v>
      </c>
      <c r="H1785" t="str">
        <f t="shared" si="30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30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30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0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30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0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30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30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30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30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30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30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30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0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0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0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30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30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30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ref="H1804:H1867" si="31">"GUARDIAN"</f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31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31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31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31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31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31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31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31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1"/>
        <v>GUARDIAN</v>
      </c>
    </row>
    <row r="1815" spans="5:8" x14ac:dyDescent="0.25">
      <c r="E1815" t="str">
        <f>"GDC201901236761"</f>
        <v>GDC201901236761</v>
      </c>
      <c r="F1815" t="str">
        <f>"GUARDIAN"</f>
        <v>GUARDIAN</v>
      </c>
      <c r="G1815" s="2">
        <v>135.84</v>
      </c>
      <c r="H1815" t="str">
        <f t="shared" si="31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1"/>
        <v>GUARDIAN</v>
      </c>
    </row>
    <row r="1817" spans="5:8" x14ac:dyDescent="0.25">
      <c r="E1817" t="str">
        <f>"GDE201901096477"</f>
        <v>GDE201901096477</v>
      </c>
      <c r="F1817" t="str">
        <f>"GUARDIAN"</f>
        <v>GUARDIAN</v>
      </c>
      <c r="G1817" s="2">
        <v>4032.18</v>
      </c>
      <c r="H1817" t="str">
        <f t="shared" si="31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1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31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1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1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31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31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31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31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31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31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31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31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31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31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31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31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31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31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31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31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31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31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31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31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31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31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31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31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31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31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31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31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31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31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31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31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31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31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31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31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31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31"/>
        <v>GUARDIAN</v>
      </c>
    </row>
    <row r="1860" spans="5:8" x14ac:dyDescent="0.25">
      <c r="E1860" t="str">
        <f>"GDE201901096483"</f>
        <v>GDE201901096483</v>
      </c>
      <c r="F1860" t="str">
        <f>"GUARDIAN"</f>
        <v>GUARDIAN</v>
      </c>
      <c r="G1860" s="2">
        <v>169.29</v>
      </c>
      <c r="H1860" t="str">
        <f t="shared" si="31"/>
        <v>GUARDIAN</v>
      </c>
    </row>
    <row r="1861" spans="5:8" x14ac:dyDescent="0.25">
      <c r="E1861" t="str">
        <f>"GDE201901236760"</f>
        <v>GDE201901236760</v>
      </c>
      <c r="F1861" t="str">
        <f>"GUARDIAN"</f>
        <v>GUARDIAN</v>
      </c>
      <c r="G1861" s="2">
        <v>4016.79</v>
      </c>
      <c r="H1861" t="str">
        <f t="shared" si="31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31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31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31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31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31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31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ref="H1868:H1931" si="32">"GUARDIAN"</f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32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32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32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32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32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32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32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32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32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32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32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32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32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32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32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32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32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32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2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2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2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2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2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3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3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3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3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3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3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3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2"/>
        <v>GUARDIAN</v>
      </c>
    </row>
    <row r="1904" spans="5:8" x14ac:dyDescent="0.25">
      <c r="E1904" t="str">
        <f>"GDE201901236761"</f>
        <v>GDE201901236761</v>
      </c>
      <c r="F1904" t="str">
        <f>"GUARDIAN"</f>
        <v>GUARDIAN</v>
      </c>
      <c r="G1904" s="2">
        <v>169.29</v>
      </c>
      <c r="H1904" t="str">
        <f t="shared" si="32"/>
        <v>GUARDIAN</v>
      </c>
    </row>
    <row r="1905" spans="5:8" x14ac:dyDescent="0.25">
      <c r="E1905" t="str">
        <f>"GDF201901096477"</f>
        <v>GDF201901096477</v>
      </c>
      <c r="F1905" t="str">
        <f>"GUARDIAN"</f>
        <v>GUARDIAN</v>
      </c>
      <c r="G1905" s="2">
        <v>2510.5</v>
      </c>
      <c r="H1905" t="str">
        <f t="shared" si="32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2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2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2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2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2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2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2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2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2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2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2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2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2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2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2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2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2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2"/>
        <v>GUARDIAN</v>
      </c>
    </row>
    <row r="1924" spans="5:8" x14ac:dyDescent="0.25">
      <c r="E1924" t="str">
        <f>"GDF201901096483"</f>
        <v>GDF201901096483</v>
      </c>
      <c r="F1924" t="str">
        <f>"GUARDIAN"</f>
        <v>GUARDIAN</v>
      </c>
      <c r="G1924" s="2">
        <v>100.42</v>
      </c>
      <c r="H1924" t="str">
        <f t="shared" si="32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2"/>
        <v>GUARDIAN</v>
      </c>
    </row>
    <row r="1926" spans="5:8" x14ac:dyDescent="0.25">
      <c r="E1926" t="str">
        <f>"GDF201901236760"</f>
        <v>GDF201901236760</v>
      </c>
      <c r="F1926" t="str">
        <f>"GUARDIAN"</f>
        <v>GUARDIAN</v>
      </c>
      <c r="G1926" s="2">
        <v>2510.5</v>
      </c>
      <c r="H1926" t="str">
        <f t="shared" si="32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32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32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2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2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2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ref="H1932:H1998" si="33">"GUARDIAN"</f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3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3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3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3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33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33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33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33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33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33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33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33"/>
        <v>GUARDIAN</v>
      </c>
    </row>
    <row r="1945" spans="5:8" x14ac:dyDescent="0.25">
      <c r="E1945" t="str">
        <f>"GDF201901236761"</f>
        <v>GDF201901236761</v>
      </c>
      <c r="F1945" t="str">
        <f>"GUARDIAN"</f>
        <v>GUARDIAN</v>
      </c>
      <c r="G1945" s="2">
        <v>100.42</v>
      </c>
      <c r="H1945" t="str">
        <f t="shared" si="33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33"/>
        <v>GUARDIAN</v>
      </c>
    </row>
    <row r="1947" spans="5:8" x14ac:dyDescent="0.25">
      <c r="E1947" t="str">
        <f>"GDS201901096477"</f>
        <v>GDS201901096477</v>
      </c>
      <c r="F1947" t="str">
        <f>"GUARDIAN"</f>
        <v>GUARDIAN</v>
      </c>
      <c r="G1947" s="2">
        <v>1892.22</v>
      </c>
      <c r="H1947" t="str">
        <f t="shared" si="33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33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33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33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33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33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33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33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33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33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33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33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33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33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33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33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33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33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33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33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33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33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33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33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33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33"/>
        <v>GUARDIAN</v>
      </c>
    </row>
    <row r="1973" spans="5:8" x14ac:dyDescent="0.25">
      <c r="E1973" t="str">
        <f>"GDS201901236760"</f>
        <v>GDS201901236760</v>
      </c>
      <c r="F1973" t="str">
        <f>"GUARDIAN"</f>
        <v>GUARDIAN</v>
      </c>
      <c r="G1973" s="2">
        <v>1830.18</v>
      </c>
      <c r="H1973" t="str">
        <f t="shared" si="33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33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33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33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33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33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33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33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33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33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33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33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33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33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33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33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33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33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33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33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33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33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33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33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33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33"/>
        <v>GUARDIAN</v>
      </c>
    </row>
    <row r="1999" spans="5:8" x14ac:dyDescent="0.25">
      <c r="E1999" t="str">
        <f>"GV1201901096477"</f>
        <v>GV1201901096477</v>
      </c>
      <c r="F1999" t="str">
        <f>"GUARDIAN VISION"</f>
        <v>GUARDIAN VISION</v>
      </c>
      <c r="G1999" s="2">
        <v>364</v>
      </c>
      <c r="H1999" t="str">
        <f>"GUARDIAN VISION"</f>
        <v>GUARDIAN VISION</v>
      </c>
    </row>
    <row r="2000" spans="5:8" x14ac:dyDescent="0.25">
      <c r="E2000" t="str">
        <f>"GV1201901236760"</f>
        <v>GV1201901236760</v>
      </c>
      <c r="F2000" t="str">
        <f>"GUARDIAN VISION"</f>
        <v>GUARDIAN VISION</v>
      </c>
      <c r="G2000" s="2">
        <v>364</v>
      </c>
      <c r="H2000" t="str">
        <f>"GUARDIAN VISION"</f>
        <v>GUARDIAN VISION</v>
      </c>
    </row>
    <row r="2001" spans="5:8" x14ac:dyDescent="0.25">
      <c r="E2001" t="str">
        <f>"GVE201901096477"</f>
        <v>GVE201901096477</v>
      </c>
      <c r="F2001" t="str">
        <f>"GUARDIAN VISION VENDOR"</f>
        <v>GUARDIAN VISION VENDOR</v>
      </c>
      <c r="G2001" s="2">
        <v>583.02</v>
      </c>
      <c r="H2001" t="str">
        <f>"GUARDIAN VISION VENDOR"</f>
        <v>GUARDIAN VISION VENDOR</v>
      </c>
    </row>
    <row r="2002" spans="5:8" x14ac:dyDescent="0.25">
      <c r="E2002" t="str">
        <f>"GVE201901096483"</f>
        <v>GVE201901096483</v>
      </c>
      <c r="F2002" t="str">
        <f>"GUARDIAN VISION VENDOR"</f>
        <v>GUARDIAN VISION VENDOR</v>
      </c>
      <c r="G2002" s="2">
        <v>11.09</v>
      </c>
      <c r="H2002" t="str">
        <f>"GUARDIAN VISION VENDOR"</f>
        <v>GUARDIAN VISION VENDOR</v>
      </c>
    </row>
    <row r="2003" spans="5:8" x14ac:dyDescent="0.25">
      <c r="E2003" t="str">
        <f>"GVE201901236760"</f>
        <v>GVE201901236760</v>
      </c>
      <c r="F2003" t="str">
        <f>"GUARDIAN VISION VENDOR"</f>
        <v>GUARDIAN VISION VENDOR</v>
      </c>
      <c r="G2003" s="2">
        <v>583.02</v>
      </c>
      <c r="H2003" t="str">
        <f>"GUARDIAN VISION VENDOR"</f>
        <v>GUARDIAN VISION VENDOR</v>
      </c>
    </row>
    <row r="2004" spans="5:8" x14ac:dyDescent="0.25">
      <c r="E2004" t="str">
        <f>"GVE201901236761"</f>
        <v>GVE201901236761</v>
      </c>
      <c r="F2004" t="str">
        <f>"GUARDIAN VISION VENDOR"</f>
        <v>GUARDIAN VISION VENDOR</v>
      </c>
      <c r="G2004" s="2">
        <v>25.83</v>
      </c>
      <c r="H2004" t="str">
        <f>"GUARDIAN VISION VENDOR"</f>
        <v>GUARDIAN VISION VENDOR</v>
      </c>
    </row>
    <row r="2005" spans="5:8" x14ac:dyDescent="0.25">
      <c r="E2005" t="str">
        <f>"GVF201901096477"</f>
        <v>GVF201901096477</v>
      </c>
      <c r="F2005" t="str">
        <f>"GUARDIAN VISION"</f>
        <v>GUARDIAN VISION</v>
      </c>
      <c r="G2005" s="2">
        <v>551.6</v>
      </c>
      <c r="H2005" t="str">
        <f>"GUARDIAN VISION"</f>
        <v>GUARDIAN VISION</v>
      </c>
    </row>
    <row r="2006" spans="5:8" x14ac:dyDescent="0.25">
      <c r="E2006" t="str">
        <f>"GVF201901096483"</f>
        <v>GVF201901096483</v>
      </c>
      <c r="F2006" t="str">
        <f>"GUARDIAN VISION VENDOR"</f>
        <v>GUARDIAN VISION VENDOR</v>
      </c>
      <c r="G2006" s="2">
        <v>29.55</v>
      </c>
      <c r="H2006" t="str">
        <f>"GUARDIAN VISION VENDOR"</f>
        <v>GUARDIAN VISION VENDOR</v>
      </c>
    </row>
    <row r="2007" spans="5:8" x14ac:dyDescent="0.25">
      <c r="E2007" t="str">
        <f>"GVF201901236760"</f>
        <v>GVF201901236760</v>
      </c>
      <c r="F2007" t="str">
        <f>"GUARDIAN VISION"</f>
        <v>GUARDIAN VISION</v>
      </c>
      <c r="G2007" s="2">
        <v>551.6</v>
      </c>
      <c r="H2007" t="str">
        <f>"GUARDIAN VISION"</f>
        <v>GUARDIAN VISION</v>
      </c>
    </row>
    <row r="2008" spans="5:8" x14ac:dyDescent="0.25">
      <c r="E2008" t="str">
        <f>"GVF201901236761"</f>
        <v>GVF201901236761</v>
      </c>
      <c r="F2008" t="str">
        <f>"GUARDIAN VISION VENDOR"</f>
        <v>GUARDIAN VISION VENDOR</v>
      </c>
      <c r="G2008" s="2">
        <v>29.55</v>
      </c>
      <c r="H2008" t="str">
        <f>"GUARDIAN VISION VENDOR"</f>
        <v>GUARDIAN VISION VENDOR</v>
      </c>
    </row>
    <row r="2009" spans="5:8" x14ac:dyDescent="0.25">
      <c r="E2009" t="str">
        <f>"LIA201901096477"</f>
        <v>LIA201901096477</v>
      </c>
      <c r="F2009" t="str">
        <f>"GUARDIAN"</f>
        <v>GUARDIAN</v>
      </c>
      <c r="G2009" s="2">
        <v>230.54</v>
      </c>
      <c r="H2009" t="str">
        <f t="shared" ref="H2009:H2040" si="34">"GUARDIAN"</f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34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34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34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34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34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34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34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34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34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34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34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34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34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34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34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34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34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34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34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34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34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34"/>
        <v>GUARDIAN</v>
      </c>
    </row>
    <row r="2032" spans="5:8" x14ac:dyDescent="0.25">
      <c r="E2032" t="str">
        <f>"LIA201901096483"</f>
        <v>LIA201901096483</v>
      </c>
      <c r="F2032" t="str">
        <f>"GUARDIAN"</f>
        <v>GUARDIAN</v>
      </c>
      <c r="G2032" s="2">
        <v>40.799999999999997</v>
      </c>
      <c r="H2032" t="str">
        <f t="shared" si="34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34"/>
        <v>GUARDIAN</v>
      </c>
    </row>
    <row r="2034" spans="5:8" x14ac:dyDescent="0.25">
      <c r="E2034" t="str">
        <f>"LIA201901236760"</f>
        <v>LIA201901236760</v>
      </c>
      <c r="F2034" t="str">
        <f>"GUARDIAN"</f>
        <v>GUARDIAN</v>
      </c>
      <c r="G2034" s="2">
        <v>217.74</v>
      </c>
      <c r="H2034" t="str">
        <f t="shared" si="34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34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34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34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34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34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34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ref="H2041:H2072" si="35">"GUARDIAN"</f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35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35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35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35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35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35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35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35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35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35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35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35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35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35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35"/>
        <v>GUARDIAN</v>
      </c>
    </row>
    <row r="2057" spans="5:8" x14ac:dyDescent="0.25">
      <c r="E2057" t="str">
        <f>"LIA201901236761"</f>
        <v>LIA201901236761</v>
      </c>
      <c r="F2057" t="str">
        <f>"GUARDIAN"</f>
        <v>GUARDIAN</v>
      </c>
      <c r="G2057" s="2">
        <v>40.799999999999997</v>
      </c>
      <c r="H2057" t="str">
        <f t="shared" si="35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35"/>
        <v>GUARDIAN</v>
      </c>
    </row>
    <row r="2059" spans="5:8" x14ac:dyDescent="0.25">
      <c r="E2059" t="str">
        <f>"LIC201901096477"</f>
        <v>LIC201901096477</v>
      </c>
      <c r="F2059" t="str">
        <f>"GUARDIAN"</f>
        <v>GUARDIAN</v>
      </c>
      <c r="G2059" s="2">
        <v>34.53</v>
      </c>
      <c r="H2059" t="str">
        <f t="shared" si="35"/>
        <v>GUARDIAN</v>
      </c>
    </row>
    <row r="2060" spans="5:8" x14ac:dyDescent="0.25">
      <c r="E2060" t="str">
        <f>"LIC201901096483"</f>
        <v>LIC201901096483</v>
      </c>
      <c r="F2060" t="str">
        <f>"GUARDIAN"</f>
        <v>GUARDIAN</v>
      </c>
      <c r="G2060" s="2">
        <v>1.05</v>
      </c>
      <c r="H2060" t="str">
        <f t="shared" si="35"/>
        <v>GUARDIAN</v>
      </c>
    </row>
    <row r="2061" spans="5:8" x14ac:dyDescent="0.25">
      <c r="E2061" t="str">
        <f>"LIC201901236760"</f>
        <v>LIC201901236760</v>
      </c>
      <c r="F2061" t="str">
        <f>"GUARDIAN"</f>
        <v>GUARDIAN</v>
      </c>
      <c r="G2061" s="2">
        <v>33.83</v>
      </c>
      <c r="H2061" t="str">
        <f t="shared" si="35"/>
        <v>GUARDIAN</v>
      </c>
    </row>
    <row r="2062" spans="5:8" x14ac:dyDescent="0.25">
      <c r="E2062" t="str">
        <f>"LIC201901236761"</f>
        <v>LIC201901236761</v>
      </c>
      <c r="F2062" t="str">
        <f>"GUARDIAN"</f>
        <v>GUARDIAN</v>
      </c>
      <c r="G2062" s="2">
        <v>1.05</v>
      </c>
      <c r="H2062" t="str">
        <f t="shared" si="35"/>
        <v>GUARDIAN</v>
      </c>
    </row>
    <row r="2063" spans="5:8" x14ac:dyDescent="0.25">
      <c r="E2063" t="str">
        <f>"LIE201901096477"</f>
        <v>LIE201901096477</v>
      </c>
      <c r="F2063" t="str">
        <f>"GUARDIAN"</f>
        <v>GUARDIAN</v>
      </c>
      <c r="G2063" s="2">
        <v>3453.75</v>
      </c>
      <c r="H2063" t="str">
        <f t="shared" si="35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35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35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35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35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35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35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35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35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35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ref="H2073:H2104" si="36">"GUARDIAN"</f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36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36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36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36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36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36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36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36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36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36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36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36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36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36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36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36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36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36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36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36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36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36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36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36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36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36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36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36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36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36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36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ref="H2105:H2136" si="37">"GUARDIAN"</f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37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37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37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37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37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37"/>
        <v>GUARDIAN</v>
      </c>
    </row>
    <row r="2112" spans="5:8" x14ac:dyDescent="0.25">
      <c r="E2112" t="str">
        <f>"LIE201901096483"</f>
        <v>LIE201901096483</v>
      </c>
      <c r="F2112" t="str">
        <f>"GUARDIAN"</f>
        <v>GUARDIAN</v>
      </c>
      <c r="G2112" s="2">
        <v>80.849999999999994</v>
      </c>
      <c r="H2112" t="str">
        <f t="shared" si="37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37"/>
        <v>GUARDIAN</v>
      </c>
    </row>
    <row r="2114" spans="5:8" x14ac:dyDescent="0.25">
      <c r="E2114" t="str">
        <f>"LIE201901236760"</f>
        <v>LIE201901236760</v>
      </c>
      <c r="F2114" t="str">
        <f>"GUARDIAN"</f>
        <v>GUARDIAN</v>
      </c>
      <c r="G2114" s="2">
        <v>3443</v>
      </c>
      <c r="H2114" t="str">
        <f t="shared" si="37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37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37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37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37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37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37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37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37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37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37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37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37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37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37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37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37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37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37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37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37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37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37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ref="H2137:H2168" si="38">"GUARDIAN"</f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38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38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38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38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38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38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38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38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38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38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38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38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38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38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38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38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38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38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38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38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38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38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38"/>
        <v>GUARDIAN</v>
      </c>
    </row>
    <row r="2161" spans="1:8" x14ac:dyDescent="0.25">
      <c r="E2161" t="str">
        <f>""</f>
        <v/>
      </c>
      <c r="F2161" t="str">
        <f>""</f>
        <v/>
      </c>
      <c r="H2161" t="str">
        <f t="shared" si="38"/>
        <v>GUARDIAN</v>
      </c>
    </row>
    <row r="2162" spans="1:8" x14ac:dyDescent="0.25">
      <c r="E2162" t="str">
        <f>""</f>
        <v/>
      </c>
      <c r="F2162" t="str">
        <f>""</f>
        <v/>
      </c>
      <c r="H2162" t="str">
        <f t="shared" si="38"/>
        <v>GUARDIAN</v>
      </c>
    </row>
    <row r="2163" spans="1:8" x14ac:dyDescent="0.25">
      <c r="E2163" t="str">
        <f>"LIE201901236761"</f>
        <v>LIE201901236761</v>
      </c>
      <c r="F2163" t="str">
        <f>"GUARDIAN"</f>
        <v>GUARDIAN</v>
      </c>
      <c r="G2163" s="2">
        <v>80.849999999999994</v>
      </c>
      <c r="H2163" t="str">
        <f t="shared" si="38"/>
        <v>GUARDIAN</v>
      </c>
    </row>
    <row r="2164" spans="1:8" x14ac:dyDescent="0.25">
      <c r="E2164" t="str">
        <f>""</f>
        <v/>
      </c>
      <c r="F2164" t="str">
        <f>""</f>
        <v/>
      </c>
      <c r="H2164" t="str">
        <f t="shared" si="38"/>
        <v>GUARDIAN</v>
      </c>
    </row>
    <row r="2165" spans="1:8" x14ac:dyDescent="0.25">
      <c r="E2165" t="str">
        <f>"LIS201901096477"</f>
        <v>LIS201901096477</v>
      </c>
      <c r="F2165" t="str">
        <f t="shared" ref="F2165:F2174" si="39">"GUARDIAN"</f>
        <v>GUARDIAN</v>
      </c>
      <c r="G2165" s="2">
        <v>479.43</v>
      </c>
      <c r="H2165" t="str">
        <f t="shared" si="38"/>
        <v>GUARDIAN</v>
      </c>
    </row>
    <row r="2166" spans="1:8" x14ac:dyDescent="0.25">
      <c r="E2166" t="str">
        <f>"LIS201901096483"</f>
        <v>LIS201901096483</v>
      </c>
      <c r="F2166" t="str">
        <f t="shared" si="39"/>
        <v>GUARDIAN</v>
      </c>
      <c r="G2166" s="2">
        <v>36.15</v>
      </c>
      <c r="H2166" t="str">
        <f t="shared" si="38"/>
        <v>GUARDIAN</v>
      </c>
    </row>
    <row r="2167" spans="1:8" x14ac:dyDescent="0.25">
      <c r="E2167" t="str">
        <f>"LIS201901236760"</f>
        <v>LIS201901236760</v>
      </c>
      <c r="F2167" t="str">
        <f t="shared" si="39"/>
        <v>GUARDIAN</v>
      </c>
      <c r="G2167" s="2">
        <v>479.43</v>
      </c>
      <c r="H2167" t="str">
        <f t="shared" si="38"/>
        <v>GUARDIAN</v>
      </c>
    </row>
    <row r="2168" spans="1:8" x14ac:dyDescent="0.25">
      <c r="E2168" t="str">
        <f>"LIS201901236761"</f>
        <v>LIS201901236761</v>
      </c>
      <c r="F2168" t="str">
        <f t="shared" si="39"/>
        <v>GUARDIAN</v>
      </c>
      <c r="G2168" s="2">
        <v>36.15</v>
      </c>
      <c r="H2168" t="str">
        <f t="shared" si="38"/>
        <v>GUARDIAN</v>
      </c>
    </row>
    <row r="2169" spans="1:8" x14ac:dyDescent="0.25">
      <c r="E2169" t="str">
        <f>"LTD201901096477"</f>
        <v>LTD201901096477</v>
      </c>
      <c r="F2169" t="str">
        <f t="shared" si="39"/>
        <v>GUARDIAN</v>
      </c>
      <c r="G2169" s="2">
        <v>938.34</v>
      </c>
      <c r="H2169" t="str">
        <f t="shared" ref="H2169:H2174" si="40">"GUARDIAN"</f>
        <v>GUARDIAN</v>
      </c>
    </row>
    <row r="2170" spans="1:8" x14ac:dyDescent="0.25">
      <c r="E2170" t="str">
        <f>"LTD201901236760"</f>
        <v>LTD201901236760</v>
      </c>
      <c r="F2170" t="str">
        <f t="shared" si="39"/>
        <v>GUARDIAN</v>
      </c>
      <c r="G2170" s="2">
        <v>938.34</v>
      </c>
      <c r="H2170" t="str">
        <f t="shared" si="40"/>
        <v>GUARDIAN</v>
      </c>
    </row>
    <row r="2171" spans="1:8" x14ac:dyDescent="0.25">
      <c r="A2171" t="s">
        <v>540</v>
      </c>
      <c r="B2171">
        <v>53</v>
      </c>
      <c r="C2171" s="2">
        <v>112.44</v>
      </c>
      <c r="D2171" s="1">
        <v>43494</v>
      </c>
      <c r="E2171" t="str">
        <f>"AEG201901096477"</f>
        <v>AEG201901096477</v>
      </c>
      <c r="F2171" t="str">
        <f t="shared" si="39"/>
        <v>GUARDIAN</v>
      </c>
      <c r="G2171" s="2">
        <v>6.66</v>
      </c>
      <c r="H2171" t="str">
        <f t="shared" si="40"/>
        <v>GUARDIAN</v>
      </c>
    </row>
    <row r="2172" spans="1:8" x14ac:dyDescent="0.25">
      <c r="E2172" t="str">
        <f>"AEG201901236760"</f>
        <v>AEG201901236760</v>
      </c>
      <c r="F2172" t="str">
        <f t="shared" si="39"/>
        <v>GUARDIAN</v>
      </c>
      <c r="G2172" s="2">
        <v>6.66</v>
      </c>
      <c r="H2172" t="str">
        <f t="shared" si="40"/>
        <v>GUARDIAN</v>
      </c>
    </row>
    <row r="2173" spans="1:8" x14ac:dyDescent="0.25">
      <c r="E2173" t="str">
        <f>"AFG201901096477"</f>
        <v>AFG201901096477</v>
      </c>
      <c r="F2173" t="str">
        <f t="shared" si="39"/>
        <v>GUARDIAN</v>
      </c>
      <c r="G2173" s="2">
        <v>49.56</v>
      </c>
      <c r="H2173" t="str">
        <f t="shared" si="40"/>
        <v>GUARDIAN</v>
      </c>
    </row>
    <row r="2174" spans="1:8" x14ac:dyDescent="0.25">
      <c r="E2174" t="str">
        <f>"AFG201901236760"</f>
        <v>AFG201901236760</v>
      </c>
      <c r="F2174" t="str">
        <f t="shared" si="39"/>
        <v>GUARDIAN</v>
      </c>
      <c r="G2174" s="2">
        <v>49.56</v>
      </c>
      <c r="H2174" t="str">
        <f t="shared" si="40"/>
        <v>GUARDIAN</v>
      </c>
    </row>
    <row r="2175" spans="1:8" x14ac:dyDescent="0.25">
      <c r="A2175" t="s">
        <v>541</v>
      </c>
      <c r="B2175">
        <v>31</v>
      </c>
      <c r="C2175" s="2">
        <v>220949.72</v>
      </c>
      <c r="D2175" s="1">
        <v>43476</v>
      </c>
      <c r="E2175" t="str">
        <f>"T1 201901096477"</f>
        <v>T1 201901096477</v>
      </c>
      <c r="F2175" t="str">
        <f>"FEDERAL WITHHOLDING"</f>
        <v>FEDERAL WITHHOLDING</v>
      </c>
      <c r="G2175" s="2">
        <v>72373.399999999994</v>
      </c>
      <c r="H2175" t="str">
        <f>"FEDERAL WITHHOLDING"</f>
        <v>FEDERAL WITHHOLDING</v>
      </c>
    </row>
    <row r="2176" spans="1:8" x14ac:dyDescent="0.25">
      <c r="E2176" t="str">
        <f>"T1 201901096483"</f>
        <v>T1 201901096483</v>
      </c>
      <c r="F2176" t="str">
        <f>"FEDERAL WITHHOLDING"</f>
        <v>FEDERAL WITHHOLDING</v>
      </c>
      <c r="G2176" s="2">
        <v>3006.58</v>
      </c>
      <c r="H2176" t="str">
        <f>"FEDERAL WITHHOLDING"</f>
        <v>FEDERAL WITHHOLDING</v>
      </c>
    </row>
    <row r="2177" spans="5:8" x14ac:dyDescent="0.25">
      <c r="E2177" t="str">
        <f>"T1 201901096487"</f>
        <v>T1 201901096487</v>
      </c>
      <c r="F2177" t="str">
        <f>"FEDERAL WITHHOLDING"</f>
        <v>FEDERAL WITHHOLDING</v>
      </c>
      <c r="G2177" s="2">
        <v>3434.08</v>
      </c>
      <c r="H2177" t="str">
        <f>"FEDERAL WITHHOLDING"</f>
        <v>FEDERAL WITHHOLDING</v>
      </c>
    </row>
    <row r="2178" spans="5:8" x14ac:dyDescent="0.25">
      <c r="E2178" t="str">
        <f>"T3 201901096477"</f>
        <v>T3 201901096477</v>
      </c>
      <c r="F2178" t="str">
        <f>"SOCIAL SECURITY TAXES"</f>
        <v>SOCIAL SECURITY TAXES</v>
      </c>
      <c r="G2178" s="2">
        <v>105984.12</v>
      </c>
      <c r="H2178" t="str">
        <f t="shared" ref="H2178:H2209" si="41">"SOCIAL SECURITY TAXES"</f>
        <v>SOCIAL SECURITY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41"/>
        <v>SOCIAL SECURITY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41"/>
        <v>SOCIAL SECURITY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41"/>
        <v>SOCIAL SECURITY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41"/>
        <v>SOCIAL SECURITY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41"/>
        <v>SOCIAL SECURITY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41"/>
        <v>SOCIAL SECURITY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41"/>
        <v>SOCIAL SECURITY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41"/>
        <v>SOCIAL SECURITY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41"/>
        <v>SOCIAL SECURITY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41"/>
        <v>SOCIAL SECURITY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41"/>
        <v>SOCIAL SECURITY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41"/>
        <v>SOCIAL SECURITY TAXES</v>
      </c>
    </row>
    <row r="2191" spans="5:8" x14ac:dyDescent="0.25">
      <c r="E2191" t="str">
        <f>""</f>
        <v/>
      </c>
      <c r="F2191" t="str">
        <f>""</f>
        <v/>
      </c>
      <c r="H2191" t="str">
        <f t="shared" si="41"/>
        <v>SOCIAL SECURITY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41"/>
        <v>SOCIAL SECURITY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41"/>
        <v>SOCIAL SECURITY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41"/>
        <v>SOCIAL SECURITY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41"/>
        <v>SOCIAL SECURITY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41"/>
        <v>SOCIAL SECURITY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41"/>
        <v>SOCIAL SECURITY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41"/>
        <v>SOCIAL SECURITY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41"/>
        <v>SOCIAL SECURITY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41"/>
        <v>SOCIAL SECURITY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41"/>
        <v>SOCIAL SECURITY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41"/>
        <v>SOCIAL SECURITY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41"/>
        <v>SOCIAL SECURITY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41"/>
        <v>SOCIAL SECURITY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41"/>
        <v>SOCIAL SECURITY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41"/>
        <v>SOCIAL SECURITY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41"/>
        <v>SOCIAL SECURITY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41"/>
        <v>SOCIAL SECURITY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41"/>
        <v>SOCIAL SECURITY TAXES</v>
      </c>
    </row>
    <row r="2210" spans="5:8" x14ac:dyDescent="0.25">
      <c r="E2210" t="str">
        <f>""</f>
        <v/>
      </c>
      <c r="F2210" t="str">
        <f>""</f>
        <v/>
      </c>
      <c r="H2210" t="str">
        <f t="shared" ref="H2210:H2233" si="42">"SOCIAL SECURITY TAXES"</f>
        <v>SOCIAL SECURITY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42"/>
        <v>SOCIAL SECURITY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42"/>
        <v>SOCIAL SECURITY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42"/>
        <v>SOCIAL SECURITY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42"/>
        <v>SOCIAL SECURITY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42"/>
        <v>SOCIAL SECURITY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42"/>
        <v>SOCIAL SECURITY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42"/>
        <v>SOCIAL SECURITY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42"/>
        <v>SOCIAL SECURITY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42"/>
        <v>SOCIAL SECURITY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42"/>
        <v>SOCIAL SECURITY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42"/>
        <v>SOCIAL SECURITY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42"/>
        <v>SOCIAL SECURITY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42"/>
        <v>SOCIAL SECURITY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42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42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42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42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42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42"/>
        <v>SOCIAL SECURITY TAXES</v>
      </c>
    </row>
    <row r="2230" spans="5:8" x14ac:dyDescent="0.25">
      <c r="E2230" t="str">
        <f>"T3 201901096483"</f>
        <v>T3 201901096483</v>
      </c>
      <c r="F2230" t="str">
        <f>"SOCIAL SECURITY TAXES"</f>
        <v>SOCIAL SECURITY TAXES</v>
      </c>
      <c r="G2230" s="2">
        <v>4146.96</v>
      </c>
      <c r="H2230" t="str">
        <f t="shared" si="42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42"/>
        <v>SOCIAL SECURITY TAXES</v>
      </c>
    </row>
    <row r="2232" spans="5:8" x14ac:dyDescent="0.25">
      <c r="E2232" t="str">
        <f>"T3 201901096487"</f>
        <v>T3 201901096487</v>
      </c>
      <c r="F2232" t="str">
        <f>"SOCIAL SECURITY TAXES"</f>
        <v>SOCIAL SECURITY TAXES</v>
      </c>
      <c r="G2232" s="2">
        <v>5063.88</v>
      </c>
      <c r="H2232" t="str">
        <f t="shared" si="42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42"/>
        <v>SOCIAL SECURITY TAXES</v>
      </c>
    </row>
    <row r="2234" spans="5:8" x14ac:dyDescent="0.25">
      <c r="E2234" t="str">
        <f>"T4 201901096477"</f>
        <v>T4 201901096477</v>
      </c>
      <c r="F2234" t="str">
        <f>"MEDICARE TAXES"</f>
        <v>MEDICARE TAXES</v>
      </c>
      <c r="G2234" s="2">
        <v>24786.48</v>
      </c>
      <c r="H2234" t="str">
        <f t="shared" ref="H2234:H2265" si="43">"MEDICARE TAXES"</f>
        <v>MEDICARE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43"/>
        <v>MEDICARE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43"/>
        <v>MEDICARE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43"/>
        <v>MEDICARE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43"/>
        <v>MEDICARE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43"/>
        <v>MEDICARE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43"/>
        <v>MEDICARE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43"/>
        <v>MEDICARE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43"/>
        <v>MEDICARE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43"/>
        <v>MEDICARE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43"/>
        <v>MEDICARE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43"/>
        <v>MEDICARE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43"/>
        <v>MEDICARE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43"/>
        <v>MEDICARE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43"/>
        <v>MEDICARE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43"/>
        <v>MEDICARE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43"/>
        <v>MEDICARE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43"/>
        <v>MEDICARE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43"/>
        <v>MEDICARE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43"/>
        <v>MEDICARE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43"/>
        <v>MEDICARE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43"/>
        <v>MEDICARE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43"/>
        <v>MEDICARE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43"/>
        <v>MEDICARE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43"/>
        <v>MEDICARE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43"/>
        <v>MEDICARE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43"/>
        <v>MEDICARE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43"/>
        <v>MEDICARE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43"/>
        <v>MEDICARE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43"/>
        <v>MEDICARE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43"/>
        <v>MEDICARE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43"/>
        <v>MEDICARE TAXES</v>
      </c>
    </row>
    <row r="2266" spans="5:8" x14ac:dyDescent="0.25">
      <c r="E2266" t="str">
        <f>""</f>
        <v/>
      </c>
      <c r="F2266" t="str">
        <f>""</f>
        <v/>
      </c>
      <c r="H2266" t="str">
        <f t="shared" ref="H2266:H2289" si="44">"MEDICARE TAXES"</f>
        <v>MEDICARE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44"/>
        <v>MEDICARE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44"/>
        <v>MEDICARE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44"/>
        <v>MEDICARE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44"/>
        <v>MEDICARE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44"/>
        <v>MEDICARE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44"/>
        <v>MEDICARE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44"/>
        <v>MEDICARE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44"/>
        <v>MEDICARE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44"/>
        <v>MEDICARE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44"/>
        <v>MEDICARE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44"/>
        <v>MEDICARE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44"/>
        <v>MEDICARE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44"/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44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44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44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44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44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44"/>
        <v>MEDICARE TAXES</v>
      </c>
    </row>
    <row r="2286" spans="5:8" x14ac:dyDescent="0.25">
      <c r="E2286" t="str">
        <f>"T4 201901096483"</f>
        <v>T4 201901096483</v>
      </c>
      <c r="F2286" t="str">
        <f>"MEDICARE TAXES"</f>
        <v>MEDICARE TAXES</v>
      </c>
      <c r="G2286" s="2">
        <v>969.88</v>
      </c>
      <c r="H2286" t="str">
        <f t="shared" si="44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44"/>
        <v>MEDICARE TAXES</v>
      </c>
    </row>
    <row r="2288" spans="5:8" x14ac:dyDescent="0.25">
      <c r="E2288" t="str">
        <f>"T4 201901096487"</f>
        <v>T4 201901096487</v>
      </c>
      <c r="F2288" t="str">
        <f>"MEDICARE TAXES"</f>
        <v>MEDICARE TAXES</v>
      </c>
      <c r="G2288" s="2">
        <v>1184.3399999999999</v>
      </c>
      <c r="H2288" t="str">
        <f t="shared" si="44"/>
        <v>MEDICARE TAXES</v>
      </c>
    </row>
    <row r="2289" spans="1:8" x14ac:dyDescent="0.25">
      <c r="E2289" t="str">
        <f>""</f>
        <v/>
      </c>
      <c r="F2289" t="str">
        <f>""</f>
        <v/>
      </c>
      <c r="H2289" t="str">
        <f t="shared" si="44"/>
        <v>MEDICARE TAXES</v>
      </c>
    </row>
    <row r="2290" spans="1:8" x14ac:dyDescent="0.25">
      <c r="A2290" t="s">
        <v>541</v>
      </c>
      <c r="B2290">
        <v>43</v>
      </c>
      <c r="C2290" s="2">
        <v>223837.6</v>
      </c>
      <c r="D2290" s="1">
        <v>43490</v>
      </c>
      <c r="E2290" t="str">
        <f>"T1 201901236760"</f>
        <v>T1 201901236760</v>
      </c>
      <c r="F2290" t="str">
        <f>"FEDERAL WITHHOLDING"</f>
        <v>FEDERAL WITHHOLDING</v>
      </c>
      <c r="G2290" s="2">
        <v>71217.86</v>
      </c>
      <c r="H2290" t="str">
        <f>"FEDERAL WITHHOLDING"</f>
        <v>FEDERAL WITHHOLDING</v>
      </c>
    </row>
    <row r="2291" spans="1:8" x14ac:dyDescent="0.25">
      <c r="E2291" t="str">
        <f>"T1 201901236761"</f>
        <v>T1 201901236761</v>
      </c>
      <c r="F2291" t="str">
        <f>"FEDERAL WITHHOLDING"</f>
        <v>FEDERAL WITHHOLDING</v>
      </c>
      <c r="G2291" s="2">
        <v>3978.26</v>
      </c>
      <c r="H2291" t="str">
        <f>"FEDERAL WITHHOLDING"</f>
        <v>FEDERAL WITHHOLDING</v>
      </c>
    </row>
    <row r="2292" spans="1:8" x14ac:dyDescent="0.25">
      <c r="E2292" t="str">
        <f>"T1 201901236762"</f>
        <v>T1 201901236762</v>
      </c>
      <c r="F2292" t="str">
        <f>"FEDERAL WITHHOLDING"</f>
        <v>FEDERAL WITHHOLDING</v>
      </c>
      <c r="G2292" s="2">
        <v>4807.0600000000004</v>
      </c>
      <c r="H2292" t="str">
        <f>"FEDERAL WITHHOLDING"</f>
        <v>FEDERAL WITHHOLDING</v>
      </c>
    </row>
    <row r="2293" spans="1:8" x14ac:dyDescent="0.25">
      <c r="E2293" t="str">
        <f>"T3 201901176708"</f>
        <v>T3 201901176708</v>
      </c>
      <c r="F2293" t="str">
        <f>"SOCIAL SECURITY TAXES"</f>
        <v>SOCIAL SECURITY TAXES</v>
      </c>
      <c r="G2293" s="2">
        <v>60.8</v>
      </c>
      <c r="H2293" t="str">
        <f t="shared" ref="H2293:H2324" si="45">"SOCIAL SECURITY TAXES"</f>
        <v>SOCIAL SECURITY TAXES</v>
      </c>
    </row>
    <row r="2294" spans="1:8" x14ac:dyDescent="0.25">
      <c r="E2294" t="str">
        <f>""</f>
        <v/>
      </c>
      <c r="F2294" t="str">
        <f>""</f>
        <v/>
      </c>
      <c r="H2294" t="str">
        <f t="shared" si="45"/>
        <v>SOCIAL SECURITY TAXES</v>
      </c>
    </row>
    <row r="2295" spans="1:8" x14ac:dyDescent="0.25">
      <c r="E2295" t="str">
        <f>""</f>
        <v/>
      </c>
      <c r="F2295" t="str">
        <f>""</f>
        <v/>
      </c>
      <c r="H2295" t="str">
        <f t="shared" si="45"/>
        <v>SOCIAL SECURITY TAXES</v>
      </c>
    </row>
    <row r="2296" spans="1:8" x14ac:dyDescent="0.25">
      <c r="E2296" t="str">
        <f>""</f>
        <v/>
      </c>
      <c r="F2296" t="str">
        <f>""</f>
        <v/>
      </c>
      <c r="H2296" t="str">
        <f t="shared" si="45"/>
        <v>SOCIAL SECURITY TAXES</v>
      </c>
    </row>
    <row r="2297" spans="1:8" x14ac:dyDescent="0.25">
      <c r="E2297" t="str">
        <f>"T3 201901236760"</f>
        <v>T3 201901236760</v>
      </c>
      <c r="F2297" t="str">
        <f>"SOCIAL SECURITY TAXES"</f>
        <v>SOCIAL SECURITY TAXES</v>
      </c>
      <c r="G2297" s="2">
        <v>105781.75999999999</v>
      </c>
      <c r="H2297" t="str">
        <f t="shared" si="45"/>
        <v>SOCIAL SECURITY TAXES</v>
      </c>
    </row>
    <row r="2298" spans="1:8" x14ac:dyDescent="0.25">
      <c r="E2298" t="str">
        <f>""</f>
        <v/>
      </c>
      <c r="F2298" t="str">
        <f>""</f>
        <v/>
      </c>
      <c r="H2298" t="str">
        <f t="shared" si="45"/>
        <v>SOCIAL SECURITY TAXES</v>
      </c>
    </row>
    <row r="2299" spans="1:8" x14ac:dyDescent="0.25">
      <c r="E2299" t="str">
        <f>""</f>
        <v/>
      </c>
      <c r="F2299" t="str">
        <f>""</f>
        <v/>
      </c>
      <c r="H2299" t="str">
        <f t="shared" si="45"/>
        <v>SOCIAL SECURITY TAXES</v>
      </c>
    </row>
    <row r="2300" spans="1:8" x14ac:dyDescent="0.25">
      <c r="E2300" t="str">
        <f>""</f>
        <v/>
      </c>
      <c r="F2300" t="str">
        <f>""</f>
        <v/>
      </c>
      <c r="H2300" t="str">
        <f t="shared" si="45"/>
        <v>SOCIAL SECURITY TAXES</v>
      </c>
    </row>
    <row r="2301" spans="1:8" x14ac:dyDescent="0.25">
      <c r="E2301" t="str">
        <f>""</f>
        <v/>
      </c>
      <c r="F2301" t="str">
        <f>""</f>
        <v/>
      </c>
      <c r="H2301" t="str">
        <f t="shared" si="45"/>
        <v>SOCIAL SECURITY TAXES</v>
      </c>
    </row>
    <row r="2302" spans="1:8" x14ac:dyDescent="0.25">
      <c r="E2302" t="str">
        <f>""</f>
        <v/>
      </c>
      <c r="F2302" t="str">
        <f>""</f>
        <v/>
      </c>
      <c r="H2302" t="str">
        <f t="shared" si="45"/>
        <v>SOCIAL SECURITY TAXES</v>
      </c>
    </row>
    <row r="2303" spans="1:8" x14ac:dyDescent="0.25">
      <c r="E2303" t="str">
        <f>""</f>
        <v/>
      </c>
      <c r="F2303" t="str">
        <f>""</f>
        <v/>
      </c>
      <c r="H2303" t="str">
        <f t="shared" si="45"/>
        <v>SOCIAL SECURITY TAXES</v>
      </c>
    </row>
    <row r="2304" spans="1:8" x14ac:dyDescent="0.25">
      <c r="E2304" t="str">
        <f>""</f>
        <v/>
      </c>
      <c r="F2304" t="str">
        <f>""</f>
        <v/>
      </c>
      <c r="H2304" t="str">
        <f t="shared" si="45"/>
        <v>SOCIAL SECURITY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45"/>
        <v>SOCIAL SECURITY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45"/>
        <v>SOCIAL SECURITY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45"/>
        <v>SOCIAL SECURITY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45"/>
        <v>SOCIAL SECURITY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45"/>
        <v>SOCIAL SECURITY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45"/>
        <v>SOCIAL SECURITY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45"/>
        <v>SOCIAL SECURITY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45"/>
        <v>SOCIAL SECURITY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45"/>
        <v>SOCIAL SECURITY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45"/>
        <v>SOCIAL SECURITY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45"/>
        <v>SOCIAL SECURITY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45"/>
        <v>SOCIAL SECURITY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45"/>
        <v>SOCIAL SECURITY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45"/>
        <v>SOCIAL SECURITY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45"/>
        <v>SOCIAL SECURITY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45"/>
        <v>SOCIAL SECURITY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45"/>
        <v>SOCIAL SECURITY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45"/>
        <v>SOCIAL SECURITY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45"/>
        <v>SOCIAL SECURITY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45"/>
        <v>SOCIAL SECURITY TAXES</v>
      </c>
    </row>
    <row r="2325" spans="5:8" x14ac:dyDescent="0.25">
      <c r="E2325" t="str">
        <f>""</f>
        <v/>
      </c>
      <c r="F2325" t="str">
        <f>""</f>
        <v/>
      </c>
      <c r="H2325" t="str">
        <f t="shared" ref="H2325:H2352" si="46">"SOCIAL SECURITY TAXES"</f>
        <v>SOCIAL SECURITY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46"/>
        <v>SOCIAL SECURITY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46"/>
        <v>SOCIAL SECURITY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46"/>
        <v>SOCIAL SECURITY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46"/>
        <v>SOCIAL SECURITY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46"/>
        <v>SOCIAL SECURITY TAXES</v>
      </c>
    </row>
    <row r="2331" spans="5:8" x14ac:dyDescent="0.25">
      <c r="E2331" t="str">
        <f>""</f>
        <v/>
      </c>
      <c r="F2331" t="str">
        <f>""</f>
        <v/>
      </c>
      <c r="H2331" t="str">
        <f t="shared" si="46"/>
        <v>SOCIAL SECURITY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46"/>
        <v>SOCIAL SECURITY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46"/>
        <v>SOCIAL SECURITY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46"/>
        <v>SOCIAL SECURITY TAXES</v>
      </c>
    </row>
    <row r="2335" spans="5:8" x14ac:dyDescent="0.25">
      <c r="E2335" t="str">
        <f>""</f>
        <v/>
      </c>
      <c r="F2335" t="str">
        <f>""</f>
        <v/>
      </c>
      <c r="H2335" t="str">
        <f t="shared" si="46"/>
        <v>SOCIAL SECURITY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46"/>
        <v>SOCIAL SECURITY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46"/>
        <v>SOCIAL SECURITY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46"/>
        <v>SOCIAL SECURITY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46"/>
        <v>SOCIAL SECURITY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46"/>
        <v>SOCIAL SECURITY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46"/>
        <v>SOCIAL SECURITY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46"/>
        <v>SOCIAL SECURITY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46"/>
        <v>SOCIAL SECURITY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46"/>
        <v>SOCIAL SECURITY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46"/>
        <v>SOCIAL SECURITY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46"/>
        <v>SOCIAL SECURITY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46"/>
        <v>SOCIAL SECURITY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46"/>
        <v>SOCIAL SECURITY TAXES</v>
      </c>
    </row>
    <row r="2349" spans="5:8" x14ac:dyDescent="0.25">
      <c r="E2349" t="str">
        <f>"T3 201901236761"</f>
        <v>T3 201901236761</v>
      </c>
      <c r="F2349" t="str">
        <f>"SOCIAL SECURITY TAXES"</f>
        <v>SOCIAL SECURITY TAXES</v>
      </c>
      <c r="G2349" s="2">
        <v>4761.04</v>
      </c>
      <c r="H2349" t="str">
        <f t="shared" si="46"/>
        <v>SOCIAL SECURITY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46"/>
        <v>SOCIAL SECURITY TAXES</v>
      </c>
    </row>
    <row r="2351" spans="5:8" x14ac:dyDescent="0.25">
      <c r="E2351" t="str">
        <f>"T3 201901236762"</f>
        <v>T3 201901236762</v>
      </c>
      <c r="F2351" t="str">
        <f>"SOCIAL SECURITY TAXES"</f>
        <v>SOCIAL SECURITY TAXES</v>
      </c>
      <c r="G2351" s="2">
        <v>5968.1</v>
      </c>
      <c r="H2351" t="str">
        <f t="shared" si="46"/>
        <v>SOCIAL SECURITY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46"/>
        <v>SOCIAL SECURITY TAXES</v>
      </c>
    </row>
    <row r="2353" spans="5:8" x14ac:dyDescent="0.25">
      <c r="E2353" t="str">
        <f>"T4 201901176708"</f>
        <v>T4 201901176708</v>
      </c>
      <c r="F2353" t="str">
        <f>"MEDICARE TAXES"</f>
        <v>MEDICARE TAXES</v>
      </c>
      <c r="G2353" s="2">
        <v>14.22</v>
      </c>
      <c r="H2353" t="str">
        <f t="shared" ref="H2353:H2384" si="47">"MEDICARE TAXES"</f>
        <v>MEDICARE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47"/>
        <v>MEDICARE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47"/>
        <v>MEDICARE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47"/>
        <v>MEDICARE TAXES</v>
      </c>
    </row>
    <row r="2357" spans="5:8" x14ac:dyDescent="0.25">
      <c r="E2357" t="str">
        <f>"T4 201901236760"</f>
        <v>T4 201901236760</v>
      </c>
      <c r="F2357" t="str">
        <f>"MEDICARE TAXES"</f>
        <v>MEDICARE TAXES</v>
      </c>
      <c r="G2357" s="2">
        <v>24739.22</v>
      </c>
      <c r="H2357" t="str">
        <f t="shared" si="47"/>
        <v>MEDICARE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47"/>
        <v>MEDICARE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47"/>
        <v>MEDICARE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47"/>
        <v>MEDICARE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47"/>
        <v>MEDICARE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47"/>
        <v>MEDICARE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47"/>
        <v>MEDICARE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47"/>
        <v>MEDICARE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47"/>
        <v>MEDICARE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47"/>
        <v>MEDICARE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47"/>
        <v>MEDICARE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47"/>
        <v>MEDICARE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47"/>
        <v>MEDICARE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47"/>
        <v>MEDICARE TAXES</v>
      </c>
    </row>
    <row r="2371" spans="5:8" x14ac:dyDescent="0.25">
      <c r="E2371" t="str">
        <f>""</f>
        <v/>
      </c>
      <c r="F2371" t="str">
        <f>""</f>
        <v/>
      </c>
      <c r="H2371" t="str">
        <f t="shared" si="47"/>
        <v>MEDICARE TAXES</v>
      </c>
    </row>
    <row r="2372" spans="5:8" x14ac:dyDescent="0.25">
      <c r="E2372" t="str">
        <f>""</f>
        <v/>
      </c>
      <c r="F2372" t="str">
        <f>""</f>
        <v/>
      </c>
      <c r="H2372" t="str">
        <f t="shared" si="47"/>
        <v>MEDICARE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47"/>
        <v>MEDICARE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47"/>
        <v>MEDICARE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47"/>
        <v>MEDICARE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47"/>
        <v>MEDICARE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47"/>
        <v>MEDICARE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47"/>
        <v>MEDICARE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47"/>
        <v>MEDICARE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47"/>
        <v>MEDICARE TAXES</v>
      </c>
    </row>
    <row r="2381" spans="5:8" x14ac:dyDescent="0.25">
      <c r="E2381" t="str">
        <f>""</f>
        <v/>
      </c>
      <c r="F2381" t="str">
        <f>""</f>
        <v/>
      </c>
      <c r="H2381" t="str">
        <f t="shared" si="47"/>
        <v>MEDICARE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47"/>
        <v>MEDICARE TAXES</v>
      </c>
    </row>
    <row r="2383" spans="5:8" x14ac:dyDescent="0.25">
      <c r="E2383" t="str">
        <f>""</f>
        <v/>
      </c>
      <c r="F2383" t="str">
        <f>""</f>
        <v/>
      </c>
      <c r="H2383" t="str">
        <f t="shared" si="47"/>
        <v>MEDICARE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47"/>
        <v>MEDICARE TAXES</v>
      </c>
    </row>
    <row r="2385" spans="5:8" x14ac:dyDescent="0.25">
      <c r="E2385" t="str">
        <f>""</f>
        <v/>
      </c>
      <c r="F2385" t="str">
        <f>""</f>
        <v/>
      </c>
      <c r="H2385" t="str">
        <f t="shared" ref="H2385:H2412" si="48">"MEDICARE TAXES"</f>
        <v>MEDICARE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48"/>
        <v>MEDICARE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48"/>
        <v>MEDICARE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48"/>
        <v>MEDICARE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48"/>
        <v>MEDICARE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48"/>
        <v>MEDICARE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48"/>
        <v>MEDICARE TAXES</v>
      </c>
    </row>
    <row r="2392" spans="5:8" x14ac:dyDescent="0.25">
      <c r="E2392" t="str">
        <f>""</f>
        <v/>
      </c>
      <c r="F2392" t="str">
        <f>""</f>
        <v/>
      </c>
      <c r="H2392" t="str">
        <f t="shared" si="48"/>
        <v>MEDICARE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48"/>
        <v>MEDICARE TAXES</v>
      </c>
    </row>
    <row r="2394" spans="5:8" x14ac:dyDescent="0.25">
      <c r="E2394" t="str">
        <f>""</f>
        <v/>
      </c>
      <c r="F2394" t="str">
        <f>""</f>
        <v/>
      </c>
      <c r="H2394" t="str">
        <f t="shared" si="48"/>
        <v>MEDICARE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48"/>
        <v>MEDICARE TAXES</v>
      </c>
    </row>
    <row r="2396" spans="5:8" x14ac:dyDescent="0.25">
      <c r="E2396" t="str">
        <f>""</f>
        <v/>
      </c>
      <c r="F2396" t="str">
        <f>""</f>
        <v/>
      </c>
      <c r="H2396" t="str">
        <f t="shared" si="48"/>
        <v>MEDICARE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48"/>
        <v>MEDICARE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48"/>
        <v>MEDICARE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48"/>
        <v>MEDICARE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48"/>
        <v>MEDICARE TAXES</v>
      </c>
    </row>
    <row r="2401" spans="1:8" x14ac:dyDescent="0.25">
      <c r="E2401" t="str">
        <f>""</f>
        <v/>
      </c>
      <c r="F2401" t="str">
        <f>""</f>
        <v/>
      </c>
      <c r="H2401" t="str">
        <f t="shared" si="48"/>
        <v>MEDICARE TAXES</v>
      </c>
    </row>
    <row r="2402" spans="1:8" x14ac:dyDescent="0.25">
      <c r="E2402" t="str">
        <f>""</f>
        <v/>
      </c>
      <c r="F2402" t="str">
        <f>""</f>
        <v/>
      </c>
      <c r="H2402" t="str">
        <f t="shared" si="48"/>
        <v>MEDICARE TAXES</v>
      </c>
    </row>
    <row r="2403" spans="1:8" x14ac:dyDescent="0.25">
      <c r="E2403" t="str">
        <f>""</f>
        <v/>
      </c>
      <c r="F2403" t="str">
        <f>""</f>
        <v/>
      </c>
      <c r="H2403" t="str">
        <f t="shared" si="48"/>
        <v>MEDICARE TAXES</v>
      </c>
    </row>
    <row r="2404" spans="1:8" x14ac:dyDescent="0.25">
      <c r="E2404" t="str">
        <f>""</f>
        <v/>
      </c>
      <c r="F2404" t="str">
        <f>""</f>
        <v/>
      </c>
      <c r="H2404" t="str">
        <f t="shared" si="48"/>
        <v>MEDICARE TAXES</v>
      </c>
    </row>
    <row r="2405" spans="1:8" x14ac:dyDescent="0.25">
      <c r="E2405" t="str">
        <f>""</f>
        <v/>
      </c>
      <c r="F2405" t="str">
        <f>""</f>
        <v/>
      </c>
      <c r="H2405" t="str">
        <f t="shared" si="48"/>
        <v>MEDICARE TAXES</v>
      </c>
    </row>
    <row r="2406" spans="1:8" x14ac:dyDescent="0.25">
      <c r="E2406" t="str">
        <f>""</f>
        <v/>
      </c>
      <c r="F2406" t="str">
        <f>""</f>
        <v/>
      </c>
      <c r="H2406" t="str">
        <f t="shared" si="48"/>
        <v>MEDICARE TAXES</v>
      </c>
    </row>
    <row r="2407" spans="1:8" x14ac:dyDescent="0.25">
      <c r="E2407" t="str">
        <f>""</f>
        <v/>
      </c>
      <c r="F2407" t="str">
        <f>""</f>
        <v/>
      </c>
      <c r="H2407" t="str">
        <f t="shared" si="48"/>
        <v>MEDICARE TAXES</v>
      </c>
    </row>
    <row r="2408" spans="1:8" x14ac:dyDescent="0.25">
      <c r="E2408" t="str">
        <f>""</f>
        <v/>
      </c>
      <c r="F2408" t="str">
        <f>""</f>
        <v/>
      </c>
      <c r="H2408" t="str">
        <f t="shared" si="48"/>
        <v>MEDICARE TAXES</v>
      </c>
    </row>
    <row r="2409" spans="1:8" x14ac:dyDescent="0.25">
      <c r="E2409" t="str">
        <f>"T4 201901236761"</f>
        <v>T4 201901236761</v>
      </c>
      <c r="F2409" t="str">
        <f>"MEDICARE TAXES"</f>
        <v>MEDICARE TAXES</v>
      </c>
      <c r="G2409" s="2">
        <v>1113.5</v>
      </c>
      <c r="H2409" t="str">
        <f t="shared" si="48"/>
        <v>MEDICARE TAXES</v>
      </c>
    </row>
    <row r="2410" spans="1:8" x14ac:dyDescent="0.25">
      <c r="E2410" t="str">
        <f>""</f>
        <v/>
      </c>
      <c r="F2410" t="str">
        <f>""</f>
        <v/>
      </c>
      <c r="H2410" t="str">
        <f t="shared" si="48"/>
        <v>MEDICARE TAXES</v>
      </c>
    </row>
    <row r="2411" spans="1:8" x14ac:dyDescent="0.25">
      <c r="E2411" t="str">
        <f>"T4 201901236762"</f>
        <v>T4 201901236762</v>
      </c>
      <c r="F2411" t="str">
        <f>"MEDICARE TAXES"</f>
        <v>MEDICARE TAXES</v>
      </c>
      <c r="G2411" s="2">
        <v>1395.78</v>
      </c>
      <c r="H2411" t="str">
        <f t="shared" si="48"/>
        <v>MEDICARE TAXES</v>
      </c>
    </row>
    <row r="2412" spans="1:8" x14ac:dyDescent="0.25">
      <c r="E2412" t="str">
        <f>""</f>
        <v/>
      </c>
      <c r="F2412" t="str">
        <f>""</f>
        <v/>
      </c>
      <c r="H2412" t="str">
        <f t="shared" si="48"/>
        <v>MEDICARE TAXES</v>
      </c>
    </row>
    <row r="2413" spans="1:8" x14ac:dyDescent="0.25">
      <c r="A2413" t="s">
        <v>542</v>
      </c>
      <c r="B2413">
        <v>47254</v>
      </c>
      <c r="C2413" s="2">
        <v>1.56</v>
      </c>
      <c r="D2413" s="1">
        <v>43476</v>
      </c>
      <c r="E2413" t="str">
        <f>"201901116516"</f>
        <v>201901116516</v>
      </c>
      <c r="F2413" t="str">
        <f>"MARY CASEY INS REFUND"</f>
        <v>MARY CASEY INS REFUND</v>
      </c>
      <c r="G2413" s="2">
        <v>1.56</v>
      </c>
      <c r="H2413" t="str">
        <f>"MARY CASEY"</f>
        <v>MARY CASEY</v>
      </c>
    </row>
    <row r="2414" spans="1:8" x14ac:dyDescent="0.25">
      <c r="A2414" t="s">
        <v>543</v>
      </c>
      <c r="B2414">
        <v>47243</v>
      </c>
      <c r="C2414" s="2">
        <v>222.76</v>
      </c>
      <c r="D2414" s="1">
        <v>43476</v>
      </c>
      <c r="E2414" t="str">
        <f>"C64201901096477"</f>
        <v>C64201901096477</v>
      </c>
      <c r="F2414" t="str">
        <f>"CASE #912745322"</f>
        <v>CASE #912745322</v>
      </c>
      <c r="G2414" s="2">
        <v>222.76</v>
      </c>
      <c r="H2414" t="str">
        <f>"CASE #912745322"</f>
        <v>CASE #912745322</v>
      </c>
    </row>
    <row r="2415" spans="1:8" x14ac:dyDescent="0.25">
      <c r="A2415" t="s">
        <v>543</v>
      </c>
      <c r="B2415">
        <v>47272</v>
      </c>
      <c r="C2415" s="2">
        <v>222.76</v>
      </c>
      <c r="D2415" s="1">
        <v>43490</v>
      </c>
      <c r="E2415" t="str">
        <f>"C64201901236760"</f>
        <v>C64201901236760</v>
      </c>
      <c r="F2415" t="str">
        <f>"CASE #912745322"</f>
        <v>CASE #912745322</v>
      </c>
      <c r="G2415" s="2">
        <v>222.76</v>
      </c>
      <c r="H2415" t="str">
        <f>"CASE #912745322"</f>
        <v>CASE #912745322</v>
      </c>
    </row>
    <row r="2416" spans="1:8" x14ac:dyDescent="0.25">
      <c r="A2416" t="s">
        <v>544</v>
      </c>
      <c r="B2416">
        <v>55</v>
      </c>
      <c r="C2416" s="2">
        <v>674.82</v>
      </c>
      <c r="D2416" s="1">
        <v>43496</v>
      </c>
      <c r="E2416" t="str">
        <f>"LIX201901096477"</f>
        <v>LIX201901096477</v>
      </c>
      <c r="F2416" t="str">
        <f>"TEXAS LIFE/OLIVO GROUP"</f>
        <v>TEXAS LIFE/OLIVO GROUP</v>
      </c>
      <c r="G2416" s="2">
        <v>337.41</v>
      </c>
      <c r="H2416" t="str">
        <f>"TEXAS LIFE/OLIVO GROUP"</f>
        <v>TEXAS LIFE/OLIVO GROUP</v>
      </c>
    </row>
    <row r="2417" spans="1:8" x14ac:dyDescent="0.25">
      <c r="E2417" t="str">
        <f>"LIX201901236760"</f>
        <v>LIX201901236760</v>
      </c>
      <c r="F2417" t="str">
        <f>"TEXAS LIFE/OLIVO GROUP"</f>
        <v>TEXAS LIFE/OLIVO GROUP</v>
      </c>
      <c r="G2417" s="2">
        <v>337.41</v>
      </c>
      <c r="H2417" t="str">
        <f>"TEXAS LIFE/OLIVO GROUP"</f>
        <v>TEXAS LIFE/OLIVO GROUP</v>
      </c>
    </row>
    <row r="2418" spans="1:8" x14ac:dyDescent="0.25">
      <c r="A2418" t="s">
        <v>545</v>
      </c>
      <c r="B2418">
        <v>54</v>
      </c>
      <c r="C2418" s="2">
        <v>316.08</v>
      </c>
      <c r="D2418" s="1">
        <v>43494</v>
      </c>
      <c r="E2418" t="str">
        <f>"201901296905"</f>
        <v>201901296905</v>
      </c>
      <c r="F2418" t="str">
        <f>"TAC HEALTH BENEFITS POOL"</f>
        <v>TAC HEALTH BENEFITS POOL</v>
      </c>
      <c r="G2418" s="2">
        <v>316.08</v>
      </c>
    </row>
    <row r="2419" spans="1:8" x14ac:dyDescent="0.25">
      <c r="A2419" t="s">
        <v>545</v>
      </c>
      <c r="B2419">
        <v>54</v>
      </c>
      <c r="C2419" s="2">
        <v>-316.08</v>
      </c>
      <c r="D2419" s="1">
        <v>43494</v>
      </c>
      <c r="E2419" t="str">
        <f>"CHECK"</f>
        <v>CHECK</v>
      </c>
      <c r="F2419" t="str">
        <f>""</f>
        <v/>
      </c>
      <c r="G2419" s="2">
        <v>-316.08</v>
      </c>
    </row>
    <row r="2420" spans="1:8" x14ac:dyDescent="0.25">
      <c r="A2420" t="s">
        <v>545</v>
      </c>
      <c r="B2420">
        <v>47277</v>
      </c>
      <c r="C2420" s="2">
        <v>326931</v>
      </c>
      <c r="D2420" s="1">
        <v>43494</v>
      </c>
      <c r="E2420" t="str">
        <f>"2EO201901176708"</f>
        <v>2EO201901176708</v>
      </c>
      <c r="F2420" t="str">
        <f>"BCBS PAYABLE"</f>
        <v>BCBS PAYABLE</v>
      </c>
      <c r="G2420" s="2">
        <v>-316.08</v>
      </c>
    </row>
    <row r="2421" spans="1:8" x14ac:dyDescent="0.25">
      <c r="E2421" t="str">
        <f>"201901296904"</f>
        <v>201901296904</v>
      </c>
      <c r="F2421" t="str">
        <f>"Retiree Jan 2019"</f>
        <v>Retiree Jan 2019</v>
      </c>
      <c r="G2421" s="2">
        <v>15523.32</v>
      </c>
    </row>
    <row r="2422" spans="1:8" x14ac:dyDescent="0.25">
      <c r="E2422" t="str">
        <f>"2EC201901096477"</f>
        <v>2EC201901096477</v>
      </c>
      <c r="F2422" t="str">
        <f t="shared" ref="F2422:F2433" si="49">"BCBS PAYABLE"</f>
        <v>BCBS PAYABLE</v>
      </c>
      <c r="G2422" s="2">
        <v>43879.45</v>
      </c>
    </row>
    <row r="2423" spans="1:8" x14ac:dyDescent="0.25">
      <c r="E2423" t="str">
        <f>"2EC201901096483"</f>
        <v>2EC201901096483</v>
      </c>
      <c r="F2423" t="str">
        <f t="shared" si="49"/>
        <v>BCBS PAYABLE</v>
      </c>
      <c r="G2423" s="2">
        <v>1737.8</v>
      </c>
    </row>
    <row r="2424" spans="1:8" x14ac:dyDescent="0.25">
      <c r="E2424" t="str">
        <f>"2EC201901236760"</f>
        <v>2EC201901236760</v>
      </c>
      <c r="F2424" t="str">
        <f t="shared" si="49"/>
        <v>BCBS PAYABLE</v>
      </c>
      <c r="G2424" s="2">
        <v>44432.27</v>
      </c>
    </row>
    <row r="2425" spans="1:8" x14ac:dyDescent="0.25">
      <c r="E2425" t="str">
        <f>"2EC201901236761"</f>
        <v>2EC201901236761</v>
      </c>
      <c r="F2425" t="str">
        <f t="shared" si="49"/>
        <v>BCBS PAYABLE</v>
      </c>
      <c r="G2425" s="2">
        <v>1737.8</v>
      </c>
    </row>
    <row r="2426" spans="1:8" x14ac:dyDescent="0.25">
      <c r="E2426" t="str">
        <f>"2EF201901096477"</f>
        <v>2EF201901096477</v>
      </c>
      <c r="F2426" t="str">
        <f t="shared" si="49"/>
        <v>BCBS PAYABLE</v>
      </c>
      <c r="G2426" s="2">
        <v>1726.66</v>
      </c>
    </row>
    <row r="2427" spans="1:8" x14ac:dyDescent="0.25">
      <c r="E2427" t="str">
        <f>"2EF201901236760"</f>
        <v>2EF201901236760</v>
      </c>
      <c r="F2427" t="str">
        <f t="shared" si="49"/>
        <v>BCBS PAYABLE</v>
      </c>
      <c r="G2427" s="2">
        <v>1726.66</v>
      </c>
    </row>
    <row r="2428" spans="1:8" x14ac:dyDescent="0.25">
      <c r="E2428" t="str">
        <f>"2EO201901096477"</f>
        <v>2EO201901096477</v>
      </c>
      <c r="F2428" t="str">
        <f t="shared" si="49"/>
        <v>BCBS PAYABLE</v>
      </c>
      <c r="G2428" s="2">
        <v>91663.2</v>
      </c>
    </row>
    <row r="2429" spans="1:8" x14ac:dyDescent="0.25">
      <c r="E2429" t="str">
        <f>"2EO201901096483"</f>
        <v>2EO201901096483</v>
      </c>
      <c r="F2429" t="str">
        <f t="shared" si="49"/>
        <v>BCBS PAYABLE</v>
      </c>
      <c r="G2429" s="2">
        <v>3792.96</v>
      </c>
    </row>
    <row r="2430" spans="1:8" x14ac:dyDescent="0.25">
      <c r="E2430" t="str">
        <f>"2EO201901236760"</f>
        <v>2EO201901236760</v>
      </c>
      <c r="F2430" t="str">
        <f t="shared" si="49"/>
        <v>BCBS PAYABLE</v>
      </c>
      <c r="G2430" s="2">
        <v>90082.8</v>
      </c>
    </row>
    <row r="2431" spans="1:8" x14ac:dyDescent="0.25">
      <c r="E2431" t="str">
        <f>"2EO201901236761"</f>
        <v>2EO201901236761</v>
      </c>
      <c r="F2431" t="str">
        <f t="shared" si="49"/>
        <v>BCBS PAYABLE</v>
      </c>
      <c r="G2431" s="2">
        <v>3792.96</v>
      </c>
    </row>
    <row r="2432" spans="1:8" x14ac:dyDescent="0.25">
      <c r="E2432" t="str">
        <f>"2ES201901096477"</f>
        <v>2ES201901096477</v>
      </c>
      <c r="F2432" t="str">
        <f t="shared" si="49"/>
        <v>BCBS PAYABLE</v>
      </c>
      <c r="G2432" s="2">
        <v>13575.6</v>
      </c>
    </row>
    <row r="2433" spans="1:8" x14ac:dyDescent="0.25">
      <c r="E2433" t="str">
        <f>"2ES201901236760"</f>
        <v>2ES201901236760</v>
      </c>
      <c r="F2433" t="str">
        <f t="shared" si="49"/>
        <v>BCBS PAYABLE</v>
      </c>
      <c r="G2433" s="2">
        <v>13575.6</v>
      </c>
    </row>
    <row r="2434" spans="1:8" x14ac:dyDescent="0.25">
      <c r="A2434" t="s">
        <v>545</v>
      </c>
      <c r="B2434">
        <v>47277</v>
      </c>
      <c r="C2434" s="2">
        <v>326931</v>
      </c>
      <c r="D2434" s="1">
        <v>43494</v>
      </c>
      <c r="E2434" t="str">
        <f>"CHECK"</f>
        <v>CHECK</v>
      </c>
      <c r="F2434" t="str">
        <f>""</f>
        <v/>
      </c>
      <c r="G2434" s="2">
        <v>326931</v>
      </c>
    </row>
    <row r="2435" spans="1:8" x14ac:dyDescent="0.25">
      <c r="A2435" t="s">
        <v>545</v>
      </c>
      <c r="B2435">
        <v>47278</v>
      </c>
      <c r="C2435" s="2">
        <v>327247.08</v>
      </c>
      <c r="D2435" s="1">
        <v>43496</v>
      </c>
      <c r="E2435" t="str">
        <f>"201901306909"</f>
        <v>201901306909</v>
      </c>
      <c r="F2435" t="str">
        <f>"Retiree Jan 2019"</f>
        <v>Retiree Jan 2019</v>
      </c>
      <c r="G2435" s="2">
        <v>15523.32</v>
      </c>
      <c r="H2435" t="str">
        <f t="shared" ref="H2435:H2466" si="50">"TAC HEALTH BENEFITS POOL"</f>
        <v>TAC HEALTH BENEFITS POOL</v>
      </c>
    </row>
    <row r="2436" spans="1:8" x14ac:dyDescent="0.25">
      <c r="E2436" t="str">
        <f>"201901306910"</f>
        <v>201901306910</v>
      </c>
      <c r="F2436" t="str">
        <f>"TAC HEALTH BENEFITS POOL"</f>
        <v>TAC HEALTH BENEFITS POOL</v>
      </c>
      <c r="G2436" s="2">
        <v>43879.45</v>
      </c>
      <c r="H2436" t="str">
        <f t="shared" si="50"/>
        <v>TAC HEALTH BENEFITS POOL</v>
      </c>
    </row>
    <row r="2437" spans="1:8" x14ac:dyDescent="0.25">
      <c r="E2437" t="str">
        <f>""</f>
        <v/>
      </c>
      <c r="F2437" t="str">
        <f>""</f>
        <v/>
      </c>
      <c r="H2437" t="str">
        <f t="shared" si="50"/>
        <v>TAC HEALTH BENEFITS POOL</v>
      </c>
    </row>
    <row r="2438" spans="1:8" x14ac:dyDescent="0.25">
      <c r="E2438" t="str">
        <f>""</f>
        <v/>
      </c>
      <c r="F2438" t="str">
        <f>""</f>
        <v/>
      </c>
      <c r="H2438" t="str">
        <f t="shared" si="50"/>
        <v>TAC HEALTH BENEFITS POOL</v>
      </c>
    </row>
    <row r="2439" spans="1:8" x14ac:dyDescent="0.25">
      <c r="E2439" t="str">
        <f>""</f>
        <v/>
      </c>
      <c r="F2439" t="str">
        <f>""</f>
        <v/>
      </c>
      <c r="H2439" t="str">
        <f t="shared" si="50"/>
        <v>TAC HEALTH BENEFITS POOL</v>
      </c>
    </row>
    <row r="2440" spans="1:8" x14ac:dyDescent="0.25">
      <c r="E2440" t="str">
        <f>""</f>
        <v/>
      </c>
      <c r="F2440" t="str">
        <f>""</f>
        <v/>
      </c>
      <c r="H2440" t="str">
        <f t="shared" si="50"/>
        <v>TAC HEALTH BENEFITS POOL</v>
      </c>
    </row>
    <row r="2441" spans="1:8" x14ac:dyDescent="0.25">
      <c r="E2441" t="str">
        <f>""</f>
        <v/>
      </c>
      <c r="F2441" t="str">
        <f>""</f>
        <v/>
      </c>
      <c r="H2441" t="str">
        <f t="shared" si="50"/>
        <v>TAC HEALTH BENEFITS POOL</v>
      </c>
    </row>
    <row r="2442" spans="1:8" x14ac:dyDescent="0.25">
      <c r="E2442" t="str">
        <f>""</f>
        <v/>
      </c>
      <c r="F2442" t="str">
        <f>""</f>
        <v/>
      </c>
      <c r="H2442" t="str">
        <f t="shared" si="50"/>
        <v>TAC HEALTH BENEFITS POOL</v>
      </c>
    </row>
    <row r="2443" spans="1:8" x14ac:dyDescent="0.25">
      <c r="E2443" t="str">
        <f>""</f>
        <v/>
      </c>
      <c r="F2443" t="str">
        <f>""</f>
        <v/>
      </c>
      <c r="H2443" t="str">
        <f t="shared" si="50"/>
        <v>TAC HEALTH BENEFITS POOL</v>
      </c>
    </row>
    <row r="2444" spans="1:8" x14ac:dyDescent="0.25">
      <c r="E2444" t="str">
        <f>""</f>
        <v/>
      </c>
      <c r="F2444" t="str">
        <f>""</f>
        <v/>
      </c>
      <c r="H2444" t="str">
        <f t="shared" si="50"/>
        <v>TAC HEALTH BENEFITS POOL</v>
      </c>
    </row>
    <row r="2445" spans="1:8" x14ac:dyDescent="0.25">
      <c r="E2445" t="str">
        <f>""</f>
        <v/>
      </c>
      <c r="F2445" t="str">
        <f>""</f>
        <v/>
      </c>
      <c r="H2445" t="str">
        <f t="shared" si="50"/>
        <v>TAC HEALTH BENEFITS POOL</v>
      </c>
    </row>
    <row r="2446" spans="1:8" x14ac:dyDescent="0.25">
      <c r="E2446" t="str">
        <f>""</f>
        <v/>
      </c>
      <c r="F2446" t="str">
        <f>""</f>
        <v/>
      </c>
      <c r="H2446" t="str">
        <f t="shared" si="50"/>
        <v>TAC HEALTH BENEFITS POOL</v>
      </c>
    </row>
    <row r="2447" spans="1:8" x14ac:dyDescent="0.25">
      <c r="E2447" t="str">
        <f>""</f>
        <v/>
      </c>
      <c r="F2447" t="str">
        <f>""</f>
        <v/>
      </c>
      <c r="H2447" t="str">
        <f t="shared" si="50"/>
        <v>TAC HEALTH BENEFITS POOL</v>
      </c>
    </row>
    <row r="2448" spans="1:8" x14ac:dyDescent="0.25">
      <c r="E2448" t="str">
        <f>""</f>
        <v/>
      </c>
      <c r="F2448" t="str">
        <f>""</f>
        <v/>
      </c>
      <c r="H2448" t="str">
        <f t="shared" si="50"/>
        <v>TAC HEALTH BENEFITS POOL</v>
      </c>
    </row>
    <row r="2449" spans="5:8" x14ac:dyDescent="0.25">
      <c r="E2449" t="str">
        <f>""</f>
        <v/>
      </c>
      <c r="F2449" t="str">
        <f>""</f>
        <v/>
      </c>
      <c r="H2449" t="str">
        <f t="shared" si="50"/>
        <v>TAC HEALTH BENEFITS POOL</v>
      </c>
    </row>
    <row r="2450" spans="5:8" x14ac:dyDescent="0.25">
      <c r="E2450" t="str">
        <f>""</f>
        <v/>
      </c>
      <c r="F2450" t="str">
        <f>""</f>
        <v/>
      </c>
      <c r="H2450" t="str">
        <f t="shared" si="50"/>
        <v>TAC HEALTH BENEFITS POOL</v>
      </c>
    </row>
    <row r="2451" spans="5:8" x14ac:dyDescent="0.25">
      <c r="E2451" t="str">
        <f>""</f>
        <v/>
      </c>
      <c r="F2451" t="str">
        <f>""</f>
        <v/>
      </c>
      <c r="H2451" t="str">
        <f t="shared" si="50"/>
        <v>TAC HEALTH BENEFITS POOL</v>
      </c>
    </row>
    <row r="2452" spans="5:8" x14ac:dyDescent="0.25">
      <c r="E2452" t="str">
        <f>""</f>
        <v/>
      </c>
      <c r="F2452" t="str">
        <f>""</f>
        <v/>
      </c>
      <c r="H2452" t="str">
        <f t="shared" si="50"/>
        <v>TAC HEALTH BENEFITS POOL</v>
      </c>
    </row>
    <row r="2453" spans="5:8" x14ac:dyDescent="0.25">
      <c r="E2453" t="str">
        <f>""</f>
        <v/>
      </c>
      <c r="F2453" t="str">
        <f>""</f>
        <v/>
      </c>
      <c r="H2453" t="str">
        <f t="shared" si="50"/>
        <v>TAC HEALTH BENEFITS POOL</v>
      </c>
    </row>
    <row r="2454" spans="5:8" x14ac:dyDescent="0.25">
      <c r="E2454" t="str">
        <f>""</f>
        <v/>
      </c>
      <c r="F2454" t="str">
        <f>""</f>
        <v/>
      </c>
      <c r="H2454" t="str">
        <f t="shared" si="50"/>
        <v>TAC HEALTH BENEFITS POOL</v>
      </c>
    </row>
    <row r="2455" spans="5:8" x14ac:dyDescent="0.25">
      <c r="E2455" t="str">
        <f>""</f>
        <v/>
      </c>
      <c r="F2455" t="str">
        <f>""</f>
        <v/>
      </c>
      <c r="H2455" t="str">
        <f t="shared" si="50"/>
        <v>TAC HEALTH BENEFITS POOL</v>
      </c>
    </row>
    <row r="2456" spans="5:8" x14ac:dyDescent="0.25">
      <c r="E2456" t="str">
        <f>""</f>
        <v/>
      </c>
      <c r="F2456" t="str">
        <f>""</f>
        <v/>
      </c>
      <c r="H2456" t="str">
        <f t="shared" si="50"/>
        <v>TAC HEALTH BENEFITS POOL</v>
      </c>
    </row>
    <row r="2457" spans="5:8" x14ac:dyDescent="0.25">
      <c r="E2457" t="str">
        <f>""</f>
        <v/>
      </c>
      <c r="F2457" t="str">
        <f>""</f>
        <v/>
      </c>
      <c r="H2457" t="str">
        <f t="shared" si="50"/>
        <v>TAC HEALTH BENEFITS POOL</v>
      </c>
    </row>
    <row r="2458" spans="5:8" x14ac:dyDescent="0.25">
      <c r="E2458" t="str">
        <f>""</f>
        <v/>
      </c>
      <c r="F2458" t="str">
        <f>""</f>
        <v/>
      </c>
      <c r="H2458" t="str">
        <f t="shared" si="50"/>
        <v>TAC HEALTH BENEFITS POOL</v>
      </c>
    </row>
    <row r="2459" spans="5:8" x14ac:dyDescent="0.25">
      <c r="E2459" t="str">
        <f>""</f>
        <v/>
      </c>
      <c r="F2459" t="str">
        <f>""</f>
        <v/>
      </c>
      <c r="H2459" t="str">
        <f t="shared" si="50"/>
        <v>TAC HEALTH BENEFITS POOL</v>
      </c>
    </row>
    <row r="2460" spans="5:8" x14ac:dyDescent="0.25">
      <c r="E2460" t="str">
        <f>""</f>
        <v/>
      </c>
      <c r="F2460" t="str">
        <f>""</f>
        <v/>
      </c>
      <c r="H2460" t="str">
        <f t="shared" si="50"/>
        <v>TAC HEALTH BENEFITS POOL</v>
      </c>
    </row>
    <row r="2461" spans="5:8" x14ac:dyDescent="0.25">
      <c r="E2461" t="str">
        <f>""</f>
        <v/>
      </c>
      <c r="F2461" t="str">
        <f>""</f>
        <v/>
      </c>
      <c r="H2461" t="str">
        <f t="shared" si="50"/>
        <v>TAC HEALTH BENEFITS POOL</v>
      </c>
    </row>
    <row r="2462" spans="5:8" x14ac:dyDescent="0.25">
      <c r="E2462" t="str">
        <f>""</f>
        <v/>
      </c>
      <c r="F2462" t="str">
        <f>""</f>
        <v/>
      </c>
      <c r="H2462" t="str">
        <f t="shared" si="50"/>
        <v>TAC HEALTH BENEFITS POOL</v>
      </c>
    </row>
    <row r="2463" spans="5:8" x14ac:dyDescent="0.25">
      <c r="E2463" t="str">
        <f>""</f>
        <v/>
      </c>
      <c r="F2463" t="str">
        <f>""</f>
        <v/>
      </c>
      <c r="H2463" t="str">
        <f t="shared" si="50"/>
        <v>TAC HEALTH BENEFITS POOL</v>
      </c>
    </row>
    <row r="2464" spans="5:8" x14ac:dyDescent="0.25">
      <c r="E2464" t="str">
        <f>""</f>
        <v/>
      </c>
      <c r="F2464" t="str">
        <f>""</f>
        <v/>
      </c>
      <c r="H2464" t="str">
        <f t="shared" si="50"/>
        <v>TAC HEALTH BENEFITS POOL</v>
      </c>
    </row>
    <row r="2465" spans="5:8" x14ac:dyDescent="0.25">
      <c r="E2465" t="str">
        <f>""</f>
        <v/>
      </c>
      <c r="F2465" t="str">
        <f>""</f>
        <v/>
      </c>
      <c r="H2465" t="str">
        <f t="shared" si="50"/>
        <v>TAC HEALTH BENEFITS POOL</v>
      </c>
    </row>
    <row r="2466" spans="5:8" x14ac:dyDescent="0.25">
      <c r="E2466" t="str">
        <f>""</f>
        <v/>
      </c>
      <c r="F2466" t="str">
        <f>""</f>
        <v/>
      </c>
      <c r="H2466" t="str">
        <f t="shared" si="50"/>
        <v>TAC HEALTH BENEFITS POOL</v>
      </c>
    </row>
    <row r="2467" spans="5:8" x14ac:dyDescent="0.25">
      <c r="E2467" t="str">
        <f>"201901306912"</f>
        <v>201901306912</v>
      </c>
      <c r="F2467" t="str">
        <f>"TAC HEALTH BENEFITS POOL"</f>
        <v>TAC HEALTH BENEFITS POOL</v>
      </c>
      <c r="G2467" s="2">
        <v>1737.8</v>
      </c>
      <c r="H2467" t="str">
        <f t="shared" ref="H2467:H2498" si="51">"TAC HEALTH BENEFITS POOL"</f>
        <v>TAC HEALTH BENEFITS POOL</v>
      </c>
    </row>
    <row r="2468" spans="5:8" x14ac:dyDescent="0.25">
      <c r="E2468" t="str">
        <f>""</f>
        <v/>
      </c>
      <c r="F2468" t="str">
        <f>""</f>
        <v/>
      </c>
      <c r="H2468" t="str">
        <f t="shared" si="51"/>
        <v>TAC HEALTH BENEFITS POOL</v>
      </c>
    </row>
    <row r="2469" spans="5:8" x14ac:dyDescent="0.25">
      <c r="E2469" t="str">
        <f>"201901306913"</f>
        <v>201901306913</v>
      </c>
      <c r="F2469" t="str">
        <f>"TAC HEALTH BENEFITS POOL"</f>
        <v>TAC HEALTH BENEFITS POOL</v>
      </c>
      <c r="G2469" s="2">
        <v>44432.27</v>
      </c>
      <c r="H2469" t="str">
        <f t="shared" si="51"/>
        <v>TAC HEALTH BENEFITS POOL</v>
      </c>
    </row>
    <row r="2470" spans="5:8" x14ac:dyDescent="0.25">
      <c r="E2470" t="str">
        <f>""</f>
        <v/>
      </c>
      <c r="F2470" t="str">
        <f>""</f>
        <v/>
      </c>
      <c r="H2470" t="str">
        <f t="shared" si="51"/>
        <v>TAC HEALTH BENEFITS POOL</v>
      </c>
    </row>
    <row r="2471" spans="5:8" x14ac:dyDescent="0.25">
      <c r="E2471" t="str">
        <f>""</f>
        <v/>
      </c>
      <c r="F2471" t="str">
        <f>""</f>
        <v/>
      </c>
      <c r="H2471" t="str">
        <f t="shared" si="51"/>
        <v>TAC HEALTH BENEFITS POOL</v>
      </c>
    </row>
    <row r="2472" spans="5:8" x14ac:dyDescent="0.25">
      <c r="E2472" t="str">
        <f>""</f>
        <v/>
      </c>
      <c r="F2472" t="str">
        <f>""</f>
        <v/>
      </c>
      <c r="H2472" t="str">
        <f t="shared" si="51"/>
        <v>TAC HEALTH BENEFITS POOL</v>
      </c>
    </row>
    <row r="2473" spans="5:8" x14ac:dyDescent="0.25">
      <c r="E2473" t="str">
        <f>""</f>
        <v/>
      </c>
      <c r="F2473" t="str">
        <f>""</f>
        <v/>
      </c>
      <c r="H2473" t="str">
        <f t="shared" si="51"/>
        <v>TAC HEALTH BENEFITS POOL</v>
      </c>
    </row>
    <row r="2474" spans="5:8" x14ac:dyDescent="0.25">
      <c r="E2474" t="str">
        <f>""</f>
        <v/>
      </c>
      <c r="F2474" t="str">
        <f>""</f>
        <v/>
      </c>
      <c r="H2474" t="str">
        <f t="shared" si="51"/>
        <v>TAC HEALTH BENEFITS POOL</v>
      </c>
    </row>
    <row r="2475" spans="5:8" x14ac:dyDescent="0.25">
      <c r="E2475" t="str">
        <f>""</f>
        <v/>
      </c>
      <c r="F2475" t="str">
        <f>""</f>
        <v/>
      </c>
      <c r="H2475" t="str">
        <f t="shared" si="51"/>
        <v>TAC HEALTH BENEFITS POOL</v>
      </c>
    </row>
    <row r="2476" spans="5:8" x14ac:dyDescent="0.25">
      <c r="E2476" t="str">
        <f>""</f>
        <v/>
      </c>
      <c r="F2476" t="str">
        <f>""</f>
        <v/>
      </c>
      <c r="H2476" t="str">
        <f t="shared" si="51"/>
        <v>TAC HEALTH BENEFITS POOL</v>
      </c>
    </row>
    <row r="2477" spans="5:8" x14ac:dyDescent="0.25">
      <c r="E2477" t="str">
        <f>""</f>
        <v/>
      </c>
      <c r="F2477" t="str">
        <f>""</f>
        <v/>
      </c>
      <c r="H2477" t="str">
        <f t="shared" si="51"/>
        <v>TAC HEALTH BENEFITS POOL</v>
      </c>
    </row>
    <row r="2478" spans="5:8" x14ac:dyDescent="0.25">
      <c r="E2478" t="str">
        <f>""</f>
        <v/>
      </c>
      <c r="F2478" t="str">
        <f>""</f>
        <v/>
      </c>
      <c r="H2478" t="str">
        <f t="shared" si="51"/>
        <v>TAC HEALTH BENEFITS POOL</v>
      </c>
    </row>
    <row r="2479" spans="5:8" x14ac:dyDescent="0.25">
      <c r="E2479" t="str">
        <f>""</f>
        <v/>
      </c>
      <c r="F2479" t="str">
        <f>""</f>
        <v/>
      </c>
      <c r="H2479" t="str">
        <f t="shared" si="51"/>
        <v>TAC HEALTH BENEFITS POOL</v>
      </c>
    </row>
    <row r="2480" spans="5:8" x14ac:dyDescent="0.25">
      <c r="E2480" t="str">
        <f>""</f>
        <v/>
      </c>
      <c r="F2480" t="str">
        <f>""</f>
        <v/>
      </c>
      <c r="H2480" t="str">
        <f t="shared" si="51"/>
        <v>TAC HEALTH BENEFITS POOL</v>
      </c>
    </row>
    <row r="2481" spans="5:8" x14ac:dyDescent="0.25">
      <c r="E2481" t="str">
        <f>""</f>
        <v/>
      </c>
      <c r="F2481" t="str">
        <f>""</f>
        <v/>
      </c>
      <c r="H2481" t="str">
        <f t="shared" si="51"/>
        <v>TAC HEALTH BENEFITS POOL</v>
      </c>
    </row>
    <row r="2482" spans="5:8" x14ac:dyDescent="0.25">
      <c r="E2482" t="str">
        <f>""</f>
        <v/>
      </c>
      <c r="F2482" t="str">
        <f>""</f>
        <v/>
      </c>
      <c r="H2482" t="str">
        <f t="shared" si="51"/>
        <v>TAC HEALTH BENEFITS POOL</v>
      </c>
    </row>
    <row r="2483" spans="5:8" x14ac:dyDescent="0.25">
      <c r="E2483" t="str">
        <f>""</f>
        <v/>
      </c>
      <c r="F2483" t="str">
        <f>""</f>
        <v/>
      </c>
      <c r="H2483" t="str">
        <f t="shared" si="51"/>
        <v>TAC HEALTH BENEFITS POOL</v>
      </c>
    </row>
    <row r="2484" spans="5:8" x14ac:dyDescent="0.25">
      <c r="E2484" t="str">
        <f>""</f>
        <v/>
      </c>
      <c r="F2484" t="str">
        <f>""</f>
        <v/>
      </c>
      <c r="H2484" t="str">
        <f t="shared" si="51"/>
        <v>TAC HEALTH BENEFITS POOL</v>
      </c>
    </row>
    <row r="2485" spans="5:8" x14ac:dyDescent="0.25">
      <c r="E2485" t="str">
        <f>""</f>
        <v/>
      </c>
      <c r="F2485" t="str">
        <f>""</f>
        <v/>
      </c>
      <c r="H2485" t="str">
        <f t="shared" si="51"/>
        <v>TAC HEALTH BENEFITS POOL</v>
      </c>
    </row>
    <row r="2486" spans="5:8" x14ac:dyDescent="0.25">
      <c r="E2486" t="str">
        <f>""</f>
        <v/>
      </c>
      <c r="F2486" t="str">
        <f>""</f>
        <v/>
      </c>
      <c r="H2486" t="str">
        <f t="shared" si="51"/>
        <v>TAC HEALTH BENEFITS POOL</v>
      </c>
    </row>
    <row r="2487" spans="5:8" x14ac:dyDescent="0.25">
      <c r="E2487" t="str">
        <f>""</f>
        <v/>
      </c>
      <c r="F2487" t="str">
        <f>""</f>
        <v/>
      </c>
      <c r="H2487" t="str">
        <f t="shared" si="51"/>
        <v>TAC HEALTH BENEFITS POOL</v>
      </c>
    </row>
    <row r="2488" spans="5:8" x14ac:dyDescent="0.25">
      <c r="E2488" t="str">
        <f>""</f>
        <v/>
      </c>
      <c r="F2488" t="str">
        <f>""</f>
        <v/>
      </c>
      <c r="H2488" t="str">
        <f t="shared" si="51"/>
        <v>TAC HEALTH BENEFITS POOL</v>
      </c>
    </row>
    <row r="2489" spans="5:8" x14ac:dyDescent="0.25">
      <c r="E2489" t="str">
        <f>""</f>
        <v/>
      </c>
      <c r="F2489" t="str">
        <f>""</f>
        <v/>
      </c>
      <c r="H2489" t="str">
        <f t="shared" si="51"/>
        <v>TAC HEALTH BENEFITS POOL</v>
      </c>
    </row>
    <row r="2490" spans="5:8" x14ac:dyDescent="0.25">
      <c r="E2490" t="str">
        <f>""</f>
        <v/>
      </c>
      <c r="F2490" t="str">
        <f>""</f>
        <v/>
      </c>
      <c r="H2490" t="str">
        <f t="shared" si="51"/>
        <v>TAC HEALTH BENEFITS POOL</v>
      </c>
    </row>
    <row r="2491" spans="5:8" x14ac:dyDescent="0.25">
      <c r="E2491" t="str">
        <f>""</f>
        <v/>
      </c>
      <c r="F2491" t="str">
        <f>""</f>
        <v/>
      </c>
      <c r="H2491" t="str">
        <f t="shared" si="51"/>
        <v>TAC HEALTH BENEFITS POOL</v>
      </c>
    </row>
    <row r="2492" spans="5:8" x14ac:dyDescent="0.25">
      <c r="E2492" t="str">
        <f>""</f>
        <v/>
      </c>
      <c r="F2492" t="str">
        <f>""</f>
        <v/>
      </c>
      <c r="H2492" t="str">
        <f t="shared" si="51"/>
        <v>TAC HEALTH BENEFITS POOL</v>
      </c>
    </row>
    <row r="2493" spans="5:8" x14ac:dyDescent="0.25">
      <c r="E2493" t="str">
        <f>""</f>
        <v/>
      </c>
      <c r="F2493" t="str">
        <f>""</f>
        <v/>
      </c>
      <c r="H2493" t="str">
        <f t="shared" si="51"/>
        <v>TAC HEALTH BENEFITS POOL</v>
      </c>
    </row>
    <row r="2494" spans="5:8" x14ac:dyDescent="0.25">
      <c r="E2494" t="str">
        <f>""</f>
        <v/>
      </c>
      <c r="F2494" t="str">
        <f>""</f>
        <v/>
      </c>
      <c r="H2494" t="str">
        <f t="shared" si="51"/>
        <v>TAC HEALTH BENEFITS POOL</v>
      </c>
    </row>
    <row r="2495" spans="5:8" x14ac:dyDescent="0.25">
      <c r="E2495" t="str">
        <f>""</f>
        <v/>
      </c>
      <c r="F2495" t="str">
        <f>""</f>
        <v/>
      </c>
      <c r="H2495" t="str">
        <f t="shared" si="51"/>
        <v>TAC HEALTH BENEFITS POOL</v>
      </c>
    </row>
    <row r="2496" spans="5:8" x14ac:dyDescent="0.25">
      <c r="E2496" t="str">
        <f>""</f>
        <v/>
      </c>
      <c r="F2496" t="str">
        <f>""</f>
        <v/>
      </c>
      <c r="H2496" t="str">
        <f t="shared" si="51"/>
        <v>TAC HEALTH BENEFITS POOL</v>
      </c>
    </row>
    <row r="2497" spans="5:8" x14ac:dyDescent="0.25">
      <c r="E2497" t="str">
        <f>""</f>
        <v/>
      </c>
      <c r="F2497" t="str">
        <f>""</f>
        <v/>
      </c>
      <c r="H2497" t="str">
        <f t="shared" si="51"/>
        <v>TAC HEALTH BENEFITS POOL</v>
      </c>
    </row>
    <row r="2498" spans="5:8" x14ac:dyDescent="0.25">
      <c r="E2498" t="str">
        <f>""</f>
        <v/>
      </c>
      <c r="F2498" t="str">
        <f>""</f>
        <v/>
      </c>
      <c r="H2498" t="str">
        <f t="shared" si="51"/>
        <v>TAC HEALTH BENEFITS POOL</v>
      </c>
    </row>
    <row r="2499" spans="5:8" x14ac:dyDescent="0.25">
      <c r="E2499" t="str">
        <f>""</f>
        <v/>
      </c>
      <c r="F2499" t="str">
        <f>""</f>
        <v/>
      </c>
      <c r="H2499" t="str">
        <f t="shared" ref="H2499:H2530" si="52">"TAC HEALTH BENEFITS POOL"</f>
        <v>TAC HEALTH BENEFITS POOL</v>
      </c>
    </row>
    <row r="2500" spans="5:8" x14ac:dyDescent="0.25">
      <c r="E2500" t="str">
        <f>"201901306940"</f>
        <v>201901306940</v>
      </c>
      <c r="F2500" t="str">
        <f>"TAC HEALTH BENEFITS POOL"</f>
        <v>TAC HEALTH BENEFITS POOL</v>
      </c>
      <c r="G2500" s="2">
        <v>1737.8</v>
      </c>
      <c r="H2500" t="str">
        <f t="shared" si="52"/>
        <v>TAC HEALTH BENEFITS POOL</v>
      </c>
    </row>
    <row r="2501" spans="5:8" x14ac:dyDescent="0.25">
      <c r="E2501" t="str">
        <f>""</f>
        <v/>
      </c>
      <c r="F2501" t="str">
        <f>""</f>
        <v/>
      </c>
      <c r="H2501" t="str">
        <f t="shared" si="52"/>
        <v>TAC HEALTH BENEFITS POOL</v>
      </c>
    </row>
    <row r="2502" spans="5:8" x14ac:dyDescent="0.25">
      <c r="E2502" t="str">
        <f>"201901306941"</f>
        <v>201901306941</v>
      </c>
      <c r="F2502" t="str">
        <f>"TAC HEALTH BENEFITS POOL"</f>
        <v>TAC HEALTH BENEFITS POOL</v>
      </c>
      <c r="G2502" s="2">
        <v>1726.66</v>
      </c>
      <c r="H2502" t="str">
        <f t="shared" si="52"/>
        <v>TAC HEALTH BENEFITS POOL</v>
      </c>
    </row>
    <row r="2503" spans="5:8" x14ac:dyDescent="0.25">
      <c r="E2503" t="str">
        <f>""</f>
        <v/>
      </c>
      <c r="F2503" t="str">
        <f>""</f>
        <v/>
      </c>
      <c r="H2503" t="str">
        <f t="shared" si="52"/>
        <v>TAC HEALTH BENEFITS POOL</v>
      </c>
    </row>
    <row r="2504" spans="5:8" x14ac:dyDescent="0.25">
      <c r="E2504" t="str">
        <f>"201901306942"</f>
        <v>201901306942</v>
      </c>
      <c r="F2504" t="str">
        <f>"TAC HEALTH BENEFITS POOL"</f>
        <v>TAC HEALTH BENEFITS POOL</v>
      </c>
      <c r="G2504" s="2">
        <v>1726.66</v>
      </c>
      <c r="H2504" t="str">
        <f t="shared" si="52"/>
        <v>TAC HEALTH BENEFITS POOL</v>
      </c>
    </row>
    <row r="2505" spans="5:8" x14ac:dyDescent="0.25">
      <c r="E2505" t="str">
        <f>""</f>
        <v/>
      </c>
      <c r="F2505" t="str">
        <f>""</f>
        <v/>
      </c>
      <c r="H2505" t="str">
        <f t="shared" si="52"/>
        <v>TAC HEALTH BENEFITS POOL</v>
      </c>
    </row>
    <row r="2506" spans="5:8" x14ac:dyDescent="0.25">
      <c r="E2506" t="str">
        <f>"201901306943"</f>
        <v>201901306943</v>
      </c>
      <c r="F2506" t="str">
        <f>"TAC HEALTH BENEFITS POOL"</f>
        <v>TAC HEALTH BENEFITS POOL</v>
      </c>
      <c r="G2506" s="2">
        <v>91663.2</v>
      </c>
      <c r="H2506" t="str">
        <f t="shared" si="52"/>
        <v>TAC HEALTH BENEFITS POOL</v>
      </c>
    </row>
    <row r="2507" spans="5:8" x14ac:dyDescent="0.25">
      <c r="E2507" t="str">
        <f>""</f>
        <v/>
      </c>
      <c r="F2507" t="str">
        <f>""</f>
        <v/>
      </c>
      <c r="H2507" t="str">
        <f t="shared" si="52"/>
        <v>TAC HEALTH BENEFITS POOL</v>
      </c>
    </row>
    <row r="2508" spans="5:8" x14ac:dyDescent="0.25">
      <c r="E2508" t="str">
        <f>""</f>
        <v/>
      </c>
      <c r="F2508" t="str">
        <f>""</f>
        <v/>
      </c>
      <c r="H2508" t="str">
        <f t="shared" si="52"/>
        <v>TAC HEALTH BENEFITS POOL</v>
      </c>
    </row>
    <row r="2509" spans="5:8" x14ac:dyDescent="0.25">
      <c r="E2509" t="str">
        <f>""</f>
        <v/>
      </c>
      <c r="F2509" t="str">
        <f>""</f>
        <v/>
      </c>
      <c r="H2509" t="str">
        <f t="shared" si="52"/>
        <v>TAC HEALTH BENEFITS POOL</v>
      </c>
    </row>
    <row r="2510" spans="5:8" x14ac:dyDescent="0.25">
      <c r="E2510" t="str">
        <f>""</f>
        <v/>
      </c>
      <c r="F2510" t="str">
        <f>""</f>
        <v/>
      </c>
      <c r="H2510" t="str">
        <f t="shared" si="52"/>
        <v>TAC HEALTH BENEFITS POOL</v>
      </c>
    </row>
    <row r="2511" spans="5:8" x14ac:dyDescent="0.25">
      <c r="E2511" t="str">
        <f>""</f>
        <v/>
      </c>
      <c r="F2511" t="str">
        <f>""</f>
        <v/>
      </c>
      <c r="H2511" t="str">
        <f t="shared" si="52"/>
        <v>TAC HEALTH BENEFITS POOL</v>
      </c>
    </row>
    <row r="2512" spans="5:8" x14ac:dyDescent="0.25">
      <c r="E2512" t="str">
        <f>""</f>
        <v/>
      </c>
      <c r="F2512" t="str">
        <f>""</f>
        <v/>
      </c>
      <c r="H2512" t="str">
        <f t="shared" si="52"/>
        <v>TAC HEALTH BENEFITS POOL</v>
      </c>
    </row>
    <row r="2513" spans="5:8" x14ac:dyDescent="0.25">
      <c r="E2513" t="str">
        <f>""</f>
        <v/>
      </c>
      <c r="F2513" t="str">
        <f>""</f>
        <v/>
      </c>
      <c r="H2513" t="str">
        <f t="shared" si="52"/>
        <v>TAC HEALTH BENEFITS POOL</v>
      </c>
    </row>
    <row r="2514" spans="5:8" x14ac:dyDescent="0.25">
      <c r="E2514" t="str">
        <f>""</f>
        <v/>
      </c>
      <c r="F2514" t="str">
        <f>""</f>
        <v/>
      </c>
      <c r="H2514" t="str">
        <f t="shared" si="52"/>
        <v>TAC HEALTH BENEFITS POOL</v>
      </c>
    </row>
    <row r="2515" spans="5:8" x14ac:dyDescent="0.25">
      <c r="E2515" t="str">
        <f>""</f>
        <v/>
      </c>
      <c r="F2515" t="str">
        <f>""</f>
        <v/>
      </c>
      <c r="H2515" t="str">
        <f t="shared" si="52"/>
        <v>TAC HEALTH BENEFITS POOL</v>
      </c>
    </row>
    <row r="2516" spans="5:8" x14ac:dyDescent="0.25">
      <c r="E2516" t="str">
        <f>""</f>
        <v/>
      </c>
      <c r="F2516" t="str">
        <f>""</f>
        <v/>
      </c>
      <c r="H2516" t="str">
        <f t="shared" si="52"/>
        <v>TAC HEALTH BENEFITS POOL</v>
      </c>
    </row>
    <row r="2517" spans="5:8" x14ac:dyDescent="0.25">
      <c r="E2517" t="str">
        <f>""</f>
        <v/>
      </c>
      <c r="F2517" t="str">
        <f>""</f>
        <v/>
      </c>
      <c r="H2517" t="str">
        <f t="shared" si="52"/>
        <v>TAC HEALTH BENEFITS POOL</v>
      </c>
    </row>
    <row r="2518" spans="5:8" x14ac:dyDescent="0.25">
      <c r="E2518" t="str">
        <f>""</f>
        <v/>
      </c>
      <c r="F2518" t="str">
        <f>""</f>
        <v/>
      </c>
      <c r="H2518" t="str">
        <f t="shared" si="52"/>
        <v>TAC HEALTH BENEFITS POOL</v>
      </c>
    </row>
    <row r="2519" spans="5:8" x14ac:dyDescent="0.25">
      <c r="E2519" t="str">
        <f>""</f>
        <v/>
      </c>
      <c r="F2519" t="str">
        <f>""</f>
        <v/>
      </c>
      <c r="H2519" t="str">
        <f t="shared" si="52"/>
        <v>TAC HEALTH BENEFITS POOL</v>
      </c>
    </row>
    <row r="2520" spans="5:8" x14ac:dyDescent="0.25">
      <c r="E2520" t="str">
        <f>""</f>
        <v/>
      </c>
      <c r="F2520" t="str">
        <f>""</f>
        <v/>
      </c>
      <c r="H2520" t="str">
        <f t="shared" si="52"/>
        <v>TAC HEALTH BENEFITS POOL</v>
      </c>
    </row>
    <row r="2521" spans="5:8" x14ac:dyDescent="0.25">
      <c r="E2521" t="str">
        <f>""</f>
        <v/>
      </c>
      <c r="F2521" t="str">
        <f>""</f>
        <v/>
      </c>
      <c r="H2521" t="str">
        <f t="shared" si="52"/>
        <v>TAC HEALTH BENEFITS POOL</v>
      </c>
    </row>
    <row r="2522" spans="5:8" x14ac:dyDescent="0.25">
      <c r="E2522" t="str">
        <f>""</f>
        <v/>
      </c>
      <c r="F2522" t="str">
        <f>""</f>
        <v/>
      </c>
      <c r="H2522" t="str">
        <f t="shared" si="52"/>
        <v>TAC HEALTH BENEFITS POOL</v>
      </c>
    </row>
    <row r="2523" spans="5:8" x14ac:dyDescent="0.25">
      <c r="E2523" t="str">
        <f>""</f>
        <v/>
      </c>
      <c r="F2523" t="str">
        <f>""</f>
        <v/>
      </c>
      <c r="H2523" t="str">
        <f t="shared" si="52"/>
        <v>TAC HEALTH BENEFITS POOL</v>
      </c>
    </row>
    <row r="2524" spans="5:8" x14ac:dyDescent="0.25">
      <c r="E2524" t="str">
        <f>""</f>
        <v/>
      </c>
      <c r="F2524" t="str">
        <f>""</f>
        <v/>
      </c>
      <c r="H2524" t="str">
        <f t="shared" si="52"/>
        <v>TAC HEALTH BENEFITS POOL</v>
      </c>
    </row>
    <row r="2525" spans="5:8" x14ac:dyDescent="0.25">
      <c r="E2525" t="str">
        <f>""</f>
        <v/>
      </c>
      <c r="F2525" t="str">
        <f>""</f>
        <v/>
      </c>
      <c r="H2525" t="str">
        <f t="shared" si="52"/>
        <v>TAC HEALTH BENEFITS POOL</v>
      </c>
    </row>
    <row r="2526" spans="5:8" x14ac:dyDescent="0.25">
      <c r="E2526" t="str">
        <f>""</f>
        <v/>
      </c>
      <c r="F2526" t="str">
        <f>""</f>
        <v/>
      </c>
      <c r="H2526" t="str">
        <f t="shared" si="52"/>
        <v>TAC HEALTH BENEFITS POOL</v>
      </c>
    </row>
    <row r="2527" spans="5:8" x14ac:dyDescent="0.25">
      <c r="E2527" t="str">
        <f>""</f>
        <v/>
      </c>
      <c r="F2527" t="str">
        <f>""</f>
        <v/>
      </c>
      <c r="H2527" t="str">
        <f t="shared" si="52"/>
        <v>TAC HEALTH BENEFITS POOL</v>
      </c>
    </row>
    <row r="2528" spans="5:8" x14ac:dyDescent="0.25">
      <c r="E2528" t="str">
        <f>""</f>
        <v/>
      </c>
      <c r="F2528" t="str">
        <f>""</f>
        <v/>
      </c>
      <c r="H2528" t="str">
        <f t="shared" si="52"/>
        <v>TAC HEALTH BENEFITS POOL</v>
      </c>
    </row>
    <row r="2529" spans="5:8" x14ac:dyDescent="0.25">
      <c r="E2529" t="str">
        <f>""</f>
        <v/>
      </c>
      <c r="F2529" t="str">
        <f>""</f>
        <v/>
      </c>
      <c r="H2529" t="str">
        <f t="shared" si="52"/>
        <v>TAC HEALTH BENEFITS POOL</v>
      </c>
    </row>
    <row r="2530" spans="5:8" x14ac:dyDescent="0.25">
      <c r="E2530" t="str">
        <f>""</f>
        <v/>
      </c>
      <c r="F2530" t="str">
        <f>""</f>
        <v/>
      </c>
      <c r="H2530" t="str">
        <f t="shared" si="52"/>
        <v>TAC HEALTH BENEFITS POOL</v>
      </c>
    </row>
    <row r="2531" spans="5:8" x14ac:dyDescent="0.25">
      <c r="E2531" t="str">
        <f>""</f>
        <v/>
      </c>
      <c r="F2531" t="str">
        <f>""</f>
        <v/>
      </c>
      <c r="H2531" t="str">
        <f t="shared" ref="H2531:H2562" si="53">"TAC HEALTH BENEFITS POOL"</f>
        <v>TAC HEALTH BENEFITS POOL</v>
      </c>
    </row>
    <row r="2532" spans="5:8" x14ac:dyDescent="0.25">
      <c r="E2532" t="str">
        <f>""</f>
        <v/>
      </c>
      <c r="F2532" t="str">
        <f>""</f>
        <v/>
      </c>
      <c r="H2532" t="str">
        <f t="shared" si="53"/>
        <v>TAC HEALTH BENEFITS POOL</v>
      </c>
    </row>
    <row r="2533" spans="5:8" x14ac:dyDescent="0.25">
      <c r="E2533" t="str">
        <f>""</f>
        <v/>
      </c>
      <c r="F2533" t="str">
        <f>""</f>
        <v/>
      </c>
      <c r="H2533" t="str">
        <f t="shared" si="53"/>
        <v>TAC HEALTH BENEFITS POOL</v>
      </c>
    </row>
    <row r="2534" spans="5:8" x14ac:dyDescent="0.25">
      <c r="E2534" t="str">
        <f>""</f>
        <v/>
      </c>
      <c r="F2534" t="str">
        <f>""</f>
        <v/>
      </c>
      <c r="H2534" t="str">
        <f t="shared" si="53"/>
        <v>TAC HEALTH BENEFITS POOL</v>
      </c>
    </row>
    <row r="2535" spans="5:8" x14ac:dyDescent="0.25">
      <c r="E2535" t="str">
        <f>""</f>
        <v/>
      </c>
      <c r="F2535" t="str">
        <f>""</f>
        <v/>
      </c>
      <c r="H2535" t="str">
        <f t="shared" si="53"/>
        <v>TAC HEALTH BENEFITS POOL</v>
      </c>
    </row>
    <row r="2536" spans="5:8" x14ac:dyDescent="0.25">
      <c r="E2536" t="str">
        <f>""</f>
        <v/>
      </c>
      <c r="F2536" t="str">
        <f>""</f>
        <v/>
      </c>
      <c r="H2536" t="str">
        <f t="shared" si="53"/>
        <v>TAC HEALTH BENEFITS POOL</v>
      </c>
    </row>
    <row r="2537" spans="5:8" x14ac:dyDescent="0.25">
      <c r="E2537" t="str">
        <f>""</f>
        <v/>
      </c>
      <c r="F2537" t="str">
        <f>""</f>
        <v/>
      </c>
      <c r="H2537" t="str">
        <f t="shared" si="53"/>
        <v>TAC HEALTH BENEFITS POOL</v>
      </c>
    </row>
    <row r="2538" spans="5:8" x14ac:dyDescent="0.25">
      <c r="E2538" t="str">
        <f>""</f>
        <v/>
      </c>
      <c r="F2538" t="str">
        <f>""</f>
        <v/>
      </c>
      <c r="H2538" t="str">
        <f t="shared" si="53"/>
        <v>TAC HEALTH BENEFITS POOL</v>
      </c>
    </row>
    <row r="2539" spans="5:8" x14ac:dyDescent="0.25">
      <c r="E2539" t="str">
        <f>""</f>
        <v/>
      </c>
      <c r="F2539" t="str">
        <f>""</f>
        <v/>
      </c>
      <c r="H2539" t="str">
        <f t="shared" si="53"/>
        <v>TAC HEALTH BENEFITS POOL</v>
      </c>
    </row>
    <row r="2540" spans="5:8" x14ac:dyDescent="0.25">
      <c r="E2540" t="str">
        <f>""</f>
        <v/>
      </c>
      <c r="F2540" t="str">
        <f>""</f>
        <v/>
      </c>
      <c r="H2540" t="str">
        <f t="shared" si="53"/>
        <v>TAC HEALTH BENEFITS POOL</v>
      </c>
    </row>
    <row r="2541" spans="5:8" x14ac:dyDescent="0.25">
      <c r="E2541" t="str">
        <f>""</f>
        <v/>
      </c>
      <c r="F2541" t="str">
        <f>""</f>
        <v/>
      </c>
      <c r="H2541" t="str">
        <f t="shared" si="53"/>
        <v>TAC HEALTH BENEFITS POOL</v>
      </c>
    </row>
    <row r="2542" spans="5:8" x14ac:dyDescent="0.25">
      <c r="E2542" t="str">
        <f>""</f>
        <v/>
      </c>
      <c r="F2542" t="str">
        <f>""</f>
        <v/>
      </c>
      <c r="H2542" t="str">
        <f t="shared" si="53"/>
        <v>TAC HEALTH BENEFITS POOL</v>
      </c>
    </row>
    <row r="2543" spans="5:8" x14ac:dyDescent="0.25">
      <c r="E2543" t="str">
        <f>""</f>
        <v/>
      </c>
      <c r="F2543" t="str">
        <f>""</f>
        <v/>
      </c>
      <c r="H2543" t="str">
        <f t="shared" si="53"/>
        <v>TAC HEALTH BENEFITS POOL</v>
      </c>
    </row>
    <row r="2544" spans="5:8" x14ac:dyDescent="0.25">
      <c r="E2544" t="str">
        <f>""</f>
        <v/>
      </c>
      <c r="F2544" t="str">
        <f>""</f>
        <v/>
      </c>
      <c r="H2544" t="str">
        <f t="shared" si="53"/>
        <v>TAC HEALTH BENEFITS POOL</v>
      </c>
    </row>
    <row r="2545" spans="5:8" x14ac:dyDescent="0.25">
      <c r="E2545" t="str">
        <f>""</f>
        <v/>
      </c>
      <c r="F2545" t="str">
        <f>""</f>
        <v/>
      </c>
      <c r="H2545" t="str">
        <f t="shared" si="53"/>
        <v>TAC HEALTH BENEFITS POOL</v>
      </c>
    </row>
    <row r="2546" spans="5:8" x14ac:dyDescent="0.25">
      <c r="E2546" t="str">
        <f>""</f>
        <v/>
      </c>
      <c r="F2546" t="str">
        <f>""</f>
        <v/>
      </c>
      <c r="H2546" t="str">
        <f t="shared" si="53"/>
        <v>TAC HEALTH BENEFITS POOL</v>
      </c>
    </row>
    <row r="2547" spans="5:8" x14ac:dyDescent="0.25">
      <c r="E2547" t="str">
        <f>""</f>
        <v/>
      </c>
      <c r="F2547" t="str">
        <f>""</f>
        <v/>
      </c>
      <c r="H2547" t="str">
        <f t="shared" si="53"/>
        <v>TAC HEALTH BENEFITS POOL</v>
      </c>
    </row>
    <row r="2548" spans="5:8" x14ac:dyDescent="0.25">
      <c r="E2548" t="str">
        <f>""</f>
        <v/>
      </c>
      <c r="F2548" t="str">
        <f>""</f>
        <v/>
      </c>
      <c r="H2548" t="str">
        <f t="shared" si="53"/>
        <v>TAC HEALTH BENEFITS POOL</v>
      </c>
    </row>
    <row r="2549" spans="5:8" x14ac:dyDescent="0.25">
      <c r="E2549" t="str">
        <f>""</f>
        <v/>
      </c>
      <c r="F2549" t="str">
        <f>""</f>
        <v/>
      </c>
      <c r="H2549" t="str">
        <f t="shared" si="53"/>
        <v>TAC HEALTH BENEFITS POOL</v>
      </c>
    </row>
    <row r="2550" spans="5:8" x14ac:dyDescent="0.25">
      <c r="E2550" t="str">
        <f>"201901306944"</f>
        <v>201901306944</v>
      </c>
      <c r="F2550" t="str">
        <f>"TAC HEALTH BENEFITS POOL"</f>
        <v>TAC HEALTH BENEFITS POOL</v>
      </c>
      <c r="G2550" s="2">
        <v>3792.96</v>
      </c>
      <c r="H2550" t="str">
        <f t="shared" si="53"/>
        <v>TAC HEALTH BENEFITS POOL</v>
      </c>
    </row>
    <row r="2551" spans="5:8" x14ac:dyDescent="0.25">
      <c r="E2551" t="str">
        <f>"201901316945"</f>
        <v>201901316945</v>
      </c>
      <c r="F2551" t="str">
        <f>"TAC HEALTH BENEFITS POOL"</f>
        <v>TAC HEALTH BENEFITS POOL</v>
      </c>
      <c r="G2551" s="2">
        <v>90082.8</v>
      </c>
      <c r="H2551" t="str">
        <f t="shared" si="53"/>
        <v>TAC HEALTH BENEFITS POOL</v>
      </c>
    </row>
    <row r="2552" spans="5:8" x14ac:dyDescent="0.25">
      <c r="E2552" t="str">
        <f>""</f>
        <v/>
      </c>
      <c r="F2552" t="str">
        <f>""</f>
        <v/>
      </c>
      <c r="H2552" t="str">
        <f t="shared" si="53"/>
        <v>TAC HEALTH BENEFITS POOL</v>
      </c>
    </row>
    <row r="2553" spans="5:8" x14ac:dyDescent="0.25">
      <c r="E2553" t="str">
        <f>""</f>
        <v/>
      </c>
      <c r="F2553" t="str">
        <f>""</f>
        <v/>
      </c>
      <c r="H2553" t="str">
        <f t="shared" si="53"/>
        <v>TAC HEALTH BENEFITS POOL</v>
      </c>
    </row>
    <row r="2554" spans="5:8" x14ac:dyDescent="0.25">
      <c r="E2554" t="str">
        <f>""</f>
        <v/>
      </c>
      <c r="F2554" t="str">
        <f>""</f>
        <v/>
      </c>
      <c r="H2554" t="str">
        <f t="shared" si="53"/>
        <v>TAC HEALTH BENEFITS POOL</v>
      </c>
    </row>
    <row r="2555" spans="5:8" x14ac:dyDescent="0.25">
      <c r="E2555" t="str">
        <f>""</f>
        <v/>
      </c>
      <c r="F2555" t="str">
        <f>""</f>
        <v/>
      </c>
      <c r="H2555" t="str">
        <f t="shared" si="53"/>
        <v>TAC HEALTH BENEFITS POOL</v>
      </c>
    </row>
    <row r="2556" spans="5:8" x14ac:dyDescent="0.25">
      <c r="E2556" t="str">
        <f>""</f>
        <v/>
      </c>
      <c r="F2556" t="str">
        <f>""</f>
        <v/>
      </c>
      <c r="H2556" t="str">
        <f t="shared" si="53"/>
        <v>TAC HEALTH BENEFITS POOL</v>
      </c>
    </row>
    <row r="2557" spans="5:8" x14ac:dyDescent="0.25">
      <c r="E2557" t="str">
        <f>""</f>
        <v/>
      </c>
      <c r="F2557" t="str">
        <f>""</f>
        <v/>
      </c>
      <c r="H2557" t="str">
        <f t="shared" si="53"/>
        <v>TAC HEALTH BENEFITS POOL</v>
      </c>
    </row>
    <row r="2558" spans="5:8" x14ac:dyDescent="0.25">
      <c r="E2558" t="str">
        <f>""</f>
        <v/>
      </c>
      <c r="F2558" t="str">
        <f>""</f>
        <v/>
      </c>
      <c r="H2558" t="str">
        <f t="shared" si="53"/>
        <v>TAC HEALTH BENEFITS POOL</v>
      </c>
    </row>
    <row r="2559" spans="5:8" x14ac:dyDescent="0.25">
      <c r="E2559" t="str">
        <f>""</f>
        <v/>
      </c>
      <c r="F2559" t="str">
        <f>""</f>
        <v/>
      </c>
      <c r="H2559" t="str">
        <f t="shared" si="53"/>
        <v>TAC HEALTH BENEFITS POOL</v>
      </c>
    </row>
    <row r="2560" spans="5:8" x14ac:dyDescent="0.25">
      <c r="E2560" t="str">
        <f>""</f>
        <v/>
      </c>
      <c r="F2560" t="str">
        <f>""</f>
        <v/>
      </c>
      <c r="H2560" t="str">
        <f t="shared" si="53"/>
        <v>TAC HEALTH BENEFITS POOL</v>
      </c>
    </row>
    <row r="2561" spans="5:8" x14ac:dyDescent="0.25">
      <c r="E2561" t="str">
        <f>""</f>
        <v/>
      </c>
      <c r="F2561" t="str">
        <f>""</f>
        <v/>
      </c>
      <c r="H2561" t="str">
        <f t="shared" si="53"/>
        <v>TAC HEALTH BENEFITS POOL</v>
      </c>
    </row>
    <row r="2562" spans="5:8" x14ac:dyDescent="0.25">
      <c r="E2562" t="str">
        <f>""</f>
        <v/>
      </c>
      <c r="F2562" t="str">
        <f>""</f>
        <v/>
      </c>
      <c r="H2562" t="str">
        <f t="shared" si="53"/>
        <v>TAC HEALTH BENEFITS POOL</v>
      </c>
    </row>
    <row r="2563" spans="5:8" x14ac:dyDescent="0.25">
      <c r="E2563" t="str">
        <f>""</f>
        <v/>
      </c>
      <c r="F2563" t="str">
        <f>""</f>
        <v/>
      </c>
      <c r="H2563" t="str">
        <f t="shared" ref="H2563:H2594" si="54">"TAC HEALTH BENEFITS POOL"</f>
        <v>TAC HEALTH BENEFITS POOL</v>
      </c>
    </row>
    <row r="2564" spans="5:8" x14ac:dyDescent="0.25">
      <c r="E2564" t="str">
        <f>""</f>
        <v/>
      </c>
      <c r="F2564" t="str">
        <f>""</f>
        <v/>
      </c>
      <c r="H2564" t="str">
        <f t="shared" si="54"/>
        <v>TAC HEALTH BENEFITS POOL</v>
      </c>
    </row>
    <row r="2565" spans="5:8" x14ac:dyDescent="0.25">
      <c r="E2565" t="str">
        <f>""</f>
        <v/>
      </c>
      <c r="F2565" t="str">
        <f>""</f>
        <v/>
      </c>
      <c r="H2565" t="str">
        <f t="shared" si="54"/>
        <v>TAC HEALTH BENEFITS POOL</v>
      </c>
    </row>
    <row r="2566" spans="5:8" x14ac:dyDescent="0.25">
      <c r="E2566" t="str">
        <f>""</f>
        <v/>
      </c>
      <c r="F2566" t="str">
        <f>""</f>
        <v/>
      </c>
      <c r="H2566" t="str">
        <f t="shared" si="54"/>
        <v>TAC HEALTH BENEFITS POOL</v>
      </c>
    </row>
    <row r="2567" spans="5:8" x14ac:dyDescent="0.25">
      <c r="E2567" t="str">
        <f>""</f>
        <v/>
      </c>
      <c r="F2567" t="str">
        <f>""</f>
        <v/>
      </c>
      <c r="H2567" t="str">
        <f t="shared" si="54"/>
        <v>TAC HEALTH BENEFITS POOL</v>
      </c>
    </row>
    <row r="2568" spans="5:8" x14ac:dyDescent="0.25">
      <c r="E2568" t="str">
        <f>""</f>
        <v/>
      </c>
      <c r="F2568" t="str">
        <f>""</f>
        <v/>
      </c>
      <c r="H2568" t="str">
        <f t="shared" si="54"/>
        <v>TAC HEALTH BENEFITS POOL</v>
      </c>
    </row>
    <row r="2569" spans="5:8" x14ac:dyDescent="0.25">
      <c r="E2569" t="str">
        <f>""</f>
        <v/>
      </c>
      <c r="F2569" t="str">
        <f>""</f>
        <v/>
      </c>
      <c r="H2569" t="str">
        <f t="shared" si="54"/>
        <v>TAC HEALTH BENEFITS POOL</v>
      </c>
    </row>
    <row r="2570" spans="5:8" x14ac:dyDescent="0.25">
      <c r="E2570" t="str">
        <f>""</f>
        <v/>
      </c>
      <c r="F2570" t="str">
        <f>""</f>
        <v/>
      </c>
      <c r="H2570" t="str">
        <f t="shared" si="54"/>
        <v>TAC HEALTH BENEFITS POOL</v>
      </c>
    </row>
    <row r="2571" spans="5:8" x14ac:dyDescent="0.25">
      <c r="E2571" t="str">
        <f>""</f>
        <v/>
      </c>
      <c r="F2571" t="str">
        <f>""</f>
        <v/>
      </c>
      <c r="H2571" t="str">
        <f t="shared" si="54"/>
        <v>TAC HEALTH BENEFITS POOL</v>
      </c>
    </row>
    <row r="2572" spans="5:8" x14ac:dyDescent="0.25">
      <c r="E2572" t="str">
        <f>""</f>
        <v/>
      </c>
      <c r="F2572" t="str">
        <f>""</f>
        <v/>
      </c>
      <c r="H2572" t="str">
        <f t="shared" si="54"/>
        <v>TAC HEALTH BENEFITS POOL</v>
      </c>
    </row>
    <row r="2573" spans="5:8" x14ac:dyDescent="0.25">
      <c r="E2573" t="str">
        <f>""</f>
        <v/>
      </c>
      <c r="F2573" t="str">
        <f>""</f>
        <v/>
      </c>
      <c r="H2573" t="str">
        <f t="shared" si="54"/>
        <v>TAC HEALTH BENEFITS POOL</v>
      </c>
    </row>
    <row r="2574" spans="5:8" x14ac:dyDescent="0.25">
      <c r="E2574" t="str">
        <f>""</f>
        <v/>
      </c>
      <c r="F2574" t="str">
        <f>""</f>
        <v/>
      </c>
      <c r="H2574" t="str">
        <f t="shared" si="54"/>
        <v>TAC HEALTH BENEFITS POOL</v>
      </c>
    </row>
    <row r="2575" spans="5:8" x14ac:dyDescent="0.25">
      <c r="E2575" t="str">
        <f>""</f>
        <v/>
      </c>
      <c r="F2575" t="str">
        <f>""</f>
        <v/>
      </c>
      <c r="H2575" t="str">
        <f t="shared" si="54"/>
        <v>TAC HEALTH BENEFITS POOL</v>
      </c>
    </row>
    <row r="2576" spans="5:8" x14ac:dyDescent="0.25">
      <c r="E2576" t="str">
        <f>""</f>
        <v/>
      </c>
      <c r="F2576" t="str">
        <f>""</f>
        <v/>
      </c>
      <c r="H2576" t="str">
        <f t="shared" si="54"/>
        <v>TAC HEALTH BENEFITS POOL</v>
      </c>
    </row>
    <row r="2577" spans="5:8" x14ac:dyDescent="0.25">
      <c r="E2577" t="str">
        <f>""</f>
        <v/>
      </c>
      <c r="F2577" t="str">
        <f>""</f>
        <v/>
      </c>
      <c r="H2577" t="str">
        <f t="shared" si="54"/>
        <v>TAC HEALTH BENEFITS POOL</v>
      </c>
    </row>
    <row r="2578" spans="5:8" x14ac:dyDescent="0.25">
      <c r="E2578" t="str">
        <f>""</f>
        <v/>
      </c>
      <c r="F2578" t="str">
        <f>""</f>
        <v/>
      </c>
      <c r="H2578" t="str">
        <f t="shared" si="54"/>
        <v>TAC HEALTH BENEFITS POOL</v>
      </c>
    </row>
    <row r="2579" spans="5:8" x14ac:dyDescent="0.25">
      <c r="E2579" t="str">
        <f>""</f>
        <v/>
      </c>
      <c r="F2579" t="str">
        <f>""</f>
        <v/>
      </c>
      <c r="H2579" t="str">
        <f t="shared" si="54"/>
        <v>TAC HEALTH BENEFITS POOL</v>
      </c>
    </row>
    <row r="2580" spans="5:8" x14ac:dyDescent="0.25">
      <c r="E2580" t="str">
        <f>""</f>
        <v/>
      </c>
      <c r="F2580" t="str">
        <f>""</f>
        <v/>
      </c>
      <c r="H2580" t="str">
        <f t="shared" si="54"/>
        <v>TAC HEALTH BENEFITS POOL</v>
      </c>
    </row>
    <row r="2581" spans="5:8" x14ac:dyDescent="0.25">
      <c r="E2581" t="str">
        <f>""</f>
        <v/>
      </c>
      <c r="F2581" t="str">
        <f>""</f>
        <v/>
      </c>
      <c r="H2581" t="str">
        <f t="shared" si="54"/>
        <v>TAC HEALTH BENEFITS POOL</v>
      </c>
    </row>
    <row r="2582" spans="5:8" x14ac:dyDescent="0.25">
      <c r="E2582" t="str">
        <f>""</f>
        <v/>
      </c>
      <c r="F2582" t="str">
        <f>""</f>
        <v/>
      </c>
      <c r="H2582" t="str">
        <f t="shared" si="54"/>
        <v>TAC HEALTH BENEFITS POOL</v>
      </c>
    </row>
    <row r="2583" spans="5:8" x14ac:dyDescent="0.25">
      <c r="E2583" t="str">
        <f>""</f>
        <v/>
      </c>
      <c r="F2583" t="str">
        <f>""</f>
        <v/>
      </c>
      <c r="H2583" t="str">
        <f t="shared" si="54"/>
        <v>TAC HEALTH BENEFITS POOL</v>
      </c>
    </row>
    <row r="2584" spans="5:8" x14ac:dyDescent="0.25">
      <c r="E2584" t="str">
        <f>""</f>
        <v/>
      </c>
      <c r="F2584" t="str">
        <f>""</f>
        <v/>
      </c>
      <c r="H2584" t="str">
        <f t="shared" si="54"/>
        <v>TAC HEALTH BENEFITS POOL</v>
      </c>
    </row>
    <row r="2585" spans="5:8" x14ac:dyDescent="0.25">
      <c r="E2585" t="str">
        <f>""</f>
        <v/>
      </c>
      <c r="F2585" t="str">
        <f>""</f>
        <v/>
      </c>
      <c r="H2585" t="str">
        <f t="shared" si="54"/>
        <v>TAC HEALTH BENEFITS POOL</v>
      </c>
    </row>
    <row r="2586" spans="5:8" x14ac:dyDescent="0.25">
      <c r="E2586" t="str">
        <f>""</f>
        <v/>
      </c>
      <c r="F2586" t="str">
        <f>""</f>
        <v/>
      </c>
      <c r="H2586" t="str">
        <f t="shared" si="54"/>
        <v>TAC HEALTH BENEFITS POOL</v>
      </c>
    </row>
    <row r="2587" spans="5:8" x14ac:dyDescent="0.25">
      <c r="E2587" t="str">
        <f>""</f>
        <v/>
      </c>
      <c r="F2587" t="str">
        <f>""</f>
        <v/>
      </c>
      <c r="H2587" t="str">
        <f t="shared" si="54"/>
        <v>TAC HEALTH BENEFITS POOL</v>
      </c>
    </row>
    <row r="2588" spans="5:8" x14ac:dyDescent="0.25">
      <c r="E2588" t="str">
        <f>""</f>
        <v/>
      </c>
      <c r="F2588" t="str">
        <f>""</f>
        <v/>
      </c>
      <c r="H2588" t="str">
        <f t="shared" si="54"/>
        <v>TAC HEALTH BENEFITS POOL</v>
      </c>
    </row>
    <row r="2589" spans="5:8" x14ac:dyDescent="0.25">
      <c r="E2589" t="str">
        <f>""</f>
        <v/>
      </c>
      <c r="F2589" t="str">
        <f>""</f>
        <v/>
      </c>
      <c r="H2589" t="str">
        <f t="shared" si="54"/>
        <v>TAC HEALTH BENEFITS POOL</v>
      </c>
    </row>
    <row r="2590" spans="5:8" x14ac:dyDescent="0.25">
      <c r="E2590" t="str">
        <f>""</f>
        <v/>
      </c>
      <c r="F2590" t="str">
        <f>""</f>
        <v/>
      </c>
      <c r="H2590" t="str">
        <f t="shared" si="54"/>
        <v>TAC HEALTH BENEFITS POOL</v>
      </c>
    </row>
    <row r="2591" spans="5:8" x14ac:dyDescent="0.25">
      <c r="E2591" t="str">
        <f>""</f>
        <v/>
      </c>
      <c r="F2591" t="str">
        <f>""</f>
        <v/>
      </c>
      <c r="H2591" t="str">
        <f t="shared" si="54"/>
        <v>TAC HEALTH BENEFITS POOL</v>
      </c>
    </row>
    <row r="2592" spans="5:8" x14ac:dyDescent="0.25">
      <c r="E2592" t="str">
        <f>""</f>
        <v/>
      </c>
      <c r="F2592" t="str">
        <f>""</f>
        <v/>
      </c>
      <c r="H2592" t="str">
        <f t="shared" si="54"/>
        <v>TAC HEALTH BENEFITS POOL</v>
      </c>
    </row>
    <row r="2593" spans="5:8" x14ac:dyDescent="0.25">
      <c r="E2593" t="str">
        <f>""</f>
        <v/>
      </c>
      <c r="F2593" t="str">
        <f>""</f>
        <v/>
      </c>
      <c r="H2593" t="str">
        <f t="shared" si="54"/>
        <v>TAC HEALTH BENEFITS POOL</v>
      </c>
    </row>
    <row r="2594" spans="5:8" x14ac:dyDescent="0.25">
      <c r="E2594" t="str">
        <f>""</f>
        <v/>
      </c>
      <c r="F2594" t="str">
        <f>""</f>
        <v/>
      </c>
      <c r="H2594" t="str">
        <f t="shared" si="54"/>
        <v>TAC HEALTH BENEFITS POOL</v>
      </c>
    </row>
    <row r="2595" spans="5:8" x14ac:dyDescent="0.25">
      <c r="E2595" t="str">
        <f>"201901316946"</f>
        <v>201901316946</v>
      </c>
      <c r="F2595" t="str">
        <f>"TAC HEALTH BENEFITS POOL"</f>
        <v>TAC HEALTH BENEFITS POOL</v>
      </c>
      <c r="G2595" s="2">
        <v>3792.96</v>
      </c>
      <c r="H2595" t="str">
        <f t="shared" ref="H2595:H2625" si="55">"TAC HEALTH BENEFITS POOL"</f>
        <v>TAC HEALTH BENEFITS POOL</v>
      </c>
    </row>
    <row r="2596" spans="5:8" x14ac:dyDescent="0.25">
      <c r="E2596" t="str">
        <f>"201901316947"</f>
        <v>201901316947</v>
      </c>
      <c r="F2596" t="str">
        <f>"TAC HEALTH BENEFITS POOL"</f>
        <v>TAC HEALTH BENEFITS POOL</v>
      </c>
      <c r="G2596" s="2">
        <v>13575.6</v>
      </c>
      <c r="H2596" t="str">
        <f t="shared" si="55"/>
        <v>TAC HEALTH BENEFITS POOL</v>
      </c>
    </row>
    <row r="2597" spans="5:8" x14ac:dyDescent="0.25">
      <c r="E2597" t="str">
        <f>""</f>
        <v/>
      </c>
      <c r="F2597" t="str">
        <f>""</f>
        <v/>
      </c>
      <c r="H2597" t="str">
        <f t="shared" si="55"/>
        <v>TAC HEALTH BENEFITS POOL</v>
      </c>
    </row>
    <row r="2598" spans="5:8" x14ac:dyDescent="0.25">
      <c r="E2598" t="str">
        <f>""</f>
        <v/>
      </c>
      <c r="F2598" t="str">
        <f>""</f>
        <v/>
      </c>
      <c r="H2598" t="str">
        <f t="shared" si="55"/>
        <v>TAC HEALTH BENEFITS POOL</v>
      </c>
    </row>
    <row r="2599" spans="5:8" x14ac:dyDescent="0.25">
      <c r="E2599" t="str">
        <f>""</f>
        <v/>
      </c>
      <c r="F2599" t="str">
        <f>""</f>
        <v/>
      </c>
      <c r="H2599" t="str">
        <f t="shared" si="55"/>
        <v>TAC HEALTH BENEFITS POOL</v>
      </c>
    </row>
    <row r="2600" spans="5:8" x14ac:dyDescent="0.25">
      <c r="E2600" t="str">
        <f>""</f>
        <v/>
      </c>
      <c r="F2600" t="str">
        <f>""</f>
        <v/>
      </c>
      <c r="H2600" t="str">
        <f t="shared" si="55"/>
        <v>TAC HEALTH BENEFITS POOL</v>
      </c>
    </row>
    <row r="2601" spans="5:8" x14ac:dyDescent="0.25">
      <c r="E2601" t="str">
        <f>""</f>
        <v/>
      </c>
      <c r="F2601" t="str">
        <f>""</f>
        <v/>
      </c>
      <c r="H2601" t="str">
        <f t="shared" si="55"/>
        <v>TAC HEALTH BENEFITS POOL</v>
      </c>
    </row>
    <row r="2602" spans="5:8" x14ac:dyDescent="0.25">
      <c r="E2602" t="str">
        <f>""</f>
        <v/>
      </c>
      <c r="F2602" t="str">
        <f>""</f>
        <v/>
      </c>
      <c r="H2602" t="str">
        <f t="shared" si="55"/>
        <v>TAC HEALTH BENEFITS POOL</v>
      </c>
    </row>
    <row r="2603" spans="5:8" x14ac:dyDescent="0.25">
      <c r="E2603" t="str">
        <f>""</f>
        <v/>
      </c>
      <c r="F2603" t="str">
        <f>""</f>
        <v/>
      </c>
      <c r="H2603" t="str">
        <f t="shared" si="55"/>
        <v>TAC HEALTH BENEFITS POOL</v>
      </c>
    </row>
    <row r="2604" spans="5:8" x14ac:dyDescent="0.25">
      <c r="E2604" t="str">
        <f>""</f>
        <v/>
      </c>
      <c r="F2604" t="str">
        <f>""</f>
        <v/>
      </c>
      <c r="H2604" t="str">
        <f t="shared" si="55"/>
        <v>TAC HEALTH BENEFITS POOL</v>
      </c>
    </row>
    <row r="2605" spans="5:8" x14ac:dyDescent="0.25">
      <c r="E2605" t="str">
        <f>""</f>
        <v/>
      </c>
      <c r="F2605" t="str">
        <f>""</f>
        <v/>
      </c>
      <c r="H2605" t="str">
        <f t="shared" si="55"/>
        <v>TAC HEALTH BENEFITS POOL</v>
      </c>
    </row>
    <row r="2606" spans="5:8" x14ac:dyDescent="0.25">
      <c r="E2606" t="str">
        <f>""</f>
        <v/>
      </c>
      <c r="F2606" t="str">
        <f>""</f>
        <v/>
      </c>
      <c r="H2606" t="str">
        <f t="shared" si="55"/>
        <v>TAC HEALTH BENEFITS POOL</v>
      </c>
    </row>
    <row r="2607" spans="5:8" x14ac:dyDescent="0.25">
      <c r="E2607" t="str">
        <f>""</f>
        <v/>
      </c>
      <c r="F2607" t="str">
        <f>""</f>
        <v/>
      </c>
      <c r="H2607" t="str">
        <f t="shared" si="55"/>
        <v>TAC HEALTH BENEFITS POOL</v>
      </c>
    </row>
    <row r="2608" spans="5:8" x14ac:dyDescent="0.25">
      <c r="E2608" t="str">
        <f>""</f>
        <v/>
      </c>
      <c r="F2608" t="str">
        <f>""</f>
        <v/>
      </c>
      <c r="H2608" t="str">
        <f t="shared" si="55"/>
        <v>TAC HEALTH BENEFITS POOL</v>
      </c>
    </row>
    <row r="2609" spans="5:8" x14ac:dyDescent="0.25">
      <c r="E2609" t="str">
        <f>""</f>
        <v/>
      </c>
      <c r="F2609" t="str">
        <f>""</f>
        <v/>
      </c>
      <c r="H2609" t="str">
        <f t="shared" si="55"/>
        <v>TAC HEALTH BENEFITS POOL</v>
      </c>
    </row>
    <row r="2610" spans="5:8" x14ac:dyDescent="0.25">
      <c r="E2610" t="str">
        <f>""</f>
        <v/>
      </c>
      <c r="F2610" t="str">
        <f>""</f>
        <v/>
      </c>
      <c r="H2610" t="str">
        <f t="shared" si="55"/>
        <v>TAC HEALTH BENEFITS POOL</v>
      </c>
    </row>
    <row r="2611" spans="5:8" x14ac:dyDescent="0.25">
      <c r="E2611" t="str">
        <f>"201901316948"</f>
        <v>201901316948</v>
      </c>
      <c r="F2611" t="str">
        <f>"TAC HEALTH BENEFITS POOL"</f>
        <v>TAC HEALTH BENEFITS POOL</v>
      </c>
      <c r="G2611" s="2">
        <v>13575.6</v>
      </c>
      <c r="H2611" t="str">
        <f t="shared" si="55"/>
        <v>TAC HEALTH BENEFITS POOL</v>
      </c>
    </row>
    <row r="2612" spans="5:8" x14ac:dyDescent="0.25">
      <c r="E2612" t="str">
        <f>""</f>
        <v/>
      </c>
      <c r="F2612" t="str">
        <f>""</f>
        <v/>
      </c>
      <c r="H2612" t="str">
        <f t="shared" si="55"/>
        <v>TAC HEALTH BENEFITS POOL</v>
      </c>
    </row>
    <row r="2613" spans="5:8" x14ac:dyDescent="0.25">
      <c r="E2613" t="str">
        <f>""</f>
        <v/>
      </c>
      <c r="F2613" t="str">
        <f>""</f>
        <v/>
      </c>
      <c r="H2613" t="str">
        <f t="shared" si="55"/>
        <v>TAC HEALTH BENEFITS POOL</v>
      </c>
    </row>
    <row r="2614" spans="5:8" x14ac:dyDescent="0.25">
      <c r="E2614" t="str">
        <f>""</f>
        <v/>
      </c>
      <c r="F2614" t="str">
        <f>""</f>
        <v/>
      </c>
      <c r="H2614" t="str">
        <f t="shared" si="55"/>
        <v>TAC HEALTH BENEFITS POOL</v>
      </c>
    </row>
    <row r="2615" spans="5:8" x14ac:dyDescent="0.25">
      <c r="E2615" t="str">
        <f>""</f>
        <v/>
      </c>
      <c r="F2615" t="str">
        <f>""</f>
        <v/>
      </c>
      <c r="H2615" t="str">
        <f t="shared" si="55"/>
        <v>TAC HEALTH BENEFITS POOL</v>
      </c>
    </row>
    <row r="2616" spans="5:8" x14ac:dyDescent="0.25">
      <c r="E2616" t="str">
        <f>""</f>
        <v/>
      </c>
      <c r="F2616" t="str">
        <f>""</f>
        <v/>
      </c>
      <c r="H2616" t="str">
        <f t="shared" si="55"/>
        <v>TAC HEALTH BENEFITS POOL</v>
      </c>
    </row>
    <row r="2617" spans="5:8" x14ac:dyDescent="0.25">
      <c r="E2617" t="str">
        <f>""</f>
        <v/>
      </c>
      <c r="F2617" t="str">
        <f>""</f>
        <v/>
      </c>
      <c r="H2617" t="str">
        <f t="shared" si="55"/>
        <v>TAC HEALTH BENEFITS POOL</v>
      </c>
    </row>
    <row r="2618" spans="5:8" x14ac:dyDescent="0.25">
      <c r="E2618" t="str">
        <f>""</f>
        <v/>
      </c>
      <c r="F2618" t="str">
        <f>""</f>
        <v/>
      </c>
      <c r="H2618" t="str">
        <f t="shared" si="55"/>
        <v>TAC HEALTH BENEFITS POOL</v>
      </c>
    </row>
    <row r="2619" spans="5:8" x14ac:dyDescent="0.25">
      <c r="E2619" t="str">
        <f>""</f>
        <v/>
      </c>
      <c r="F2619" t="str">
        <f>""</f>
        <v/>
      </c>
      <c r="H2619" t="str">
        <f t="shared" si="55"/>
        <v>TAC HEALTH BENEFITS POOL</v>
      </c>
    </row>
    <row r="2620" spans="5:8" x14ac:dyDescent="0.25">
      <c r="E2620" t="str">
        <f>""</f>
        <v/>
      </c>
      <c r="F2620" t="str">
        <f>""</f>
        <v/>
      </c>
      <c r="H2620" t="str">
        <f t="shared" si="55"/>
        <v>TAC HEALTH BENEFITS POOL</v>
      </c>
    </row>
    <row r="2621" spans="5:8" x14ac:dyDescent="0.25">
      <c r="E2621" t="str">
        <f>""</f>
        <v/>
      </c>
      <c r="F2621" t="str">
        <f>""</f>
        <v/>
      </c>
      <c r="H2621" t="str">
        <f t="shared" si="55"/>
        <v>TAC HEALTH BENEFITS POOL</v>
      </c>
    </row>
    <row r="2622" spans="5:8" x14ac:dyDescent="0.25">
      <c r="E2622" t="str">
        <f>""</f>
        <v/>
      </c>
      <c r="F2622" t="str">
        <f>""</f>
        <v/>
      </c>
      <c r="H2622" t="str">
        <f t="shared" si="55"/>
        <v>TAC HEALTH BENEFITS POOL</v>
      </c>
    </row>
    <row r="2623" spans="5:8" x14ac:dyDescent="0.25">
      <c r="E2623" t="str">
        <f>""</f>
        <v/>
      </c>
      <c r="F2623" t="str">
        <f>""</f>
        <v/>
      </c>
      <c r="H2623" t="str">
        <f t="shared" si="55"/>
        <v>TAC HEALTH BENEFITS POOL</v>
      </c>
    </row>
    <row r="2624" spans="5:8" x14ac:dyDescent="0.25">
      <c r="E2624" t="str">
        <f>""</f>
        <v/>
      </c>
      <c r="F2624" t="str">
        <f>""</f>
        <v/>
      </c>
      <c r="H2624" t="str">
        <f t="shared" si="55"/>
        <v>TAC HEALTH BENEFITS POOL</v>
      </c>
    </row>
    <row r="2625" spans="1:8" x14ac:dyDescent="0.25">
      <c r="E2625" t="str">
        <f>""</f>
        <v/>
      </c>
      <c r="F2625" t="str">
        <f>""</f>
        <v/>
      </c>
      <c r="H2625" t="str">
        <f t="shared" si="55"/>
        <v>TAC HEALTH BENEFITS POOL</v>
      </c>
    </row>
    <row r="2626" spans="1:8" x14ac:dyDescent="0.25">
      <c r="A2626" t="s">
        <v>457</v>
      </c>
      <c r="B2626">
        <v>35</v>
      </c>
      <c r="C2626" s="2">
        <v>11000.59</v>
      </c>
      <c r="D2626" s="1">
        <v>43476</v>
      </c>
      <c r="E2626" t="str">
        <f>"FSA201901096477"</f>
        <v>FSA201901096477</v>
      </c>
      <c r="F2626" t="str">
        <f>"TASC FSA"</f>
        <v>TASC FSA</v>
      </c>
      <c r="G2626" s="2">
        <v>7863.8</v>
      </c>
      <c r="H2626" t="str">
        <f>"TASC FSA"</f>
        <v>TASC FSA</v>
      </c>
    </row>
    <row r="2627" spans="1:8" x14ac:dyDescent="0.25">
      <c r="E2627" t="str">
        <f>"FSA201901096483"</f>
        <v>FSA201901096483</v>
      </c>
      <c r="F2627" t="str">
        <f>"TASC FSA"</f>
        <v>TASC FSA</v>
      </c>
      <c r="G2627" s="2">
        <v>550.05999999999995</v>
      </c>
      <c r="H2627" t="str">
        <f>"TASC FSA"</f>
        <v>TASC FSA</v>
      </c>
    </row>
    <row r="2628" spans="1:8" x14ac:dyDescent="0.25">
      <c r="E2628" t="str">
        <f>"FSC201901096477"</f>
        <v>FSC201901096477</v>
      </c>
      <c r="F2628" t="str">
        <f>"TASC DEPENDENT CARE"</f>
        <v>TASC DEPENDENT CARE</v>
      </c>
      <c r="G2628" s="2">
        <v>313.95999999999998</v>
      </c>
      <c r="H2628" t="str">
        <f>"TASC DEPENDENT CARE"</f>
        <v>TASC DEPENDENT CARE</v>
      </c>
    </row>
    <row r="2629" spans="1:8" x14ac:dyDescent="0.25">
      <c r="E2629" t="str">
        <f>"FSF201901096477"</f>
        <v>FSF201901096477</v>
      </c>
      <c r="F2629" t="str">
        <f>"TASC - FSA  FEES"</f>
        <v>TASC - FSA  FEES</v>
      </c>
      <c r="G2629" s="2">
        <v>273.61</v>
      </c>
      <c r="H2629" t="str">
        <f t="shared" ref="H2629:H2667" si="56">"TASC - FSA  FEES"</f>
        <v>TASC - FSA  FEES</v>
      </c>
    </row>
    <row r="2630" spans="1:8" x14ac:dyDescent="0.25">
      <c r="E2630" t="str">
        <f>""</f>
        <v/>
      </c>
      <c r="F2630" t="str">
        <f>""</f>
        <v/>
      </c>
      <c r="H2630" t="str">
        <f t="shared" si="56"/>
        <v>TASC - FSA  FEES</v>
      </c>
    </row>
    <row r="2631" spans="1:8" x14ac:dyDescent="0.25">
      <c r="E2631" t="str">
        <f>""</f>
        <v/>
      </c>
      <c r="F2631" t="str">
        <f>""</f>
        <v/>
      </c>
      <c r="H2631" t="str">
        <f t="shared" si="56"/>
        <v>TASC - FSA  FEES</v>
      </c>
    </row>
    <row r="2632" spans="1:8" x14ac:dyDescent="0.25">
      <c r="E2632" t="str">
        <f>""</f>
        <v/>
      </c>
      <c r="F2632" t="str">
        <f>""</f>
        <v/>
      </c>
      <c r="H2632" t="str">
        <f t="shared" si="56"/>
        <v>TASC - FSA  FEES</v>
      </c>
    </row>
    <row r="2633" spans="1:8" x14ac:dyDescent="0.25">
      <c r="E2633" t="str">
        <f>""</f>
        <v/>
      </c>
      <c r="F2633" t="str">
        <f>""</f>
        <v/>
      </c>
      <c r="H2633" t="str">
        <f t="shared" si="56"/>
        <v>TASC - FSA  FEES</v>
      </c>
    </row>
    <row r="2634" spans="1:8" x14ac:dyDescent="0.25">
      <c r="E2634" t="str">
        <f>""</f>
        <v/>
      </c>
      <c r="F2634" t="str">
        <f>""</f>
        <v/>
      </c>
      <c r="H2634" t="str">
        <f t="shared" si="56"/>
        <v>TASC - FSA  FEES</v>
      </c>
    </row>
    <row r="2635" spans="1:8" x14ac:dyDescent="0.25">
      <c r="E2635" t="str">
        <f>""</f>
        <v/>
      </c>
      <c r="F2635" t="str">
        <f>""</f>
        <v/>
      </c>
      <c r="H2635" t="str">
        <f t="shared" si="56"/>
        <v>TASC - FSA  FEES</v>
      </c>
    </row>
    <row r="2636" spans="1:8" x14ac:dyDescent="0.25">
      <c r="E2636" t="str">
        <f>""</f>
        <v/>
      </c>
      <c r="F2636" t="str">
        <f>""</f>
        <v/>
      </c>
      <c r="H2636" t="str">
        <f t="shared" si="56"/>
        <v>TASC - FSA  FEES</v>
      </c>
    </row>
    <row r="2637" spans="1:8" x14ac:dyDescent="0.25">
      <c r="E2637" t="str">
        <f>""</f>
        <v/>
      </c>
      <c r="F2637" t="str">
        <f>""</f>
        <v/>
      </c>
      <c r="H2637" t="str">
        <f t="shared" si="56"/>
        <v>TASC - FSA  FEES</v>
      </c>
    </row>
    <row r="2638" spans="1:8" x14ac:dyDescent="0.25">
      <c r="E2638" t="str">
        <f>""</f>
        <v/>
      </c>
      <c r="F2638" t="str">
        <f>""</f>
        <v/>
      </c>
      <c r="H2638" t="str">
        <f t="shared" si="56"/>
        <v>TASC - FSA  FEES</v>
      </c>
    </row>
    <row r="2639" spans="1:8" x14ac:dyDescent="0.25">
      <c r="E2639" t="str">
        <f>""</f>
        <v/>
      </c>
      <c r="F2639" t="str">
        <f>""</f>
        <v/>
      </c>
      <c r="H2639" t="str">
        <f t="shared" si="56"/>
        <v>TASC - FSA  FEES</v>
      </c>
    </row>
    <row r="2640" spans="1:8" x14ac:dyDescent="0.25">
      <c r="E2640" t="str">
        <f>""</f>
        <v/>
      </c>
      <c r="F2640" t="str">
        <f>""</f>
        <v/>
      </c>
      <c r="H2640" t="str">
        <f t="shared" si="56"/>
        <v>TASC - FSA  FEES</v>
      </c>
    </row>
    <row r="2641" spans="5:8" x14ac:dyDescent="0.25">
      <c r="E2641" t="str">
        <f>""</f>
        <v/>
      </c>
      <c r="F2641" t="str">
        <f>""</f>
        <v/>
      </c>
      <c r="H2641" t="str">
        <f t="shared" si="56"/>
        <v>TASC - FSA  FEES</v>
      </c>
    </row>
    <row r="2642" spans="5:8" x14ac:dyDescent="0.25">
      <c r="E2642" t="str">
        <f>""</f>
        <v/>
      </c>
      <c r="F2642" t="str">
        <f>""</f>
        <v/>
      </c>
      <c r="H2642" t="str">
        <f t="shared" si="56"/>
        <v>TASC - FSA  FEES</v>
      </c>
    </row>
    <row r="2643" spans="5:8" x14ac:dyDescent="0.25">
      <c r="E2643" t="str">
        <f>""</f>
        <v/>
      </c>
      <c r="F2643" t="str">
        <f>""</f>
        <v/>
      </c>
      <c r="H2643" t="str">
        <f t="shared" si="56"/>
        <v>TASC - FSA  FEES</v>
      </c>
    </row>
    <row r="2644" spans="5:8" x14ac:dyDescent="0.25">
      <c r="E2644" t="str">
        <f>""</f>
        <v/>
      </c>
      <c r="F2644" t="str">
        <f>""</f>
        <v/>
      </c>
      <c r="H2644" t="str">
        <f t="shared" si="56"/>
        <v>TASC - FSA  FEES</v>
      </c>
    </row>
    <row r="2645" spans="5:8" x14ac:dyDescent="0.25">
      <c r="E2645" t="str">
        <f>""</f>
        <v/>
      </c>
      <c r="F2645" t="str">
        <f>""</f>
        <v/>
      </c>
      <c r="H2645" t="str">
        <f t="shared" si="56"/>
        <v>TASC - FSA  FEES</v>
      </c>
    </row>
    <row r="2646" spans="5:8" x14ac:dyDescent="0.25">
      <c r="E2646" t="str">
        <f>""</f>
        <v/>
      </c>
      <c r="F2646" t="str">
        <f>""</f>
        <v/>
      </c>
      <c r="H2646" t="str">
        <f t="shared" si="56"/>
        <v>TASC - FSA  FEES</v>
      </c>
    </row>
    <row r="2647" spans="5:8" x14ac:dyDescent="0.25">
      <c r="E2647" t="str">
        <f>""</f>
        <v/>
      </c>
      <c r="F2647" t="str">
        <f>""</f>
        <v/>
      </c>
      <c r="H2647" t="str">
        <f t="shared" si="56"/>
        <v>TASC - FSA  FEES</v>
      </c>
    </row>
    <row r="2648" spans="5:8" x14ac:dyDescent="0.25">
      <c r="E2648" t="str">
        <f>""</f>
        <v/>
      </c>
      <c r="F2648" t="str">
        <f>""</f>
        <v/>
      </c>
      <c r="H2648" t="str">
        <f t="shared" si="56"/>
        <v>TASC - FSA  FEES</v>
      </c>
    </row>
    <row r="2649" spans="5:8" x14ac:dyDescent="0.25">
      <c r="E2649" t="str">
        <f>""</f>
        <v/>
      </c>
      <c r="F2649" t="str">
        <f>""</f>
        <v/>
      </c>
      <c r="H2649" t="str">
        <f t="shared" si="56"/>
        <v>TASC - FSA  FEES</v>
      </c>
    </row>
    <row r="2650" spans="5:8" x14ac:dyDescent="0.25">
      <c r="E2650" t="str">
        <f>""</f>
        <v/>
      </c>
      <c r="F2650" t="str">
        <f>""</f>
        <v/>
      </c>
      <c r="H2650" t="str">
        <f t="shared" si="56"/>
        <v>TASC - FSA  FEES</v>
      </c>
    </row>
    <row r="2651" spans="5:8" x14ac:dyDescent="0.25">
      <c r="E2651" t="str">
        <f>""</f>
        <v/>
      </c>
      <c r="F2651" t="str">
        <f>""</f>
        <v/>
      </c>
      <c r="H2651" t="str">
        <f t="shared" si="56"/>
        <v>TASC - FSA  FEES</v>
      </c>
    </row>
    <row r="2652" spans="5:8" x14ac:dyDescent="0.25">
      <c r="E2652" t="str">
        <f>""</f>
        <v/>
      </c>
      <c r="F2652" t="str">
        <f>""</f>
        <v/>
      </c>
      <c r="H2652" t="str">
        <f t="shared" si="56"/>
        <v>TASC - FSA  FEES</v>
      </c>
    </row>
    <row r="2653" spans="5:8" x14ac:dyDescent="0.25">
      <c r="E2653" t="str">
        <f>""</f>
        <v/>
      </c>
      <c r="F2653" t="str">
        <f>""</f>
        <v/>
      </c>
      <c r="H2653" t="str">
        <f t="shared" si="56"/>
        <v>TASC - FSA  FEES</v>
      </c>
    </row>
    <row r="2654" spans="5:8" x14ac:dyDescent="0.25">
      <c r="E2654" t="str">
        <f>""</f>
        <v/>
      </c>
      <c r="F2654" t="str">
        <f>""</f>
        <v/>
      </c>
      <c r="H2654" t="str">
        <f t="shared" si="56"/>
        <v>TASC - FSA  FEES</v>
      </c>
    </row>
    <row r="2655" spans="5:8" x14ac:dyDescent="0.25">
      <c r="E2655" t="str">
        <f>""</f>
        <v/>
      </c>
      <c r="F2655" t="str">
        <f>""</f>
        <v/>
      </c>
      <c r="H2655" t="str">
        <f t="shared" si="56"/>
        <v>TASC - FSA  FEES</v>
      </c>
    </row>
    <row r="2656" spans="5:8" x14ac:dyDescent="0.25">
      <c r="E2656" t="str">
        <f>""</f>
        <v/>
      </c>
      <c r="F2656" t="str">
        <f>""</f>
        <v/>
      </c>
      <c r="H2656" t="str">
        <f t="shared" si="56"/>
        <v>TASC - FSA  FEES</v>
      </c>
    </row>
    <row r="2657" spans="5:8" x14ac:dyDescent="0.25">
      <c r="E2657" t="str">
        <f>""</f>
        <v/>
      </c>
      <c r="F2657" t="str">
        <f>""</f>
        <v/>
      </c>
      <c r="H2657" t="str">
        <f t="shared" si="56"/>
        <v>TASC - FSA  FEES</v>
      </c>
    </row>
    <row r="2658" spans="5:8" x14ac:dyDescent="0.25">
      <c r="E2658" t="str">
        <f>""</f>
        <v/>
      </c>
      <c r="F2658" t="str">
        <f>""</f>
        <v/>
      </c>
      <c r="H2658" t="str">
        <f t="shared" si="56"/>
        <v>TASC - FSA  FEES</v>
      </c>
    </row>
    <row r="2659" spans="5:8" x14ac:dyDescent="0.25">
      <c r="E2659" t="str">
        <f>""</f>
        <v/>
      </c>
      <c r="F2659" t="str">
        <f>""</f>
        <v/>
      </c>
      <c r="H2659" t="str">
        <f t="shared" si="56"/>
        <v>TASC - FSA  FEES</v>
      </c>
    </row>
    <row r="2660" spans="5:8" x14ac:dyDescent="0.25">
      <c r="E2660" t="str">
        <f>""</f>
        <v/>
      </c>
      <c r="F2660" t="str">
        <f>""</f>
        <v/>
      </c>
      <c r="H2660" t="str">
        <f t="shared" si="56"/>
        <v>TASC - FSA  FEES</v>
      </c>
    </row>
    <row r="2661" spans="5:8" x14ac:dyDescent="0.25">
      <c r="E2661" t="str">
        <f>""</f>
        <v/>
      </c>
      <c r="F2661" t="str">
        <f>""</f>
        <v/>
      </c>
      <c r="H2661" t="str">
        <f t="shared" si="56"/>
        <v>TASC - FSA  FEES</v>
      </c>
    </row>
    <row r="2662" spans="5:8" x14ac:dyDescent="0.25">
      <c r="E2662" t="str">
        <f>""</f>
        <v/>
      </c>
      <c r="F2662" t="str">
        <f>""</f>
        <v/>
      </c>
      <c r="H2662" t="str">
        <f t="shared" si="56"/>
        <v>TASC - FSA  FEES</v>
      </c>
    </row>
    <row r="2663" spans="5:8" x14ac:dyDescent="0.25">
      <c r="E2663" t="str">
        <f>""</f>
        <v/>
      </c>
      <c r="F2663" t="str">
        <f>""</f>
        <v/>
      </c>
      <c r="H2663" t="str">
        <f t="shared" si="56"/>
        <v>TASC - FSA  FEES</v>
      </c>
    </row>
    <row r="2664" spans="5:8" x14ac:dyDescent="0.25">
      <c r="E2664" t="str">
        <f>""</f>
        <v/>
      </c>
      <c r="F2664" t="str">
        <f>""</f>
        <v/>
      </c>
      <c r="H2664" t="str">
        <f t="shared" si="56"/>
        <v>TASC - FSA  FEES</v>
      </c>
    </row>
    <row r="2665" spans="5:8" x14ac:dyDescent="0.25">
      <c r="E2665" t="str">
        <f>""</f>
        <v/>
      </c>
      <c r="F2665" t="str">
        <f>""</f>
        <v/>
      </c>
      <c r="H2665" t="str">
        <f t="shared" si="56"/>
        <v>TASC - FSA  FEES</v>
      </c>
    </row>
    <row r="2666" spans="5:8" x14ac:dyDescent="0.25">
      <c r="E2666" t="str">
        <f>""</f>
        <v/>
      </c>
      <c r="F2666" t="str">
        <f>""</f>
        <v/>
      </c>
      <c r="H2666" t="str">
        <f t="shared" si="56"/>
        <v>TASC - FSA  FEES</v>
      </c>
    </row>
    <row r="2667" spans="5:8" x14ac:dyDescent="0.25">
      <c r="E2667" t="str">
        <f>"FSF201901096483"</f>
        <v>FSF201901096483</v>
      </c>
      <c r="F2667" t="str">
        <f>"TASC - FSA  FEES"</f>
        <v>TASC - FSA  FEES</v>
      </c>
      <c r="G2667" s="2">
        <v>12.6</v>
      </c>
      <c r="H2667" t="str">
        <f t="shared" si="56"/>
        <v>TASC - FSA  FEES</v>
      </c>
    </row>
    <row r="2668" spans="5:8" x14ac:dyDescent="0.25">
      <c r="E2668" t="str">
        <f>"HRA201901096477"</f>
        <v>HRA201901096477</v>
      </c>
      <c r="F2668" t="str">
        <f>"TASC HRA"</f>
        <v>TASC HRA</v>
      </c>
      <c r="G2668" s="2">
        <v>1199.96</v>
      </c>
      <c r="H2668" t="str">
        <f>"TASC HRA"</f>
        <v>TASC HRA</v>
      </c>
    </row>
    <row r="2669" spans="5:8" x14ac:dyDescent="0.25">
      <c r="E2669" t="str">
        <f>""</f>
        <v/>
      </c>
      <c r="F2669" t="str">
        <f>""</f>
        <v/>
      </c>
      <c r="H2669" t="str">
        <f>"TASC HRA"</f>
        <v>TASC HRA</v>
      </c>
    </row>
    <row r="2670" spans="5:8" x14ac:dyDescent="0.25">
      <c r="E2670" t="str">
        <f>""</f>
        <v/>
      </c>
      <c r="F2670" t="str">
        <f>""</f>
        <v/>
      </c>
      <c r="H2670" t="str">
        <f>"TASC HRA"</f>
        <v>TASC HRA</v>
      </c>
    </row>
    <row r="2671" spans="5:8" x14ac:dyDescent="0.25">
      <c r="E2671" t="str">
        <f>""</f>
        <v/>
      </c>
      <c r="F2671" t="str">
        <f>""</f>
        <v/>
      </c>
      <c r="H2671" t="str">
        <f>"TASC HRA"</f>
        <v>TASC HRA</v>
      </c>
    </row>
    <row r="2672" spans="5:8" x14ac:dyDescent="0.25">
      <c r="E2672" t="str">
        <f>""</f>
        <v/>
      </c>
      <c r="F2672" t="str">
        <f>""</f>
        <v/>
      </c>
      <c r="H2672" t="str">
        <f>"TASC HRA"</f>
        <v>TASC HRA</v>
      </c>
    </row>
    <row r="2673" spans="5:8" x14ac:dyDescent="0.25">
      <c r="E2673" t="str">
        <f>"HRF201901096477"</f>
        <v>HRF201901096477</v>
      </c>
      <c r="F2673" t="str">
        <f>"TASC - HRA FEES"</f>
        <v>TASC - HRA FEES</v>
      </c>
      <c r="G2673" s="2">
        <v>757.8</v>
      </c>
      <c r="H2673" t="str">
        <f t="shared" ref="H2673:H2704" si="57">"TASC - HRA FEES"</f>
        <v>TASC - HRA FEES</v>
      </c>
    </row>
    <row r="2674" spans="5:8" x14ac:dyDescent="0.25">
      <c r="E2674" t="str">
        <f>""</f>
        <v/>
      </c>
      <c r="F2674" t="str">
        <f>""</f>
        <v/>
      </c>
      <c r="H2674" t="str">
        <f t="shared" si="57"/>
        <v>TASC - HRA FEES</v>
      </c>
    </row>
    <row r="2675" spans="5:8" x14ac:dyDescent="0.25">
      <c r="E2675" t="str">
        <f>""</f>
        <v/>
      </c>
      <c r="F2675" t="str">
        <f>""</f>
        <v/>
      </c>
      <c r="H2675" t="str">
        <f t="shared" si="57"/>
        <v>TASC - HRA FEES</v>
      </c>
    </row>
    <row r="2676" spans="5:8" x14ac:dyDescent="0.25">
      <c r="E2676" t="str">
        <f>""</f>
        <v/>
      </c>
      <c r="F2676" t="str">
        <f>""</f>
        <v/>
      </c>
      <c r="H2676" t="str">
        <f t="shared" si="57"/>
        <v>TASC - HRA FEES</v>
      </c>
    </row>
    <row r="2677" spans="5:8" x14ac:dyDescent="0.25">
      <c r="E2677" t="str">
        <f>""</f>
        <v/>
      </c>
      <c r="F2677" t="str">
        <f>""</f>
        <v/>
      </c>
      <c r="H2677" t="str">
        <f t="shared" si="57"/>
        <v>TASC - HRA FEES</v>
      </c>
    </row>
    <row r="2678" spans="5:8" x14ac:dyDescent="0.25">
      <c r="E2678" t="str">
        <f>""</f>
        <v/>
      </c>
      <c r="F2678" t="str">
        <f>""</f>
        <v/>
      </c>
      <c r="H2678" t="str">
        <f t="shared" si="57"/>
        <v>TASC - HRA FEES</v>
      </c>
    </row>
    <row r="2679" spans="5:8" x14ac:dyDescent="0.25">
      <c r="E2679" t="str">
        <f>""</f>
        <v/>
      </c>
      <c r="F2679" t="str">
        <f>""</f>
        <v/>
      </c>
      <c r="H2679" t="str">
        <f t="shared" si="57"/>
        <v>TASC - HRA FEES</v>
      </c>
    </row>
    <row r="2680" spans="5:8" x14ac:dyDescent="0.25">
      <c r="E2680" t="str">
        <f>""</f>
        <v/>
      </c>
      <c r="F2680" t="str">
        <f>""</f>
        <v/>
      </c>
      <c r="H2680" t="str">
        <f t="shared" si="57"/>
        <v>TASC - HRA FEES</v>
      </c>
    </row>
    <row r="2681" spans="5:8" x14ac:dyDescent="0.25">
      <c r="E2681" t="str">
        <f>""</f>
        <v/>
      </c>
      <c r="F2681" t="str">
        <f>""</f>
        <v/>
      </c>
      <c r="H2681" t="str">
        <f t="shared" si="57"/>
        <v>TASC - HRA FEES</v>
      </c>
    </row>
    <row r="2682" spans="5:8" x14ac:dyDescent="0.25">
      <c r="E2682" t="str">
        <f>""</f>
        <v/>
      </c>
      <c r="F2682" t="str">
        <f>""</f>
        <v/>
      </c>
      <c r="H2682" t="str">
        <f t="shared" si="57"/>
        <v>TASC - HRA FEES</v>
      </c>
    </row>
    <row r="2683" spans="5:8" x14ac:dyDescent="0.25">
      <c r="E2683" t="str">
        <f>""</f>
        <v/>
      </c>
      <c r="F2683" t="str">
        <f>""</f>
        <v/>
      </c>
      <c r="H2683" t="str">
        <f t="shared" si="57"/>
        <v>TASC - HRA FEES</v>
      </c>
    </row>
    <row r="2684" spans="5:8" x14ac:dyDescent="0.25">
      <c r="E2684" t="str">
        <f>""</f>
        <v/>
      </c>
      <c r="F2684" t="str">
        <f>""</f>
        <v/>
      </c>
      <c r="H2684" t="str">
        <f t="shared" si="57"/>
        <v>TASC - HRA FEES</v>
      </c>
    </row>
    <row r="2685" spans="5:8" x14ac:dyDescent="0.25">
      <c r="E2685" t="str">
        <f>""</f>
        <v/>
      </c>
      <c r="F2685" t="str">
        <f>""</f>
        <v/>
      </c>
      <c r="H2685" t="str">
        <f t="shared" si="57"/>
        <v>TASC - HRA FEES</v>
      </c>
    </row>
    <row r="2686" spans="5:8" x14ac:dyDescent="0.25">
      <c r="E2686" t="str">
        <f>""</f>
        <v/>
      </c>
      <c r="F2686" t="str">
        <f>""</f>
        <v/>
      </c>
      <c r="H2686" t="str">
        <f t="shared" si="57"/>
        <v>TASC - HRA FEES</v>
      </c>
    </row>
    <row r="2687" spans="5:8" x14ac:dyDescent="0.25">
      <c r="E2687" t="str">
        <f>""</f>
        <v/>
      </c>
      <c r="F2687" t="str">
        <f>""</f>
        <v/>
      </c>
      <c r="H2687" t="str">
        <f t="shared" si="57"/>
        <v>TASC - HRA FEES</v>
      </c>
    </row>
    <row r="2688" spans="5:8" x14ac:dyDescent="0.25">
      <c r="E2688" t="str">
        <f>""</f>
        <v/>
      </c>
      <c r="F2688" t="str">
        <f>""</f>
        <v/>
      </c>
      <c r="H2688" t="str">
        <f t="shared" si="57"/>
        <v>TASC - HRA FEES</v>
      </c>
    </row>
    <row r="2689" spans="5:8" x14ac:dyDescent="0.25">
      <c r="E2689" t="str">
        <f>""</f>
        <v/>
      </c>
      <c r="F2689" t="str">
        <f>""</f>
        <v/>
      </c>
      <c r="H2689" t="str">
        <f t="shared" si="57"/>
        <v>TASC - HRA FEES</v>
      </c>
    </row>
    <row r="2690" spans="5:8" x14ac:dyDescent="0.25">
      <c r="E2690" t="str">
        <f>""</f>
        <v/>
      </c>
      <c r="F2690" t="str">
        <f>""</f>
        <v/>
      </c>
      <c r="H2690" t="str">
        <f t="shared" si="57"/>
        <v>TASC - HRA FEES</v>
      </c>
    </row>
    <row r="2691" spans="5:8" x14ac:dyDescent="0.25">
      <c r="E2691" t="str">
        <f>""</f>
        <v/>
      </c>
      <c r="F2691" t="str">
        <f>""</f>
        <v/>
      </c>
      <c r="H2691" t="str">
        <f t="shared" si="57"/>
        <v>TASC - HRA FEES</v>
      </c>
    </row>
    <row r="2692" spans="5:8" x14ac:dyDescent="0.25">
      <c r="E2692" t="str">
        <f>""</f>
        <v/>
      </c>
      <c r="F2692" t="str">
        <f>""</f>
        <v/>
      </c>
      <c r="H2692" t="str">
        <f t="shared" si="57"/>
        <v>TASC - HRA FEES</v>
      </c>
    </row>
    <row r="2693" spans="5:8" x14ac:dyDescent="0.25">
      <c r="E2693" t="str">
        <f>""</f>
        <v/>
      </c>
      <c r="F2693" t="str">
        <f>""</f>
        <v/>
      </c>
      <c r="H2693" t="str">
        <f t="shared" si="57"/>
        <v>TASC - HRA FEES</v>
      </c>
    </row>
    <row r="2694" spans="5:8" x14ac:dyDescent="0.25">
      <c r="E2694" t="str">
        <f>""</f>
        <v/>
      </c>
      <c r="F2694" t="str">
        <f>""</f>
        <v/>
      </c>
      <c r="H2694" t="str">
        <f t="shared" si="57"/>
        <v>TASC - HRA FEES</v>
      </c>
    </row>
    <row r="2695" spans="5:8" x14ac:dyDescent="0.25">
      <c r="E2695" t="str">
        <f>""</f>
        <v/>
      </c>
      <c r="F2695" t="str">
        <f>""</f>
        <v/>
      </c>
      <c r="H2695" t="str">
        <f t="shared" si="57"/>
        <v>TASC - HRA FEES</v>
      </c>
    </row>
    <row r="2696" spans="5:8" x14ac:dyDescent="0.25">
      <c r="E2696" t="str">
        <f>""</f>
        <v/>
      </c>
      <c r="F2696" t="str">
        <f>""</f>
        <v/>
      </c>
      <c r="H2696" t="str">
        <f t="shared" si="57"/>
        <v>TASC - HRA FEES</v>
      </c>
    </row>
    <row r="2697" spans="5:8" x14ac:dyDescent="0.25">
      <c r="E2697" t="str">
        <f>""</f>
        <v/>
      </c>
      <c r="F2697" t="str">
        <f>""</f>
        <v/>
      </c>
      <c r="H2697" t="str">
        <f t="shared" si="57"/>
        <v>TASC - HRA FEES</v>
      </c>
    </row>
    <row r="2698" spans="5:8" x14ac:dyDescent="0.25">
      <c r="E2698" t="str">
        <f>""</f>
        <v/>
      </c>
      <c r="F2698" t="str">
        <f>""</f>
        <v/>
      </c>
      <c r="H2698" t="str">
        <f t="shared" si="57"/>
        <v>TASC - HRA FEES</v>
      </c>
    </row>
    <row r="2699" spans="5:8" x14ac:dyDescent="0.25">
      <c r="E2699" t="str">
        <f>""</f>
        <v/>
      </c>
      <c r="F2699" t="str">
        <f>""</f>
        <v/>
      </c>
      <c r="H2699" t="str">
        <f t="shared" si="57"/>
        <v>TASC - HRA FEES</v>
      </c>
    </row>
    <row r="2700" spans="5:8" x14ac:dyDescent="0.25">
      <c r="E2700" t="str">
        <f>""</f>
        <v/>
      </c>
      <c r="F2700" t="str">
        <f>""</f>
        <v/>
      </c>
      <c r="H2700" t="str">
        <f t="shared" si="57"/>
        <v>TASC - HRA FEES</v>
      </c>
    </row>
    <row r="2701" spans="5:8" x14ac:dyDescent="0.25">
      <c r="E2701" t="str">
        <f>""</f>
        <v/>
      </c>
      <c r="F2701" t="str">
        <f>""</f>
        <v/>
      </c>
      <c r="H2701" t="str">
        <f t="shared" si="57"/>
        <v>TASC - HRA FEES</v>
      </c>
    </row>
    <row r="2702" spans="5:8" x14ac:dyDescent="0.25">
      <c r="E2702" t="str">
        <f>""</f>
        <v/>
      </c>
      <c r="F2702" t="str">
        <f>""</f>
        <v/>
      </c>
      <c r="H2702" t="str">
        <f t="shared" si="57"/>
        <v>TASC - HRA FEES</v>
      </c>
    </row>
    <row r="2703" spans="5:8" x14ac:dyDescent="0.25">
      <c r="E2703" t="str">
        <f>""</f>
        <v/>
      </c>
      <c r="F2703" t="str">
        <f>""</f>
        <v/>
      </c>
      <c r="H2703" t="str">
        <f t="shared" si="57"/>
        <v>TASC - HRA FEES</v>
      </c>
    </row>
    <row r="2704" spans="5:8" x14ac:dyDescent="0.25">
      <c r="E2704" t="str">
        <f>""</f>
        <v/>
      </c>
      <c r="F2704" t="str">
        <f>""</f>
        <v/>
      </c>
      <c r="H2704" t="str">
        <f t="shared" si="57"/>
        <v>TASC - HRA FEES</v>
      </c>
    </row>
    <row r="2705" spans="5:8" x14ac:dyDescent="0.25">
      <c r="E2705" t="str">
        <f>""</f>
        <v/>
      </c>
      <c r="F2705" t="str">
        <f>""</f>
        <v/>
      </c>
      <c r="H2705" t="str">
        <f t="shared" ref="H2705:H2723" si="58">"TASC - HRA FEES"</f>
        <v>TASC - HRA FEES</v>
      </c>
    </row>
    <row r="2706" spans="5:8" x14ac:dyDescent="0.25">
      <c r="E2706" t="str">
        <f>""</f>
        <v/>
      </c>
      <c r="F2706" t="str">
        <f>""</f>
        <v/>
      </c>
      <c r="H2706" t="str">
        <f t="shared" si="58"/>
        <v>TASC - HRA FEES</v>
      </c>
    </row>
    <row r="2707" spans="5:8" x14ac:dyDescent="0.25">
      <c r="E2707" t="str">
        <f>""</f>
        <v/>
      </c>
      <c r="F2707" t="str">
        <f>""</f>
        <v/>
      </c>
      <c r="H2707" t="str">
        <f t="shared" si="58"/>
        <v>TASC - HRA FEES</v>
      </c>
    </row>
    <row r="2708" spans="5:8" x14ac:dyDescent="0.25">
      <c r="E2708" t="str">
        <f>""</f>
        <v/>
      </c>
      <c r="F2708" t="str">
        <f>""</f>
        <v/>
      </c>
      <c r="H2708" t="str">
        <f t="shared" si="58"/>
        <v>TASC - HRA FEES</v>
      </c>
    </row>
    <row r="2709" spans="5:8" x14ac:dyDescent="0.25">
      <c r="E2709" t="str">
        <f>""</f>
        <v/>
      </c>
      <c r="F2709" t="str">
        <f>""</f>
        <v/>
      </c>
      <c r="H2709" t="str">
        <f t="shared" si="58"/>
        <v>TASC - HRA FEES</v>
      </c>
    </row>
    <row r="2710" spans="5:8" x14ac:dyDescent="0.25">
      <c r="E2710" t="str">
        <f>""</f>
        <v/>
      </c>
      <c r="F2710" t="str">
        <f>""</f>
        <v/>
      </c>
      <c r="H2710" t="str">
        <f t="shared" si="58"/>
        <v>TASC - HRA FEES</v>
      </c>
    </row>
    <row r="2711" spans="5:8" x14ac:dyDescent="0.25">
      <c r="E2711" t="str">
        <f>""</f>
        <v/>
      </c>
      <c r="F2711" t="str">
        <f>""</f>
        <v/>
      </c>
      <c r="H2711" t="str">
        <f t="shared" si="58"/>
        <v>TASC - HRA FEES</v>
      </c>
    </row>
    <row r="2712" spans="5:8" x14ac:dyDescent="0.25">
      <c r="E2712" t="str">
        <f>""</f>
        <v/>
      </c>
      <c r="F2712" t="str">
        <f>""</f>
        <v/>
      </c>
      <c r="H2712" t="str">
        <f t="shared" si="58"/>
        <v>TASC - HRA FEES</v>
      </c>
    </row>
    <row r="2713" spans="5:8" x14ac:dyDescent="0.25">
      <c r="E2713" t="str">
        <f>""</f>
        <v/>
      </c>
      <c r="F2713" t="str">
        <f>""</f>
        <v/>
      </c>
      <c r="H2713" t="str">
        <f t="shared" si="58"/>
        <v>TASC - HRA FEES</v>
      </c>
    </row>
    <row r="2714" spans="5:8" x14ac:dyDescent="0.25">
      <c r="E2714" t="str">
        <f>""</f>
        <v/>
      </c>
      <c r="F2714" t="str">
        <f>""</f>
        <v/>
      </c>
      <c r="H2714" t="str">
        <f t="shared" si="58"/>
        <v>TASC - HRA FEES</v>
      </c>
    </row>
    <row r="2715" spans="5:8" x14ac:dyDescent="0.25">
      <c r="E2715" t="str">
        <f>""</f>
        <v/>
      </c>
      <c r="F2715" t="str">
        <f>""</f>
        <v/>
      </c>
      <c r="H2715" t="str">
        <f t="shared" si="58"/>
        <v>TASC - HRA FEES</v>
      </c>
    </row>
    <row r="2716" spans="5:8" x14ac:dyDescent="0.25">
      <c r="E2716" t="str">
        <f>""</f>
        <v/>
      </c>
      <c r="F2716" t="str">
        <f>""</f>
        <v/>
      </c>
      <c r="H2716" t="str">
        <f t="shared" si="58"/>
        <v>TASC - HRA FEES</v>
      </c>
    </row>
    <row r="2717" spans="5:8" x14ac:dyDescent="0.25">
      <c r="E2717" t="str">
        <f>""</f>
        <v/>
      </c>
      <c r="F2717" t="str">
        <f>""</f>
        <v/>
      </c>
      <c r="H2717" t="str">
        <f t="shared" si="58"/>
        <v>TASC - HRA FEES</v>
      </c>
    </row>
    <row r="2718" spans="5:8" x14ac:dyDescent="0.25">
      <c r="E2718" t="str">
        <f>""</f>
        <v/>
      </c>
      <c r="F2718" t="str">
        <f>""</f>
        <v/>
      </c>
      <c r="H2718" t="str">
        <f t="shared" si="58"/>
        <v>TASC - HRA FEES</v>
      </c>
    </row>
    <row r="2719" spans="5:8" x14ac:dyDescent="0.25">
      <c r="E2719" t="str">
        <f>""</f>
        <v/>
      </c>
      <c r="F2719" t="str">
        <f>""</f>
        <v/>
      </c>
      <c r="H2719" t="str">
        <f t="shared" si="58"/>
        <v>TASC - HRA FEES</v>
      </c>
    </row>
    <row r="2720" spans="5:8" x14ac:dyDescent="0.25">
      <c r="E2720" t="str">
        <f>""</f>
        <v/>
      </c>
      <c r="F2720" t="str">
        <f>""</f>
        <v/>
      </c>
      <c r="H2720" t="str">
        <f t="shared" si="58"/>
        <v>TASC - HRA FEES</v>
      </c>
    </row>
    <row r="2721" spans="1:8" x14ac:dyDescent="0.25">
      <c r="E2721" t="str">
        <f>""</f>
        <v/>
      </c>
      <c r="F2721" t="str">
        <f>""</f>
        <v/>
      </c>
      <c r="H2721" t="str">
        <f t="shared" si="58"/>
        <v>TASC - HRA FEES</v>
      </c>
    </row>
    <row r="2722" spans="1:8" x14ac:dyDescent="0.25">
      <c r="E2722" t="str">
        <f>"HRF201901096483"</f>
        <v>HRF201901096483</v>
      </c>
      <c r="F2722" t="str">
        <f>"TASC - HRA FEES"</f>
        <v>TASC - HRA FEES</v>
      </c>
      <c r="G2722" s="2">
        <v>28.8</v>
      </c>
      <c r="H2722" t="str">
        <f t="shared" si="58"/>
        <v>TASC - HRA FEES</v>
      </c>
    </row>
    <row r="2723" spans="1:8" x14ac:dyDescent="0.25">
      <c r="A2723" t="s">
        <v>457</v>
      </c>
      <c r="B2723">
        <v>47</v>
      </c>
      <c r="C2723" s="2">
        <v>10040.950000000001</v>
      </c>
      <c r="D2723" s="1">
        <v>43490</v>
      </c>
      <c r="E2723" t="str">
        <f>"HRF201901176708"</f>
        <v>HRF201901176708</v>
      </c>
      <c r="F2723" t="str">
        <f>"TASC - HRA FEES"</f>
        <v>TASC - HRA FEES</v>
      </c>
      <c r="G2723" s="2">
        <v>-1.8</v>
      </c>
      <c r="H2723" t="str">
        <f t="shared" si="58"/>
        <v>TASC - HRA FEES</v>
      </c>
    </row>
    <row r="2724" spans="1:8" x14ac:dyDescent="0.25">
      <c r="E2724" t="str">
        <f>"FSA201901236760"</f>
        <v>FSA201901236760</v>
      </c>
      <c r="F2724" t="str">
        <f>"TASC FSA"</f>
        <v>TASC FSA</v>
      </c>
      <c r="G2724" s="2">
        <v>7822.14</v>
      </c>
      <c r="H2724" t="str">
        <f>"TASC FSA"</f>
        <v>TASC FSA</v>
      </c>
    </row>
    <row r="2725" spans="1:8" x14ac:dyDescent="0.25">
      <c r="E2725" t="str">
        <f>"FSA201901236761"</f>
        <v>FSA201901236761</v>
      </c>
      <c r="F2725" t="str">
        <f>"TASC FSA"</f>
        <v>TASC FSA</v>
      </c>
      <c r="G2725" s="2">
        <v>550.05999999999995</v>
      </c>
      <c r="H2725" t="str">
        <f>"TASC FSA"</f>
        <v>TASC FSA</v>
      </c>
    </row>
    <row r="2726" spans="1:8" x14ac:dyDescent="0.25">
      <c r="E2726" t="str">
        <f>"FSC201901236760"</f>
        <v>FSC201901236760</v>
      </c>
      <c r="F2726" t="str">
        <f>"TASC DEPENDENT CARE"</f>
        <v>TASC DEPENDENT CARE</v>
      </c>
      <c r="G2726" s="2">
        <v>313.95999999999998</v>
      </c>
      <c r="H2726" t="str">
        <f>"TASC DEPENDENT CARE"</f>
        <v>TASC DEPENDENT CARE</v>
      </c>
    </row>
    <row r="2727" spans="1:8" x14ac:dyDescent="0.25">
      <c r="E2727" t="str">
        <f>"FSF201901236760"</f>
        <v>FSF201901236760</v>
      </c>
      <c r="F2727" t="str">
        <f>"TASC - FSA  FEES"</f>
        <v>TASC - FSA  FEES</v>
      </c>
      <c r="G2727" s="2">
        <v>266.39999999999998</v>
      </c>
      <c r="H2727" t="str">
        <f t="shared" ref="H2727:H2764" si="59">"TASC - FSA  FEES"</f>
        <v>TASC - FSA  FEES</v>
      </c>
    </row>
    <row r="2728" spans="1:8" x14ac:dyDescent="0.25">
      <c r="E2728" t="str">
        <f>""</f>
        <v/>
      </c>
      <c r="F2728" t="str">
        <f>""</f>
        <v/>
      </c>
      <c r="H2728" t="str">
        <f t="shared" si="59"/>
        <v>TASC - FSA  FEES</v>
      </c>
    </row>
    <row r="2729" spans="1:8" x14ac:dyDescent="0.25">
      <c r="E2729" t="str">
        <f>""</f>
        <v/>
      </c>
      <c r="F2729" t="str">
        <f>""</f>
        <v/>
      </c>
      <c r="H2729" t="str">
        <f t="shared" si="59"/>
        <v>TASC - FSA  FEES</v>
      </c>
    </row>
    <row r="2730" spans="1:8" x14ac:dyDescent="0.25">
      <c r="E2730" t="str">
        <f>""</f>
        <v/>
      </c>
      <c r="F2730" t="str">
        <f>""</f>
        <v/>
      </c>
      <c r="H2730" t="str">
        <f t="shared" si="59"/>
        <v>TASC - FSA  FEES</v>
      </c>
    </row>
    <row r="2731" spans="1:8" x14ac:dyDescent="0.25">
      <c r="E2731" t="str">
        <f>""</f>
        <v/>
      </c>
      <c r="F2731" t="str">
        <f>""</f>
        <v/>
      </c>
      <c r="H2731" t="str">
        <f t="shared" si="59"/>
        <v>TASC - FSA  FEES</v>
      </c>
    </row>
    <row r="2732" spans="1:8" x14ac:dyDescent="0.25">
      <c r="E2732" t="str">
        <f>""</f>
        <v/>
      </c>
      <c r="F2732" t="str">
        <f>""</f>
        <v/>
      </c>
      <c r="H2732" t="str">
        <f t="shared" si="59"/>
        <v>TASC - FSA  FEES</v>
      </c>
    </row>
    <row r="2733" spans="1:8" x14ac:dyDescent="0.25">
      <c r="E2733" t="str">
        <f>""</f>
        <v/>
      </c>
      <c r="F2733" t="str">
        <f>""</f>
        <v/>
      </c>
      <c r="H2733" t="str">
        <f t="shared" si="59"/>
        <v>TASC - FSA  FEES</v>
      </c>
    </row>
    <row r="2734" spans="1:8" x14ac:dyDescent="0.25">
      <c r="E2734" t="str">
        <f>""</f>
        <v/>
      </c>
      <c r="F2734" t="str">
        <f>""</f>
        <v/>
      </c>
      <c r="H2734" t="str">
        <f t="shared" si="59"/>
        <v>TASC - FSA  FEES</v>
      </c>
    </row>
    <row r="2735" spans="1:8" x14ac:dyDescent="0.25">
      <c r="E2735" t="str">
        <f>""</f>
        <v/>
      </c>
      <c r="F2735" t="str">
        <f>""</f>
        <v/>
      </c>
      <c r="H2735" t="str">
        <f t="shared" si="59"/>
        <v>TASC - FSA  FEES</v>
      </c>
    </row>
    <row r="2736" spans="1:8" x14ac:dyDescent="0.25">
      <c r="E2736" t="str">
        <f>""</f>
        <v/>
      </c>
      <c r="F2736" t="str">
        <f>""</f>
        <v/>
      </c>
      <c r="H2736" t="str">
        <f t="shared" si="59"/>
        <v>TASC - FSA  FEES</v>
      </c>
    </row>
    <row r="2737" spans="5:8" x14ac:dyDescent="0.25">
      <c r="E2737" t="str">
        <f>""</f>
        <v/>
      </c>
      <c r="F2737" t="str">
        <f>""</f>
        <v/>
      </c>
      <c r="H2737" t="str">
        <f t="shared" si="59"/>
        <v>TASC - FSA  FEES</v>
      </c>
    </row>
    <row r="2738" spans="5:8" x14ac:dyDescent="0.25">
      <c r="E2738" t="str">
        <f>""</f>
        <v/>
      </c>
      <c r="F2738" t="str">
        <f>""</f>
        <v/>
      </c>
      <c r="H2738" t="str">
        <f t="shared" si="59"/>
        <v>TASC - FSA  FEES</v>
      </c>
    </row>
    <row r="2739" spans="5:8" x14ac:dyDescent="0.25">
      <c r="E2739" t="str">
        <f>""</f>
        <v/>
      </c>
      <c r="F2739" t="str">
        <f>""</f>
        <v/>
      </c>
      <c r="H2739" t="str">
        <f t="shared" si="59"/>
        <v>TASC - FSA  FEES</v>
      </c>
    </row>
    <row r="2740" spans="5:8" x14ac:dyDescent="0.25">
      <c r="E2740" t="str">
        <f>""</f>
        <v/>
      </c>
      <c r="F2740" t="str">
        <f>""</f>
        <v/>
      </c>
      <c r="H2740" t="str">
        <f t="shared" si="59"/>
        <v>TASC - FSA  FEES</v>
      </c>
    </row>
    <row r="2741" spans="5:8" x14ac:dyDescent="0.25">
      <c r="E2741" t="str">
        <f>""</f>
        <v/>
      </c>
      <c r="F2741" t="str">
        <f>""</f>
        <v/>
      </c>
      <c r="H2741" t="str">
        <f t="shared" si="59"/>
        <v>TASC - FSA  FEES</v>
      </c>
    </row>
    <row r="2742" spans="5:8" x14ac:dyDescent="0.25">
      <c r="E2742" t="str">
        <f>""</f>
        <v/>
      </c>
      <c r="F2742" t="str">
        <f>""</f>
        <v/>
      </c>
      <c r="H2742" t="str">
        <f t="shared" si="59"/>
        <v>TASC - FSA  FEES</v>
      </c>
    </row>
    <row r="2743" spans="5:8" x14ac:dyDescent="0.25">
      <c r="E2743" t="str">
        <f>""</f>
        <v/>
      </c>
      <c r="F2743" t="str">
        <f>""</f>
        <v/>
      </c>
      <c r="H2743" t="str">
        <f t="shared" si="59"/>
        <v>TASC - FSA  FEES</v>
      </c>
    </row>
    <row r="2744" spans="5:8" x14ac:dyDescent="0.25">
      <c r="E2744" t="str">
        <f>""</f>
        <v/>
      </c>
      <c r="F2744" t="str">
        <f>""</f>
        <v/>
      </c>
      <c r="H2744" t="str">
        <f t="shared" si="59"/>
        <v>TASC - FSA  FEES</v>
      </c>
    </row>
    <row r="2745" spans="5:8" x14ac:dyDescent="0.25">
      <c r="E2745" t="str">
        <f>""</f>
        <v/>
      </c>
      <c r="F2745" t="str">
        <f>""</f>
        <v/>
      </c>
      <c r="H2745" t="str">
        <f t="shared" si="59"/>
        <v>TASC - FSA  FEES</v>
      </c>
    </row>
    <row r="2746" spans="5:8" x14ac:dyDescent="0.25">
      <c r="E2746" t="str">
        <f>""</f>
        <v/>
      </c>
      <c r="F2746" t="str">
        <f>""</f>
        <v/>
      </c>
      <c r="H2746" t="str">
        <f t="shared" si="59"/>
        <v>TASC - FSA  FEES</v>
      </c>
    </row>
    <row r="2747" spans="5:8" x14ac:dyDescent="0.25">
      <c r="E2747" t="str">
        <f>""</f>
        <v/>
      </c>
      <c r="F2747" t="str">
        <f>""</f>
        <v/>
      </c>
      <c r="H2747" t="str">
        <f t="shared" si="59"/>
        <v>TASC - FSA  FEES</v>
      </c>
    </row>
    <row r="2748" spans="5:8" x14ac:dyDescent="0.25">
      <c r="E2748" t="str">
        <f>""</f>
        <v/>
      </c>
      <c r="F2748" t="str">
        <f>""</f>
        <v/>
      </c>
      <c r="H2748" t="str">
        <f t="shared" si="59"/>
        <v>TASC - FSA  FEES</v>
      </c>
    </row>
    <row r="2749" spans="5:8" x14ac:dyDescent="0.25">
      <c r="E2749" t="str">
        <f>""</f>
        <v/>
      </c>
      <c r="F2749" t="str">
        <f>""</f>
        <v/>
      </c>
      <c r="H2749" t="str">
        <f t="shared" si="59"/>
        <v>TASC - FSA  FEES</v>
      </c>
    </row>
    <row r="2750" spans="5:8" x14ac:dyDescent="0.25">
      <c r="E2750" t="str">
        <f>""</f>
        <v/>
      </c>
      <c r="F2750" t="str">
        <f>""</f>
        <v/>
      </c>
      <c r="H2750" t="str">
        <f t="shared" si="59"/>
        <v>TASC - FSA  FEES</v>
      </c>
    </row>
    <row r="2751" spans="5:8" x14ac:dyDescent="0.25">
      <c r="E2751" t="str">
        <f>""</f>
        <v/>
      </c>
      <c r="F2751" t="str">
        <f>""</f>
        <v/>
      </c>
      <c r="H2751" t="str">
        <f t="shared" si="59"/>
        <v>TASC - FSA  FEES</v>
      </c>
    </row>
    <row r="2752" spans="5:8" x14ac:dyDescent="0.25">
      <c r="E2752" t="str">
        <f>""</f>
        <v/>
      </c>
      <c r="F2752" t="str">
        <f>""</f>
        <v/>
      </c>
      <c r="H2752" t="str">
        <f t="shared" si="59"/>
        <v>TASC - FSA  FEES</v>
      </c>
    </row>
    <row r="2753" spans="5:8" x14ac:dyDescent="0.25">
      <c r="E2753" t="str">
        <f>""</f>
        <v/>
      </c>
      <c r="F2753" t="str">
        <f>""</f>
        <v/>
      </c>
      <c r="H2753" t="str">
        <f t="shared" si="59"/>
        <v>TASC - FSA  FEES</v>
      </c>
    </row>
    <row r="2754" spans="5:8" x14ac:dyDescent="0.25">
      <c r="E2754" t="str">
        <f>""</f>
        <v/>
      </c>
      <c r="F2754" t="str">
        <f>""</f>
        <v/>
      </c>
      <c r="H2754" t="str">
        <f t="shared" si="59"/>
        <v>TASC - FSA  FEES</v>
      </c>
    </row>
    <row r="2755" spans="5:8" x14ac:dyDescent="0.25">
      <c r="E2755" t="str">
        <f>""</f>
        <v/>
      </c>
      <c r="F2755" t="str">
        <f>""</f>
        <v/>
      </c>
      <c r="H2755" t="str">
        <f t="shared" si="59"/>
        <v>TASC - FSA  FEES</v>
      </c>
    </row>
    <row r="2756" spans="5:8" x14ac:dyDescent="0.25">
      <c r="E2756" t="str">
        <f>""</f>
        <v/>
      </c>
      <c r="F2756" t="str">
        <f>""</f>
        <v/>
      </c>
      <c r="H2756" t="str">
        <f t="shared" si="59"/>
        <v>TASC - FSA  FEES</v>
      </c>
    </row>
    <row r="2757" spans="5:8" x14ac:dyDescent="0.25">
      <c r="E2757" t="str">
        <f>""</f>
        <v/>
      </c>
      <c r="F2757" t="str">
        <f>""</f>
        <v/>
      </c>
      <c r="H2757" t="str">
        <f t="shared" si="59"/>
        <v>TASC - FSA  FEES</v>
      </c>
    </row>
    <row r="2758" spans="5:8" x14ac:dyDescent="0.25">
      <c r="E2758" t="str">
        <f>""</f>
        <v/>
      </c>
      <c r="F2758" t="str">
        <f>""</f>
        <v/>
      </c>
      <c r="H2758" t="str">
        <f t="shared" si="59"/>
        <v>TASC - FSA  FEES</v>
      </c>
    </row>
    <row r="2759" spans="5:8" x14ac:dyDescent="0.25">
      <c r="E2759" t="str">
        <f>""</f>
        <v/>
      </c>
      <c r="F2759" t="str">
        <f>""</f>
        <v/>
      </c>
      <c r="H2759" t="str">
        <f t="shared" si="59"/>
        <v>TASC - FSA  FEES</v>
      </c>
    </row>
    <row r="2760" spans="5:8" x14ac:dyDescent="0.25">
      <c r="E2760" t="str">
        <f>""</f>
        <v/>
      </c>
      <c r="F2760" t="str">
        <f>""</f>
        <v/>
      </c>
      <c r="H2760" t="str">
        <f t="shared" si="59"/>
        <v>TASC - FSA  FEES</v>
      </c>
    </row>
    <row r="2761" spans="5:8" x14ac:dyDescent="0.25">
      <c r="E2761" t="str">
        <f>""</f>
        <v/>
      </c>
      <c r="F2761" t="str">
        <f>""</f>
        <v/>
      </c>
      <c r="H2761" t="str">
        <f t="shared" si="59"/>
        <v>TASC - FSA  FEES</v>
      </c>
    </row>
    <row r="2762" spans="5:8" x14ac:dyDescent="0.25">
      <c r="E2762" t="str">
        <f>""</f>
        <v/>
      </c>
      <c r="F2762" t="str">
        <f>""</f>
        <v/>
      </c>
      <c r="H2762" t="str">
        <f t="shared" si="59"/>
        <v>TASC - FSA  FEES</v>
      </c>
    </row>
    <row r="2763" spans="5:8" x14ac:dyDescent="0.25">
      <c r="E2763" t="str">
        <f>""</f>
        <v/>
      </c>
      <c r="F2763" t="str">
        <f>""</f>
        <v/>
      </c>
      <c r="H2763" t="str">
        <f t="shared" si="59"/>
        <v>TASC - FSA  FEES</v>
      </c>
    </row>
    <row r="2764" spans="5:8" x14ac:dyDescent="0.25">
      <c r="E2764" t="str">
        <f>"FSF201901236761"</f>
        <v>FSF201901236761</v>
      </c>
      <c r="F2764" t="str">
        <f>"TASC - FSA  FEES"</f>
        <v>TASC - FSA  FEES</v>
      </c>
      <c r="G2764" s="2">
        <v>12.6</v>
      </c>
      <c r="H2764" t="str">
        <f t="shared" si="59"/>
        <v>TASC - FSA  FEES</v>
      </c>
    </row>
    <row r="2765" spans="5:8" x14ac:dyDescent="0.25">
      <c r="E2765" t="str">
        <f>"HRA201901236760"</f>
        <v>HRA201901236760</v>
      </c>
      <c r="F2765" t="str">
        <f>"TASC HRA"</f>
        <v>TASC HRA</v>
      </c>
      <c r="G2765" s="2">
        <v>299.99</v>
      </c>
      <c r="H2765" t="str">
        <f>"TASC HRA"</f>
        <v>TASC HRA</v>
      </c>
    </row>
    <row r="2766" spans="5:8" x14ac:dyDescent="0.25">
      <c r="E2766" t="str">
        <f>""</f>
        <v/>
      </c>
      <c r="F2766" t="str">
        <f>""</f>
        <v/>
      </c>
      <c r="H2766" t="str">
        <f>"TASC HRA"</f>
        <v>TASC HRA</v>
      </c>
    </row>
    <row r="2767" spans="5:8" x14ac:dyDescent="0.25">
      <c r="E2767" t="str">
        <f>"HRF201901236760"</f>
        <v>HRF201901236760</v>
      </c>
      <c r="F2767" t="str">
        <f>"TASC - HRA FEES"</f>
        <v>TASC - HRA FEES</v>
      </c>
      <c r="G2767" s="2">
        <v>748.8</v>
      </c>
      <c r="H2767" t="str">
        <f t="shared" ref="H2767:H2798" si="60">"TASC - HRA FEES"</f>
        <v>TASC - HRA FEES</v>
      </c>
    </row>
    <row r="2768" spans="5:8" x14ac:dyDescent="0.25">
      <c r="E2768" t="str">
        <f>""</f>
        <v/>
      </c>
      <c r="F2768" t="str">
        <f>""</f>
        <v/>
      </c>
      <c r="H2768" t="str">
        <f t="shared" si="60"/>
        <v>TASC - HRA FEES</v>
      </c>
    </row>
    <row r="2769" spans="5:8" x14ac:dyDescent="0.25">
      <c r="E2769" t="str">
        <f>""</f>
        <v/>
      </c>
      <c r="F2769" t="str">
        <f>""</f>
        <v/>
      </c>
      <c r="H2769" t="str">
        <f t="shared" si="60"/>
        <v>TASC - HRA FEES</v>
      </c>
    </row>
    <row r="2770" spans="5:8" x14ac:dyDescent="0.25">
      <c r="E2770" t="str">
        <f>""</f>
        <v/>
      </c>
      <c r="F2770" t="str">
        <f>""</f>
        <v/>
      </c>
      <c r="H2770" t="str">
        <f t="shared" si="60"/>
        <v>TASC - HRA FEES</v>
      </c>
    </row>
    <row r="2771" spans="5:8" x14ac:dyDescent="0.25">
      <c r="E2771" t="str">
        <f>""</f>
        <v/>
      </c>
      <c r="F2771" t="str">
        <f>""</f>
        <v/>
      </c>
      <c r="H2771" t="str">
        <f t="shared" si="60"/>
        <v>TASC - HRA FEES</v>
      </c>
    </row>
    <row r="2772" spans="5:8" x14ac:dyDescent="0.25">
      <c r="E2772" t="str">
        <f>""</f>
        <v/>
      </c>
      <c r="F2772" t="str">
        <f>""</f>
        <v/>
      </c>
      <c r="H2772" t="str">
        <f t="shared" si="60"/>
        <v>TASC - HRA FEES</v>
      </c>
    </row>
    <row r="2773" spans="5:8" x14ac:dyDescent="0.25">
      <c r="E2773" t="str">
        <f>""</f>
        <v/>
      </c>
      <c r="F2773" t="str">
        <f>""</f>
        <v/>
      </c>
      <c r="H2773" t="str">
        <f t="shared" si="60"/>
        <v>TASC - HRA FEES</v>
      </c>
    </row>
    <row r="2774" spans="5:8" x14ac:dyDescent="0.25">
      <c r="E2774" t="str">
        <f>""</f>
        <v/>
      </c>
      <c r="F2774" t="str">
        <f>""</f>
        <v/>
      </c>
      <c r="H2774" t="str">
        <f t="shared" si="60"/>
        <v>TASC - HRA FEES</v>
      </c>
    </row>
    <row r="2775" spans="5:8" x14ac:dyDescent="0.25">
      <c r="E2775" t="str">
        <f>""</f>
        <v/>
      </c>
      <c r="F2775" t="str">
        <f>""</f>
        <v/>
      </c>
      <c r="H2775" t="str">
        <f t="shared" si="60"/>
        <v>TASC - HRA FEES</v>
      </c>
    </row>
    <row r="2776" spans="5:8" x14ac:dyDescent="0.25">
      <c r="E2776" t="str">
        <f>""</f>
        <v/>
      </c>
      <c r="F2776" t="str">
        <f>""</f>
        <v/>
      </c>
      <c r="H2776" t="str">
        <f t="shared" si="60"/>
        <v>TASC - HRA FEES</v>
      </c>
    </row>
    <row r="2777" spans="5:8" x14ac:dyDescent="0.25">
      <c r="E2777" t="str">
        <f>""</f>
        <v/>
      </c>
      <c r="F2777" t="str">
        <f>""</f>
        <v/>
      </c>
      <c r="H2777" t="str">
        <f t="shared" si="60"/>
        <v>TASC - HRA FEES</v>
      </c>
    </row>
    <row r="2778" spans="5:8" x14ac:dyDescent="0.25">
      <c r="E2778" t="str">
        <f>""</f>
        <v/>
      </c>
      <c r="F2778" t="str">
        <f>""</f>
        <v/>
      </c>
      <c r="H2778" t="str">
        <f t="shared" si="60"/>
        <v>TASC - HRA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60"/>
        <v>TASC - HRA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60"/>
        <v>TASC - HRA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60"/>
        <v>TASC - HRA FEES</v>
      </c>
    </row>
    <row r="2782" spans="5:8" x14ac:dyDescent="0.25">
      <c r="E2782" t="str">
        <f>""</f>
        <v/>
      </c>
      <c r="F2782" t="str">
        <f>""</f>
        <v/>
      </c>
      <c r="H2782" t="str">
        <f t="shared" si="60"/>
        <v>TASC - HRA FEES</v>
      </c>
    </row>
    <row r="2783" spans="5:8" x14ac:dyDescent="0.25">
      <c r="E2783" t="str">
        <f>""</f>
        <v/>
      </c>
      <c r="F2783" t="str">
        <f>""</f>
        <v/>
      </c>
      <c r="H2783" t="str">
        <f t="shared" si="60"/>
        <v>TASC - HRA FEES</v>
      </c>
    </row>
    <row r="2784" spans="5:8" x14ac:dyDescent="0.25">
      <c r="E2784" t="str">
        <f>""</f>
        <v/>
      </c>
      <c r="F2784" t="str">
        <f>""</f>
        <v/>
      </c>
      <c r="H2784" t="str">
        <f t="shared" si="60"/>
        <v>TASC - HRA FEES</v>
      </c>
    </row>
    <row r="2785" spans="5:8" x14ac:dyDescent="0.25">
      <c r="E2785" t="str">
        <f>""</f>
        <v/>
      </c>
      <c r="F2785" t="str">
        <f>""</f>
        <v/>
      </c>
      <c r="H2785" t="str">
        <f t="shared" si="60"/>
        <v>TASC - HRA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60"/>
        <v>TASC - HRA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60"/>
        <v>TASC - HRA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60"/>
        <v>TASC - HRA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60"/>
        <v>TASC - HRA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60"/>
        <v>TASC - HRA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60"/>
        <v>TASC - HRA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60"/>
        <v>TASC - HRA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60"/>
        <v>TASC - HRA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60"/>
        <v>TASC - HRA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60"/>
        <v>TASC - HRA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60"/>
        <v>TASC - HRA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60"/>
        <v>TASC - HRA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60"/>
        <v>TASC - HRA FEES</v>
      </c>
    </row>
    <row r="2799" spans="5:8" x14ac:dyDescent="0.25">
      <c r="E2799" t="str">
        <f>""</f>
        <v/>
      </c>
      <c r="F2799" t="str">
        <f>""</f>
        <v/>
      </c>
      <c r="H2799" t="str">
        <f t="shared" ref="H2799:H2816" si="61">"TASC - HRA FEES"</f>
        <v>TASC - HRA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61"/>
        <v>TASC - HRA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61"/>
        <v>TASC - HRA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61"/>
        <v>TASC - HRA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61"/>
        <v>TASC - HRA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61"/>
        <v>TASC - HRA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61"/>
        <v>TASC - HRA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61"/>
        <v>TASC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61"/>
        <v>TASC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61"/>
        <v>TASC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61"/>
        <v>TASC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61"/>
        <v>TASC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61"/>
        <v>TASC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61"/>
        <v>TASC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61"/>
        <v>TASC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61"/>
        <v>TASC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61"/>
        <v>TASC - HRA FEES</v>
      </c>
    </row>
    <row r="2816" spans="5:8" x14ac:dyDescent="0.25">
      <c r="E2816" t="str">
        <f>"HRF201901236761"</f>
        <v>HRF201901236761</v>
      </c>
      <c r="F2816" t="str">
        <f>"TASC - HRA FEES"</f>
        <v>TASC - HRA FEES</v>
      </c>
      <c r="G2816" s="2">
        <v>28.8</v>
      </c>
      <c r="H2816" t="str">
        <f t="shared" si="61"/>
        <v>TASC - HRA FEES</v>
      </c>
    </row>
    <row r="2817" spans="1:8" x14ac:dyDescent="0.25">
      <c r="A2817" t="s">
        <v>546</v>
      </c>
      <c r="B2817">
        <v>34</v>
      </c>
      <c r="C2817" s="2">
        <v>3963.71</v>
      </c>
      <c r="D2817" s="1">
        <v>43476</v>
      </c>
      <c r="E2817" t="str">
        <f>"C18201901096483"</f>
        <v>C18201901096483</v>
      </c>
      <c r="F2817" t="str">
        <f>"CAUSE# 0011635329"</f>
        <v>CAUSE# 0011635329</v>
      </c>
      <c r="G2817" s="2">
        <v>603.23</v>
      </c>
      <c r="H2817" t="str">
        <f>"CAUSE# 0011635329"</f>
        <v>CAUSE# 0011635329</v>
      </c>
    </row>
    <row r="2818" spans="1:8" x14ac:dyDescent="0.25">
      <c r="E2818" t="str">
        <f>"C2 201901096483"</f>
        <v>C2 201901096483</v>
      </c>
      <c r="F2818" t="str">
        <f>"0012982132CCL7445"</f>
        <v>0012982132CCL7445</v>
      </c>
      <c r="G2818" s="2">
        <v>692.31</v>
      </c>
      <c r="H2818" t="str">
        <f>"0012982132CCL7445"</f>
        <v>0012982132CCL7445</v>
      </c>
    </row>
    <row r="2819" spans="1:8" x14ac:dyDescent="0.25">
      <c r="E2819" t="str">
        <f>"C20201901096477"</f>
        <v>C20201901096477</v>
      </c>
      <c r="F2819" t="str">
        <f>"001003981107-12252"</f>
        <v>001003981107-12252</v>
      </c>
      <c r="G2819" s="2">
        <v>115.39</v>
      </c>
      <c r="H2819" t="str">
        <f>"001003981107-12252"</f>
        <v>001003981107-12252</v>
      </c>
    </row>
    <row r="2820" spans="1:8" x14ac:dyDescent="0.25">
      <c r="E2820" t="str">
        <f>"C42201901096477"</f>
        <v>C42201901096477</v>
      </c>
      <c r="F2820" t="str">
        <f>"001236769211-14410"</f>
        <v>001236769211-14410</v>
      </c>
      <c r="G2820" s="2">
        <v>230.31</v>
      </c>
      <c r="H2820" t="str">
        <f>"001236769211-14410"</f>
        <v>001236769211-14410</v>
      </c>
    </row>
    <row r="2821" spans="1:8" x14ac:dyDescent="0.25">
      <c r="E2821" t="str">
        <f>"C46201901096477"</f>
        <v>C46201901096477</v>
      </c>
      <c r="F2821" t="str">
        <f>"CAUSE# 11-14911"</f>
        <v>CAUSE# 11-14911</v>
      </c>
      <c r="G2821" s="2">
        <v>238.62</v>
      </c>
      <c r="H2821" t="str">
        <f>"CAUSE# 11-14911"</f>
        <v>CAUSE# 11-14911</v>
      </c>
    </row>
    <row r="2822" spans="1:8" x14ac:dyDescent="0.25">
      <c r="E2822" t="str">
        <f>"C53201901096477"</f>
        <v>C53201901096477</v>
      </c>
      <c r="F2822" t="str">
        <f>"0012453366"</f>
        <v>0012453366</v>
      </c>
      <c r="G2822" s="2">
        <v>138.46</v>
      </c>
      <c r="H2822" t="str">
        <f>"0012453366"</f>
        <v>0012453366</v>
      </c>
    </row>
    <row r="2823" spans="1:8" x14ac:dyDescent="0.25">
      <c r="E2823" t="str">
        <f>"C60201901096477"</f>
        <v>C60201901096477</v>
      </c>
      <c r="F2823" t="str">
        <f>"00130730762012V300"</f>
        <v>00130730762012V300</v>
      </c>
      <c r="G2823" s="2">
        <v>399.32</v>
      </c>
      <c r="H2823" t="str">
        <f>"00130730762012V300"</f>
        <v>00130730762012V300</v>
      </c>
    </row>
    <row r="2824" spans="1:8" x14ac:dyDescent="0.25">
      <c r="E2824" t="str">
        <f>"C62201901096477"</f>
        <v>C62201901096477</v>
      </c>
      <c r="F2824" t="str">
        <f>"# 0012128865"</f>
        <v># 0012128865</v>
      </c>
      <c r="G2824" s="2">
        <v>243.23</v>
      </c>
      <c r="H2824" t="str">
        <f>"# 0012128865"</f>
        <v># 0012128865</v>
      </c>
    </row>
    <row r="2825" spans="1:8" x14ac:dyDescent="0.25">
      <c r="E2825" t="str">
        <f>"C66201901096477"</f>
        <v>C66201901096477</v>
      </c>
      <c r="F2825" t="str">
        <f>"# 0012871801"</f>
        <v># 0012871801</v>
      </c>
      <c r="G2825" s="2">
        <v>90</v>
      </c>
      <c r="H2825" t="str">
        <f>"# 0012871801"</f>
        <v># 0012871801</v>
      </c>
    </row>
    <row r="2826" spans="1:8" x14ac:dyDescent="0.25">
      <c r="E2826" t="str">
        <f>"C66201901096487"</f>
        <v>C66201901096487</v>
      </c>
      <c r="F2826" t="str">
        <f>"CAUSE#D1FM13007058"</f>
        <v>CAUSE#D1FM13007058</v>
      </c>
      <c r="G2826" s="2">
        <v>138.46</v>
      </c>
      <c r="H2826" t="str">
        <f>"CAUSE#D1FM13007058"</f>
        <v>CAUSE#D1FM13007058</v>
      </c>
    </row>
    <row r="2827" spans="1:8" x14ac:dyDescent="0.25">
      <c r="E2827" t="str">
        <f>"C69201901096477"</f>
        <v>C69201901096477</v>
      </c>
      <c r="F2827" t="str">
        <f>"0012046911423672"</f>
        <v>0012046911423672</v>
      </c>
      <c r="G2827" s="2">
        <v>187.38</v>
      </c>
      <c r="H2827" t="str">
        <f>"0012046911423672"</f>
        <v>0012046911423672</v>
      </c>
    </row>
    <row r="2828" spans="1:8" x14ac:dyDescent="0.25">
      <c r="E2828" t="str">
        <f>"C70201901096477"</f>
        <v>C70201901096477</v>
      </c>
      <c r="F2828" t="str">
        <f>"00136881334235026"</f>
        <v>00136881334235026</v>
      </c>
      <c r="G2828" s="2">
        <v>257.45999999999998</v>
      </c>
      <c r="H2828" t="str">
        <f>"00136881334235026"</f>
        <v>00136881334235026</v>
      </c>
    </row>
    <row r="2829" spans="1:8" x14ac:dyDescent="0.25">
      <c r="E2829" t="str">
        <f>"C71201901096477"</f>
        <v>C71201901096477</v>
      </c>
      <c r="F2829" t="str">
        <f>"00137390532018V215"</f>
        <v>00137390532018V215</v>
      </c>
      <c r="G2829" s="2">
        <v>276.92</v>
      </c>
      <c r="H2829" t="str">
        <f>"00137390532018V215"</f>
        <v>00137390532018V215</v>
      </c>
    </row>
    <row r="2830" spans="1:8" x14ac:dyDescent="0.25">
      <c r="E2830" t="str">
        <f>"C72201901096477"</f>
        <v>C72201901096477</v>
      </c>
      <c r="F2830" t="str">
        <f>"0012797601C20130529B"</f>
        <v>0012797601C20130529B</v>
      </c>
      <c r="G2830" s="2">
        <v>241.85</v>
      </c>
      <c r="H2830" t="str">
        <f>"0012797601C20130529B"</f>
        <v>0012797601C20130529B</v>
      </c>
    </row>
    <row r="2831" spans="1:8" x14ac:dyDescent="0.25">
      <c r="E2831" t="str">
        <f>"C75201901096477"</f>
        <v>C75201901096477</v>
      </c>
      <c r="F2831" t="str">
        <f>"0011203766D1AG060016"</f>
        <v>0011203766D1AG060016</v>
      </c>
      <c r="G2831" s="2">
        <v>6.92</v>
      </c>
      <c r="H2831" t="str">
        <f>"0011203766D1AG060016"</f>
        <v>0011203766D1AG060016</v>
      </c>
    </row>
    <row r="2832" spans="1:8" x14ac:dyDescent="0.25">
      <c r="E2832" t="str">
        <f>"C76201901096477"</f>
        <v>C76201901096477</v>
      </c>
      <c r="F2832" t="str">
        <f>"00126801111316135"</f>
        <v>00126801111316135</v>
      </c>
      <c r="G2832" s="2">
        <v>103.85</v>
      </c>
      <c r="H2832" t="str">
        <f>"00126801111316135"</f>
        <v>00126801111316135</v>
      </c>
    </row>
    <row r="2833" spans="1:8" x14ac:dyDescent="0.25">
      <c r="A2833" t="s">
        <v>546</v>
      </c>
      <c r="B2833">
        <v>46</v>
      </c>
      <c r="C2833" s="2">
        <v>3963.71</v>
      </c>
      <c r="D2833" s="1">
        <v>43490</v>
      </c>
      <c r="E2833" t="str">
        <f>"C18201901236761"</f>
        <v>C18201901236761</v>
      </c>
      <c r="F2833" t="str">
        <f>"CAUSE# 0011635329"</f>
        <v>CAUSE# 0011635329</v>
      </c>
      <c r="G2833" s="2">
        <v>603.23</v>
      </c>
      <c r="H2833" t="str">
        <f>"CAUSE# 0011635329"</f>
        <v>CAUSE# 0011635329</v>
      </c>
    </row>
    <row r="2834" spans="1:8" x14ac:dyDescent="0.25">
      <c r="E2834" t="str">
        <f>"C2 201901236761"</f>
        <v>C2 201901236761</v>
      </c>
      <c r="F2834" t="str">
        <f>"0012982132CCL7445"</f>
        <v>0012982132CCL7445</v>
      </c>
      <c r="G2834" s="2">
        <v>692.31</v>
      </c>
      <c r="H2834" t="str">
        <f>"0012982132CCL7445"</f>
        <v>0012982132CCL7445</v>
      </c>
    </row>
    <row r="2835" spans="1:8" x14ac:dyDescent="0.25">
      <c r="E2835" t="str">
        <f>"C20201901236760"</f>
        <v>C20201901236760</v>
      </c>
      <c r="F2835" t="str">
        <f>"001003981107-12252"</f>
        <v>001003981107-12252</v>
      </c>
      <c r="G2835" s="2">
        <v>115.39</v>
      </c>
      <c r="H2835" t="str">
        <f>"001003981107-12252"</f>
        <v>001003981107-12252</v>
      </c>
    </row>
    <row r="2836" spans="1:8" x14ac:dyDescent="0.25">
      <c r="E2836" t="str">
        <f>"C42201901236760"</f>
        <v>C42201901236760</v>
      </c>
      <c r="F2836" t="str">
        <f>"001236769211-14410"</f>
        <v>001236769211-14410</v>
      </c>
      <c r="G2836" s="2">
        <v>230.31</v>
      </c>
      <c r="H2836" t="str">
        <f>"001236769211-14410"</f>
        <v>001236769211-14410</v>
      </c>
    </row>
    <row r="2837" spans="1:8" x14ac:dyDescent="0.25">
      <c r="E2837" t="str">
        <f>"C46201901236760"</f>
        <v>C46201901236760</v>
      </c>
      <c r="F2837" t="str">
        <f>"CAUSE# 11-14911"</f>
        <v>CAUSE# 11-14911</v>
      </c>
      <c r="G2837" s="2">
        <v>238.62</v>
      </c>
      <c r="H2837" t="str">
        <f>"CAUSE# 11-14911"</f>
        <v>CAUSE# 11-14911</v>
      </c>
    </row>
    <row r="2838" spans="1:8" x14ac:dyDescent="0.25">
      <c r="E2838" t="str">
        <f>"C53201901236760"</f>
        <v>C53201901236760</v>
      </c>
      <c r="F2838" t="str">
        <f>"0012453366"</f>
        <v>0012453366</v>
      </c>
      <c r="G2838" s="2">
        <v>138.46</v>
      </c>
      <c r="H2838" t="str">
        <f>"0012453366"</f>
        <v>0012453366</v>
      </c>
    </row>
    <row r="2839" spans="1:8" x14ac:dyDescent="0.25">
      <c r="E2839" t="str">
        <f>"C60201901236760"</f>
        <v>C60201901236760</v>
      </c>
      <c r="F2839" t="str">
        <f>"00130730762012V300"</f>
        <v>00130730762012V300</v>
      </c>
      <c r="G2839" s="2">
        <v>399.32</v>
      </c>
      <c r="H2839" t="str">
        <f>"00130730762012V300"</f>
        <v>00130730762012V300</v>
      </c>
    </row>
    <row r="2840" spans="1:8" x14ac:dyDescent="0.25">
      <c r="E2840" t="str">
        <f>"C62201901236760"</f>
        <v>C62201901236760</v>
      </c>
      <c r="F2840" t="str">
        <f>"# 0012128865"</f>
        <v># 0012128865</v>
      </c>
      <c r="G2840" s="2">
        <v>243.23</v>
      </c>
      <c r="H2840" t="str">
        <f>"# 0012128865"</f>
        <v># 0012128865</v>
      </c>
    </row>
    <row r="2841" spans="1:8" x14ac:dyDescent="0.25">
      <c r="E2841" t="str">
        <f>"C66201901236760"</f>
        <v>C66201901236760</v>
      </c>
      <c r="F2841" t="str">
        <f>"# 0012871801"</f>
        <v># 0012871801</v>
      </c>
      <c r="G2841" s="2">
        <v>90</v>
      </c>
      <c r="H2841" t="str">
        <f>"# 0012871801"</f>
        <v># 0012871801</v>
      </c>
    </row>
    <row r="2842" spans="1:8" x14ac:dyDescent="0.25">
      <c r="E2842" t="str">
        <f>"C66201901236762"</f>
        <v>C66201901236762</v>
      </c>
      <c r="F2842" t="str">
        <f>"CAUSE#D1FM13007058"</f>
        <v>CAUSE#D1FM13007058</v>
      </c>
      <c r="G2842" s="2">
        <v>138.46</v>
      </c>
      <c r="H2842" t="str">
        <f>"CAUSE#D1FM13007058"</f>
        <v>CAUSE#D1FM13007058</v>
      </c>
    </row>
    <row r="2843" spans="1:8" x14ac:dyDescent="0.25">
      <c r="E2843" t="str">
        <f>"C69201901236760"</f>
        <v>C69201901236760</v>
      </c>
      <c r="F2843" t="str">
        <f>"0012046911423672"</f>
        <v>0012046911423672</v>
      </c>
      <c r="G2843" s="2">
        <v>187.38</v>
      </c>
      <c r="H2843" t="str">
        <f>"0012046911423672"</f>
        <v>0012046911423672</v>
      </c>
    </row>
    <row r="2844" spans="1:8" x14ac:dyDescent="0.25">
      <c r="E2844" t="str">
        <f>"C70201901236760"</f>
        <v>C70201901236760</v>
      </c>
      <c r="F2844" t="str">
        <f>"00136881334235026"</f>
        <v>00136881334235026</v>
      </c>
      <c r="G2844" s="2">
        <v>257.45999999999998</v>
      </c>
      <c r="H2844" t="str">
        <f>"00136881334235026"</f>
        <v>00136881334235026</v>
      </c>
    </row>
    <row r="2845" spans="1:8" x14ac:dyDescent="0.25">
      <c r="E2845" t="str">
        <f>"C71201901236760"</f>
        <v>C71201901236760</v>
      </c>
      <c r="F2845" t="str">
        <f>"00137390532018V215"</f>
        <v>00137390532018V215</v>
      </c>
      <c r="G2845" s="2">
        <v>276.92</v>
      </c>
      <c r="H2845" t="str">
        <f>"00137390532018V215"</f>
        <v>00137390532018V215</v>
      </c>
    </row>
    <row r="2846" spans="1:8" x14ac:dyDescent="0.25">
      <c r="E2846" t="str">
        <f>"C72201901236760"</f>
        <v>C72201901236760</v>
      </c>
      <c r="F2846" t="str">
        <f>"0012797601C20130529B"</f>
        <v>0012797601C20130529B</v>
      </c>
      <c r="G2846" s="2">
        <v>241.85</v>
      </c>
      <c r="H2846" t="str">
        <f>"0012797601C20130529B"</f>
        <v>0012797601C20130529B</v>
      </c>
    </row>
    <row r="2847" spans="1:8" x14ac:dyDescent="0.25">
      <c r="E2847" t="str">
        <f>"C75201901236760"</f>
        <v>C75201901236760</v>
      </c>
      <c r="F2847" t="str">
        <f>"0011203766D1AG060016"</f>
        <v>0011203766D1AG060016</v>
      </c>
      <c r="G2847" s="2">
        <v>6.92</v>
      </c>
      <c r="H2847" t="str">
        <f>"0011203766D1AG060016"</f>
        <v>0011203766D1AG060016</v>
      </c>
    </row>
    <row r="2848" spans="1:8" x14ac:dyDescent="0.25">
      <c r="E2848" t="str">
        <f>"C76201901236760"</f>
        <v>C76201901236760</v>
      </c>
      <c r="F2848" t="str">
        <f>"00126801111316135"</f>
        <v>00126801111316135</v>
      </c>
      <c r="G2848" s="2">
        <v>103.85</v>
      </c>
      <c r="H2848" t="str">
        <f>"00126801111316135"</f>
        <v>00126801111316135</v>
      </c>
    </row>
    <row r="2849" spans="1:8" x14ac:dyDescent="0.25">
      <c r="A2849" t="s">
        <v>547</v>
      </c>
      <c r="B2849">
        <v>48</v>
      </c>
      <c r="C2849" s="2">
        <v>337120.69</v>
      </c>
      <c r="D2849" s="1">
        <v>43490</v>
      </c>
      <c r="E2849" t="str">
        <f>"RET201901096477"</f>
        <v>RET201901096477</v>
      </c>
      <c r="F2849" t="str">
        <f>"TEXAS COUNTY &amp; DISTRICT RET"</f>
        <v>TEXAS COUNTY &amp; DISTRICT RET</v>
      </c>
      <c r="G2849" s="2">
        <v>154017.87</v>
      </c>
      <c r="H2849" t="str">
        <f t="shared" ref="H2849:H2880" si="62">"TEXAS COUNTY &amp; DISTRICT RET"</f>
        <v>TEXAS COUNTY &amp; DISTRICT RET</v>
      </c>
    </row>
    <row r="2850" spans="1:8" x14ac:dyDescent="0.25">
      <c r="E2850" t="str">
        <f>""</f>
        <v/>
      </c>
      <c r="F2850" t="str">
        <f>""</f>
        <v/>
      </c>
      <c r="H2850" t="str">
        <f t="shared" si="62"/>
        <v>TEXAS COUNTY &amp; DISTRICT RET</v>
      </c>
    </row>
    <row r="2851" spans="1:8" x14ac:dyDescent="0.25">
      <c r="E2851" t="str">
        <f>""</f>
        <v/>
      </c>
      <c r="F2851" t="str">
        <f>""</f>
        <v/>
      </c>
      <c r="H2851" t="str">
        <f t="shared" si="62"/>
        <v>TEXAS COUNTY &amp; DISTRICT RET</v>
      </c>
    </row>
    <row r="2852" spans="1:8" x14ac:dyDescent="0.25">
      <c r="E2852" t="str">
        <f>""</f>
        <v/>
      </c>
      <c r="F2852" t="str">
        <f>""</f>
        <v/>
      </c>
      <c r="H2852" t="str">
        <f t="shared" si="62"/>
        <v>TEXAS COUNTY &amp; DISTRICT RET</v>
      </c>
    </row>
    <row r="2853" spans="1:8" x14ac:dyDescent="0.25">
      <c r="E2853" t="str">
        <f>""</f>
        <v/>
      </c>
      <c r="F2853" t="str">
        <f>""</f>
        <v/>
      </c>
      <c r="H2853" t="str">
        <f t="shared" si="62"/>
        <v>TEXAS COUNTY &amp; DISTRICT RET</v>
      </c>
    </row>
    <row r="2854" spans="1:8" x14ac:dyDescent="0.25">
      <c r="E2854" t="str">
        <f>""</f>
        <v/>
      </c>
      <c r="F2854" t="str">
        <f>""</f>
        <v/>
      </c>
      <c r="H2854" t="str">
        <f t="shared" si="62"/>
        <v>TEXAS COUNTY &amp; DISTRICT RET</v>
      </c>
    </row>
    <row r="2855" spans="1:8" x14ac:dyDescent="0.25">
      <c r="E2855" t="str">
        <f>""</f>
        <v/>
      </c>
      <c r="F2855" t="str">
        <f>""</f>
        <v/>
      </c>
      <c r="H2855" t="str">
        <f t="shared" si="62"/>
        <v>TEXAS COUNTY &amp; DISTRICT RET</v>
      </c>
    </row>
    <row r="2856" spans="1:8" x14ac:dyDescent="0.25">
      <c r="E2856" t="str">
        <f>""</f>
        <v/>
      </c>
      <c r="F2856" t="str">
        <f>""</f>
        <v/>
      </c>
      <c r="H2856" t="str">
        <f t="shared" si="62"/>
        <v>TEXAS COUNTY &amp; DISTRICT RET</v>
      </c>
    </row>
    <row r="2857" spans="1:8" x14ac:dyDescent="0.25">
      <c r="E2857" t="str">
        <f>""</f>
        <v/>
      </c>
      <c r="F2857" t="str">
        <f>""</f>
        <v/>
      </c>
      <c r="H2857" t="str">
        <f t="shared" si="62"/>
        <v>TEXAS COUNTY &amp; DISTRICT RET</v>
      </c>
    </row>
    <row r="2858" spans="1:8" x14ac:dyDescent="0.25">
      <c r="E2858" t="str">
        <f>""</f>
        <v/>
      </c>
      <c r="F2858" t="str">
        <f>""</f>
        <v/>
      </c>
      <c r="H2858" t="str">
        <f t="shared" si="62"/>
        <v>TEXAS COUNTY &amp; DISTRICT RET</v>
      </c>
    </row>
    <row r="2859" spans="1:8" x14ac:dyDescent="0.25">
      <c r="E2859" t="str">
        <f>""</f>
        <v/>
      </c>
      <c r="F2859" t="str">
        <f>""</f>
        <v/>
      </c>
      <c r="H2859" t="str">
        <f t="shared" si="62"/>
        <v>TEXAS COUNTY &amp; DISTRICT RET</v>
      </c>
    </row>
    <row r="2860" spans="1:8" x14ac:dyDescent="0.25">
      <c r="E2860" t="str">
        <f>""</f>
        <v/>
      </c>
      <c r="F2860" t="str">
        <f>""</f>
        <v/>
      </c>
      <c r="H2860" t="str">
        <f t="shared" si="62"/>
        <v>TEXAS COUNTY &amp; DISTRICT RET</v>
      </c>
    </row>
    <row r="2861" spans="1:8" x14ac:dyDescent="0.25">
      <c r="E2861" t="str">
        <f>""</f>
        <v/>
      </c>
      <c r="F2861" t="str">
        <f>""</f>
        <v/>
      </c>
      <c r="H2861" t="str">
        <f t="shared" si="62"/>
        <v>TEXAS COUNTY &amp; DISTRICT RET</v>
      </c>
    </row>
    <row r="2862" spans="1:8" x14ac:dyDescent="0.25">
      <c r="E2862" t="str">
        <f>""</f>
        <v/>
      </c>
      <c r="F2862" t="str">
        <f>""</f>
        <v/>
      </c>
      <c r="H2862" t="str">
        <f t="shared" si="62"/>
        <v>TEXAS COUNTY &amp; DISTRICT RET</v>
      </c>
    </row>
    <row r="2863" spans="1:8" x14ac:dyDescent="0.25">
      <c r="E2863" t="str">
        <f>""</f>
        <v/>
      </c>
      <c r="F2863" t="str">
        <f>""</f>
        <v/>
      </c>
      <c r="H2863" t="str">
        <f t="shared" si="62"/>
        <v>TEXAS COUNTY &amp; DISTRICT RET</v>
      </c>
    </row>
    <row r="2864" spans="1:8" x14ac:dyDescent="0.25">
      <c r="E2864" t="str">
        <f>""</f>
        <v/>
      </c>
      <c r="F2864" t="str">
        <f>""</f>
        <v/>
      </c>
      <c r="H2864" t="str">
        <f t="shared" si="62"/>
        <v>TEXAS COUNTY &amp; DISTRICT RET</v>
      </c>
    </row>
    <row r="2865" spans="5:8" x14ac:dyDescent="0.25">
      <c r="E2865" t="str">
        <f>""</f>
        <v/>
      </c>
      <c r="F2865" t="str">
        <f>""</f>
        <v/>
      </c>
      <c r="H2865" t="str">
        <f t="shared" si="62"/>
        <v>TEXAS COUNTY &amp; DISTRICT RET</v>
      </c>
    </row>
    <row r="2866" spans="5:8" x14ac:dyDescent="0.25">
      <c r="E2866" t="str">
        <f>""</f>
        <v/>
      </c>
      <c r="F2866" t="str">
        <f>""</f>
        <v/>
      </c>
      <c r="H2866" t="str">
        <f t="shared" si="62"/>
        <v>TEXAS COUNTY &amp; DISTRICT RET</v>
      </c>
    </row>
    <row r="2867" spans="5:8" x14ac:dyDescent="0.25">
      <c r="E2867" t="str">
        <f>""</f>
        <v/>
      </c>
      <c r="F2867" t="str">
        <f>""</f>
        <v/>
      </c>
      <c r="H2867" t="str">
        <f t="shared" si="62"/>
        <v>TEXAS COUNTY &amp; DISTRICT RET</v>
      </c>
    </row>
    <row r="2868" spans="5:8" x14ac:dyDescent="0.25">
      <c r="E2868" t="str">
        <f>""</f>
        <v/>
      </c>
      <c r="F2868" t="str">
        <f>""</f>
        <v/>
      </c>
      <c r="H2868" t="str">
        <f t="shared" si="62"/>
        <v>TEXAS COUNTY &amp; DISTRICT RET</v>
      </c>
    </row>
    <row r="2869" spans="5:8" x14ac:dyDescent="0.25">
      <c r="E2869" t="str">
        <f>""</f>
        <v/>
      </c>
      <c r="F2869" t="str">
        <f>""</f>
        <v/>
      </c>
      <c r="H2869" t="str">
        <f t="shared" si="62"/>
        <v>TEXAS COUNTY &amp; DISTRICT RET</v>
      </c>
    </row>
    <row r="2870" spans="5:8" x14ac:dyDescent="0.25">
      <c r="E2870" t="str">
        <f>""</f>
        <v/>
      </c>
      <c r="F2870" t="str">
        <f>""</f>
        <v/>
      </c>
      <c r="H2870" t="str">
        <f t="shared" si="62"/>
        <v>TEXAS COUNTY &amp; DISTRICT RET</v>
      </c>
    </row>
    <row r="2871" spans="5:8" x14ac:dyDescent="0.25">
      <c r="E2871" t="str">
        <f>""</f>
        <v/>
      </c>
      <c r="F2871" t="str">
        <f>""</f>
        <v/>
      </c>
      <c r="H2871" t="str">
        <f t="shared" si="62"/>
        <v>TEXAS COUNTY &amp; DISTRICT RET</v>
      </c>
    </row>
    <row r="2872" spans="5:8" x14ac:dyDescent="0.25">
      <c r="E2872" t="str">
        <f>""</f>
        <v/>
      </c>
      <c r="F2872" t="str">
        <f>""</f>
        <v/>
      </c>
      <c r="H2872" t="str">
        <f t="shared" si="62"/>
        <v>TEXAS COUNTY &amp; DISTRICT RET</v>
      </c>
    </row>
    <row r="2873" spans="5:8" x14ac:dyDescent="0.25">
      <c r="E2873" t="str">
        <f>""</f>
        <v/>
      </c>
      <c r="F2873" t="str">
        <f>""</f>
        <v/>
      </c>
      <c r="H2873" t="str">
        <f t="shared" si="62"/>
        <v>TEXAS COUNTY &amp; DISTRICT RET</v>
      </c>
    </row>
    <row r="2874" spans="5:8" x14ac:dyDescent="0.25">
      <c r="E2874" t="str">
        <f>""</f>
        <v/>
      </c>
      <c r="F2874" t="str">
        <f>""</f>
        <v/>
      </c>
      <c r="H2874" t="str">
        <f t="shared" si="62"/>
        <v>TEXAS COUNTY &amp; DISTRICT RET</v>
      </c>
    </row>
    <row r="2875" spans="5:8" x14ac:dyDescent="0.25">
      <c r="E2875" t="str">
        <f>""</f>
        <v/>
      </c>
      <c r="F2875" t="str">
        <f>""</f>
        <v/>
      </c>
      <c r="H2875" t="str">
        <f t="shared" si="62"/>
        <v>TEXAS COUNTY &amp; DISTRICT RET</v>
      </c>
    </row>
    <row r="2876" spans="5:8" x14ac:dyDescent="0.25">
      <c r="E2876" t="str">
        <f>""</f>
        <v/>
      </c>
      <c r="F2876" t="str">
        <f>""</f>
        <v/>
      </c>
      <c r="H2876" t="str">
        <f t="shared" si="62"/>
        <v>TEXAS COUNTY &amp; DISTRICT RET</v>
      </c>
    </row>
    <row r="2877" spans="5:8" x14ac:dyDescent="0.25">
      <c r="E2877" t="str">
        <f>""</f>
        <v/>
      </c>
      <c r="F2877" t="str">
        <f>""</f>
        <v/>
      </c>
      <c r="H2877" t="str">
        <f t="shared" si="62"/>
        <v>TEXAS COUNTY &amp; DISTRICT RET</v>
      </c>
    </row>
    <row r="2878" spans="5:8" x14ac:dyDescent="0.25">
      <c r="E2878" t="str">
        <f>""</f>
        <v/>
      </c>
      <c r="F2878" t="str">
        <f>""</f>
        <v/>
      </c>
      <c r="H2878" t="str">
        <f t="shared" si="62"/>
        <v>TEXAS COUNTY &amp; DISTRICT RET</v>
      </c>
    </row>
    <row r="2879" spans="5:8" x14ac:dyDescent="0.25">
      <c r="E2879" t="str">
        <f>""</f>
        <v/>
      </c>
      <c r="F2879" t="str">
        <f>""</f>
        <v/>
      </c>
      <c r="H2879" t="str">
        <f t="shared" si="62"/>
        <v>TEXAS COUNTY &amp; DISTRICT RET</v>
      </c>
    </row>
    <row r="2880" spans="5:8" x14ac:dyDescent="0.25">
      <c r="E2880" t="str">
        <f>""</f>
        <v/>
      </c>
      <c r="F2880" t="str">
        <f>""</f>
        <v/>
      </c>
      <c r="H2880" t="str">
        <f t="shared" si="62"/>
        <v>TEXAS COUNTY &amp; DISTRICT RET</v>
      </c>
    </row>
    <row r="2881" spans="5:8" x14ac:dyDescent="0.25">
      <c r="E2881" t="str">
        <f>""</f>
        <v/>
      </c>
      <c r="F2881" t="str">
        <f>""</f>
        <v/>
      </c>
      <c r="H2881" t="str">
        <f t="shared" ref="H2881:H2899" si="63">"TEXAS COUNTY &amp; DISTRICT RET"</f>
        <v>TEXAS COUNTY &amp; DISTRICT RET</v>
      </c>
    </row>
    <row r="2882" spans="5:8" x14ac:dyDescent="0.25">
      <c r="E2882" t="str">
        <f>""</f>
        <v/>
      </c>
      <c r="F2882" t="str">
        <f>""</f>
        <v/>
      </c>
      <c r="H2882" t="str">
        <f t="shared" si="63"/>
        <v>TEXAS COUNTY &amp; DISTRICT RET</v>
      </c>
    </row>
    <row r="2883" spans="5:8" x14ac:dyDescent="0.25">
      <c r="E2883" t="str">
        <f>""</f>
        <v/>
      </c>
      <c r="F2883" t="str">
        <f>""</f>
        <v/>
      </c>
      <c r="H2883" t="str">
        <f t="shared" si="63"/>
        <v>TEXAS COUNTY &amp; DISTRICT RET</v>
      </c>
    </row>
    <row r="2884" spans="5:8" x14ac:dyDescent="0.25">
      <c r="E2884" t="str">
        <f>""</f>
        <v/>
      </c>
      <c r="F2884" t="str">
        <f>""</f>
        <v/>
      </c>
      <c r="H2884" t="str">
        <f t="shared" si="63"/>
        <v>TEXAS COUNTY &amp; DISTRICT RET</v>
      </c>
    </row>
    <row r="2885" spans="5:8" x14ac:dyDescent="0.25">
      <c r="E2885" t="str">
        <f>""</f>
        <v/>
      </c>
      <c r="F2885" t="str">
        <f>""</f>
        <v/>
      </c>
      <c r="H2885" t="str">
        <f t="shared" si="63"/>
        <v>TEXAS COUNTY &amp; DISTRICT RET</v>
      </c>
    </row>
    <row r="2886" spans="5:8" x14ac:dyDescent="0.25">
      <c r="E2886" t="str">
        <f>""</f>
        <v/>
      </c>
      <c r="F2886" t="str">
        <f>""</f>
        <v/>
      </c>
      <c r="H2886" t="str">
        <f t="shared" si="63"/>
        <v>TEXAS COUNTY &amp; DISTRICT RET</v>
      </c>
    </row>
    <row r="2887" spans="5:8" x14ac:dyDescent="0.25">
      <c r="E2887" t="str">
        <f>""</f>
        <v/>
      </c>
      <c r="F2887" t="str">
        <f>""</f>
        <v/>
      </c>
      <c r="H2887" t="str">
        <f t="shared" si="63"/>
        <v>TEXAS COUNTY &amp; DISTRICT RET</v>
      </c>
    </row>
    <row r="2888" spans="5:8" x14ac:dyDescent="0.25">
      <c r="E2888" t="str">
        <f>""</f>
        <v/>
      </c>
      <c r="F2888" t="str">
        <f>""</f>
        <v/>
      </c>
      <c r="H2888" t="str">
        <f t="shared" si="63"/>
        <v>TEXAS COUNTY &amp; DISTRICT RET</v>
      </c>
    </row>
    <row r="2889" spans="5:8" x14ac:dyDescent="0.25">
      <c r="E2889" t="str">
        <f>""</f>
        <v/>
      </c>
      <c r="F2889" t="str">
        <f>""</f>
        <v/>
      </c>
      <c r="H2889" t="str">
        <f t="shared" si="63"/>
        <v>TEXAS COUNTY &amp; DISTRICT RET</v>
      </c>
    </row>
    <row r="2890" spans="5:8" x14ac:dyDescent="0.25">
      <c r="E2890" t="str">
        <f>""</f>
        <v/>
      </c>
      <c r="F2890" t="str">
        <f>""</f>
        <v/>
      </c>
      <c r="H2890" t="str">
        <f t="shared" si="63"/>
        <v>TEXAS COUNTY &amp; DISTRICT RET</v>
      </c>
    </row>
    <row r="2891" spans="5:8" x14ac:dyDescent="0.25">
      <c r="E2891" t="str">
        <f>""</f>
        <v/>
      </c>
      <c r="F2891" t="str">
        <f>""</f>
        <v/>
      </c>
      <c r="H2891" t="str">
        <f t="shared" si="63"/>
        <v>TEXAS COUNTY &amp; DISTRICT RET</v>
      </c>
    </row>
    <row r="2892" spans="5:8" x14ac:dyDescent="0.25">
      <c r="E2892" t="str">
        <f>""</f>
        <v/>
      </c>
      <c r="F2892" t="str">
        <f>""</f>
        <v/>
      </c>
      <c r="H2892" t="str">
        <f t="shared" si="63"/>
        <v>TEXAS COUNTY &amp; DISTRICT RET</v>
      </c>
    </row>
    <row r="2893" spans="5:8" x14ac:dyDescent="0.25">
      <c r="E2893" t="str">
        <f>""</f>
        <v/>
      </c>
      <c r="F2893" t="str">
        <f>""</f>
        <v/>
      </c>
      <c r="H2893" t="str">
        <f t="shared" si="63"/>
        <v>TEXAS COUNTY &amp; DISTRICT RET</v>
      </c>
    </row>
    <row r="2894" spans="5:8" x14ac:dyDescent="0.25">
      <c r="E2894" t="str">
        <f>""</f>
        <v/>
      </c>
      <c r="F2894" t="str">
        <f>""</f>
        <v/>
      </c>
      <c r="H2894" t="str">
        <f t="shared" si="63"/>
        <v>TEXAS COUNTY &amp; DISTRICT RET</v>
      </c>
    </row>
    <row r="2895" spans="5:8" x14ac:dyDescent="0.25">
      <c r="E2895" t="str">
        <f>""</f>
        <v/>
      </c>
      <c r="F2895" t="str">
        <f>""</f>
        <v/>
      </c>
      <c r="H2895" t="str">
        <f t="shared" si="63"/>
        <v>TEXAS COUNTY &amp; DISTRICT RET</v>
      </c>
    </row>
    <row r="2896" spans="5:8" x14ac:dyDescent="0.25">
      <c r="E2896" t="str">
        <f>""</f>
        <v/>
      </c>
      <c r="F2896" t="str">
        <f>""</f>
        <v/>
      </c>
      <c r="H2896" t="str">
        <f t="shared" si="63"/>
        <v>TEXAS COUNTY &amp; DISTRICT RET</v>
      </c>
    </row>
    <row r="2897" spans="5:8" x14ac:dyDescent="0.25">
      <c r="E2897" t="str">
        <f>""</f>
        <v/>
      </c>
      <c r="F2897" t="str">
        <f>""</f>
        <v/>
      </c>
      <c r="H2897" t="str">
        <f t="shared" si="63"/>
        <v>TEXAS COUNTY &amp; DISTRICT RET</v>
      </c>
    </row>
    <row r="2898" spans="5:8" x14ac:dyDescent="0.25">
      <c r="E2898" t="str">
        <f>""</f>
        <v/>
      </c>
      <c r="F2898" t="str">
        <f>""</f>
        <v/>
      </c>
      <c r="H2898" t="str">
        <f t="shared" si="63"/>
        <v>TEXAS COUNTY &amp; DISTRICT RET</v>
      </c>
    </row>
    <row r="2899" spans="5:8" x14ac:dyDescent="0.25">
      <c r="E2899" t="str">
        <f>""</f>
        <v/>
      </c>
      <c r="F2899" t="str">
        <f>""</f>
        <v/>
      </c>
      <c r="H2899" t="str">
        <f t="shared" si="63"/>
        <v>TEXAS COUNTY &amp; DISTRICT RET</v>
      </c>
    </row>
    <row r="2900" spans="5:8" x14ac:dyDescent="0.25">
      <c r="E2900" t="str">
        <f>"RET201901096483"</f>
        <v>RET201901096483</v>
      </c>
      <c r="F2900" t="str">
        <f>"TEXAS COUNTY  DISTRICT RET"</f>
        <v>TEXAS COUNTY  DISTRICT RET</v>
      </c>
      <c r="G2900" s="2">
        <v>6033.09</v>
      </c>
      <c r="H2900" t="str">
        <f>"TEXAS COUNTY  DISTRICT RET"</f>
        <v>TEXAS COUNTY  DISTRICT RET</v>
      </c>
    </row>
    <row r="2901" spans="5:8" x14ac:dyDescent="0.25">
      <c r="E2901" t="str">
        <f>""</f>
        <v/>
      </c>
      <c r="F2901" t="str">
        <f>""</f>
        <v/>
      </c>
      <c r="H2901" t="str">
        <f>"TEXAS COUNTY  DISTRICT RET"</f>
        <v>TEXAS COUNTY  DISTRICT RET</v>
      </c>
    </row>
    <row r="2902" spans="5:8" x14ac:dyDescent="0.25">
      <c r="E2902" t="str">
        <f>"RET201901096487"</f>
        <v>RET201901096487</v>
      </c>
      <c r="F2902" t="str">
        <f>"TEXAS COUNTY &amp; DISTRICT RET"</f>
        <v>TEXAS COUNTY &amp; DISTRICT RET</v>
      </c>
      <c r="G2902" s="2">
        <v>7598.43</v>
      </c>
      <c r="H2902" t="str">
        <f t="shared" ref="H2902:H2933" si="64">"TEXAS COUNTY &amp; DISTRICT RET"</f>
        <v>TEXAS COUNTY &amp; DISTRICT RET</v>
      </c>
    </row>
    <row r="2903" spans="5:8" x14ac:dyDescent="0.25">
      <c r="E2903" t="str">
        <f>""</f>
        <v/>
      </c>
      <c r="F2903" t="str">
        <f>""</f>
        <v/>
      </c>
      <c r="H2903" t="str">
        <f t="shared" si="64"/>
        <v>TEXAS COUNTY &amp; DISTRICT RET</v>
      </c>
    </row>
    <row r="2904" spans="5:8" x14ac:dyDescent="0.25">
      <c r="E2904" t="str">
        <f>"RET201901236760"</f>
        <v>RET201901236760</v>
      </c>
      <c r="F2904" t="str">
        <f>"TEXAS COUNTY &amp; DISTRICT RET"</f>
        <v>TEXAS COUNTY &amp; DISTRICT RET</v>
      </c>
      <c r="G2904" s="2">
        <v>153707.94</v>
      </c>
      <c r="H2904" t="str">
        <f t="shared" si="64"/>
        <v>TEXAS COUNTY &amp; DISTRICT RET</v>
      </c>
    </row>
    <row r="2905" spans="5:8" x14ac:dyDescent="0.25">
      <c r="E2905" t="str">
        <f>""</f>
        <v/>
      </c>
      <c r="F2905" t="str">
        <f>""</f>
        <v/>
      </c>
      <c r="H2905" t="str">
        <f t="shared" si="64"/>
        <v>TEXAS COUNTY &amp; DISTRICT RET</v>
      </c>
    </row>
    <row r="2906" spans="5:8" x14ac:dyDescent="0.25">
      <c r="E2906" t="str">
        <f>""</f>
        <v/>
      </c>
      <c r="F2906" t="str">
        <f>""</f>
        <v/>
      </c>
      <c r="H2906" t="str">
        <f t="shared" si="64"/>
        <v>TEXAS COUNTY &amp; DISTRICT RET</v>
      </c>
    </row>
    <row r="2907" spans="5:8" x14ac:dyDescent="0.25">
      <c r="E2907" t="str">
        <f>""</f>
        <v/>
      </c>
      <c r="F2907" t="str">
        <f>""</f>
        <v/>
      </c>
      <c r="H2907" t="str">
        <f t="shared" si="64"/>
        <v>TEXAS COUNTY &amp; DISTRICT RET</v>
      </c>
    </row>
    <row r="2908" spans="5:8" x14ac:dyDescent="0.25">
      <c r="E2908" t="str">
        <f>""</f>
        <v/>
      </c>
      <c r="F2908" t="str">
        <f>""</f>
        <v/>
      </c>
      <c r="H2908" t="str">
        <f t="shared" si="64"/>
        <v>TEXAS COUNTY &amp; DISTRICT RET</v>
      </c>
    </row>
    <row r="2909" spans="5:8" x14ac:dyDescent="0.25">
      <c r="E2909" t="str">
        <f>""</f>
        <v/>
      </c>
      <c r="F2909" t="str">
        <f>""</f>
        <v/>
      </c>
      <c r="H2909" t="str">
        <f t="shared" si="64"/>
        <v>TEXAS COUNTY &amp; DISTRICT RET</v>
      </c>
    </row>
    <row r="2910" spans="5:8" x14ac:dyDescent="0.25">
      <c r="E2910" t="str">
        <f>""</f>
        <v/>
      </c>
      <c r="F2910" t="str">
        <f>""</f>
        <v/>
      </c>
      <c r="H2910" t="str">
        <f t="shared" si="64"/>
        <v>TEXAS COUNTY &amp; DISTRICT RET</v>
      </c>
    </row>
    <row r="2911" spans="5:8" x14ac:dyDescent="0.25">
      <c r="E2911" t="str">
        <f>""</f>
        <v/>
      </c>
      <c r="F2911" t="str">
        <f>""</f>
        <v/>
      </c>
      <c r="H2911" t="str">
        <f t="shared" si="64"/>
        <v>TEXAS COUNTY &amp; DISTRICT RET</v>
      </c>
    </row>
    <row r="2912" spans="5:8" x14ac:dyDescent="0.25">
      <c r="E2912" t="str">
        <f>""</f>
        <v/>
      </c>
      <c r="F2912" t="str">
        <f>""</f>
        <v/>
      </c>
      <c r="H2912" t="str">
        <f t="shared" si="64"/>
        <v>TEXAS COUNTY &amp; DISTRICT RET</v>
      </c>
    </row>
    <row r="2913" spans="5:8" x14ac:dyDescent="0.25">
      <c r="E2913" t="str">
        <f>""</f>
        <v/>
      </c>
      <c r="F2913" t="str">
        <f>""</f>
        <v/>
      </c>
      <c r="H2913" t="str">
        <f t="shared" si="64"/>
        <v>TEXAS COUNTY &amp; DISTRICT RET</v>
      </c>
    </row>
    <row r="2914" spans="5:8" x14ac:dyDescent="0.25">
      <c r="E2914" t="str">
        <f>""</f>
        <v/>
      </c>
      <c r="F2914" t="str">
        <f>""</f>
        <v/>
      </c>
      <c r="H2914" t="str">
        <f t="shared" si="64"/>
        <v>TEXAS COUNTY &amp; DISTRICT RET</v>
      </c>
    </row>
    <row r="2915" spans="5:8" x14ac:dyDescent="0.25">
      <c r="E2915" t="str">
        <f>""</f>
        <v/>
      </c>
      <c r="F2915" t="str">
        <f>""</f>
        <v/>
      </c>
      <c r="H2915" t="str">
        <f t="shared" si="64"/>
        <v>TEXAS COUNTY &amp; DISTRICT RET</v>
      </c>
    </row>
    <row r="2916" spans="5:8" x14ac:dyDescent="0.25">
      <c r="E2916" t="str">
        <f>""</f>
        <v/>
      </c>
      <c r="F2916" t="str">
        <f>""</f>
        <v/>
      </c>
      <c r="H2916" t="str">
        <f t="shared" si="64"/>
        <v>TEXAS COUNTY &amp; DISTRICT RET</v>
      </c>
    </row>
    <row r="2917" spans="5:8" x14ac:dyDescent="0.25">
      <c r="E2917" t="str">
        <f>""</f>
        <v/>
      </c>
      <c r="F2917" t="str">
        <f>""</f>
        <v/>
      </c>
      <c r="H2917" t="str">
        <f t="shared" si="64"/>
        <v>TEXAS COUNTY &amp; DISTRICT RET</v>
      </c>
    </row>
    <row r="2918" spans="5:8" x14ac:dyDescent="0.25">
      <c r="E2918" t="str">
        <f>""</f>
        <v/>
      </c>
      <c r="F2918" t="str">
        <f>""</f>
        <v/>
      </c>
      <c r="H2918" t="str">
        <f t="shared" si="64"/>
        <v>TEXAS COUNTY &amp; DISTRICT RET</v>
      </c>
    </row>
    <row r="2919" spans="5:8" x14ac:dyDescent="0.25">
      <c r="E2919" t="str">
        <f>""</f>
        <v/>
      </c>
      <c r="F2919" t="str">
        <f>""</f>
        <v/>
      </c>
      <c r="H2919" t="str">
        <f t="shared" si="64"/>
        <v>TEXAS COUNTY &amp; DISTRICT RET</v>
      </c>
    </row>
    <row r="2920" spans="5:8" x14ac:dyDescent="0.25">
      <c r="E2920" t="str">
        <f>""</f>
        <v/>
      </c>
      <c r="F2920" t="str">
        <f>""</f>
        <v/>
      </c>
      <c r="H2920" t="str">
        <f t="shared" si="64"/>
        <v>TEXAS COUNTY &amp; DISTRICT RET</v>
      </c>
    </row>
    <row r="2921" spans="5:8" x14ac:dyDescent="0.25">
      <c r="E2921" t="str">
        <f>""</f>
        <v/>
      </c>
      <c r="F2921" t="str">
        <f>""</f>
        <v/>
      </c>
      <c r="H2921" t="str">
        <f t="shared" si="64"/>
        <v>TEXAS COUNTY &amp; DISTRICT RET</v>
      </c>
    </row>
    <row r="2922" spans="5:8" x14ac:dyDescent="0.25">
      <c r="E2922" t="str">
        <f>""</f>
        <v/>
      </c>
      <c r="F2922" t="str">
        <f>""</f>
        <v/>
      </c>
      <c r="H2922" t="str">
        <f t="shared" si="64"/>
        <v>TEXAS COUNTY &amp; DISTRICT RET</v>
      </c>
    </row>
    <row r="2923" spans="5:8" x14ac:dyDescent="0.25">
      <c r="E2923" t="str">
        <f>""</f>
        <v/>
      </c>
      <c r="F2923" t="str">
        <f>""</f>
        <v/>
      </c>
      <c r="H2923" t="str">
        <f t="shared" si="64"/>
        <v>TEXAS COUNTY &amp; DISTRICT RET</v>
      </c>
    </row>
    <row r="2924" spans="5:8" x14ac:dyDescent="0.25">
      <c r="E2924" t="str">
        <f>""</f>
        <v/>
      </c>
      <c r="F2924" t="str">
        <f>""</f>
        <v/>
      </c>
      <c r="H2924" t="str">
        <f t="shared" si="64"/>
        <v>TEXAS COUNTY &amp; DISTRICT RET</v>
      </c>
    </row>
    <row r="2925" spans="5:8" x14ac:dyDescent="0.25">
      <c r="E2925" t="str">
        <f>""</f>
        <v/>
      </c>
      <c r="F2925" t="str">
        <f>""</f>
        <v/>
      </c>
      <c r="H2925" t="str">
        <f t="shared" si="64"/>
        <v>TEXAS COUNTY &amp; DISTRICT RET</v>
      </c>
    </row>
    <row r="2926" spans="5:8" x14ac:dyDescent="0.25">
      <c r="E2926" t="str">
        <f>""</f>
        <v/>
      </c>
      <c r="F2926" t="str">
        <f>""</f>
        <v/>
      </c>
      <c r="H2926" t="str">
        <f t="shared" si="64"/>
        <v>TEXAS COUNTY &amp; DISTRICT RET</v>
      </c>
    </row>
    <row r="2927" spans="5:8" x14ac:dyDescent="0.25">
      <c r="E2927" t="str">
        <f>""</f>
        <v/>
      </c>
      <c r="F2927" t="str">
        <f>""</f>
        <v/>
      </c>
      <c r="H2927" t="str">
        <f t="shared" si="64"/>
        <v>TEXAS COUNTY &amp; DISTRICT RET</v>
      </c>
    </row>
    <row r="2928" spans="5:8" x14ac:dyDescent="0.25">
      <c r="E2928" t="str">
        <f>""</f>
        <v/>
      </c>
      <c r="F2928" t="str">
        <f>""</f>
        <v/>
      </c>
      <c r="H2928" t="str">
        <f t="shared" si="64"/>
        <v>TEXAS COUNTY &amp; DISTRICT RET</v>
      </c>
    </row>
    <row r="2929" spans="5:8" x14ac:dyDescent="0.25">
      <c r="E2929" t="str">
        <f>""</f>
        <v/>
      </c>
      <c r="F2929" t="str">
        <f>""</f>
        <v/>
      </c>
      <c r="H2929" t="str">
        <f t="shared" si="64"/>
        <v>TEXAS COUNTY &amp; DISTRICT RET</v>
      </c>
    </row>
    <row r="2930" spans="5:8" x14ac:dyDescent="0.25">
      <c r="E2930" t="str">
        <f>""</f>
        <v/>
      </c>
      <c r="F2930" t="str">
        <f>""</f>
        <v/>
      </c>
      <c r="H2930" t="str">
        <f t="shared" si="64"/>
        <v>TEXAS COUNTY &amp; DISTRICT RET</v>
      </c>
    </row>
    <row r="2931" spans="5:8" x14ac:dyDescent="0.25">
      <c r="E2931" t="str">
        <f>""</f>
        <v/>
      </c>
      <c r="F2931" t="str">
        <f>""</f>
        <v/>
      </c>
      <c r="H2931" t="str">
        <f t="shared" si="64"/>
        <v>TEXAS COUNTY &amp; DISTRICT RET</v>
      </c>
    </row>
    <row r="2932" spans="5:8" x14ac:dyDescent="0.25">
      <c r="E2932" t="str">
        <f>""</f>
        <v/>
      </c>
      <c r="F2932" t="str">
        <f>""</f>
        <v/>
      </c>
      <c r="H2932" t="str">
        <f t="shared" si="64"/>
        <v>TEXAS COUNTY &amp; DISTRICT RET</v>
      </c>
    </row>
    <row r="2933" spans="5:8" x14ac:dyDescent="0.25">
      <c r="E2933" t="str">
        <f>""</f>
        <v/>
      </c>
      <c r="F2933" t="str">
        <f>""</f>
        <v/>
      </c>
      <c r="H2933" t="str">
        <f t="shared" si="64"/>
        <v>TEXAS COUNTY &amp; DISTRICT RET</v>
      </c>
    </row>
    <row r="2934" spans="5:8" x14ac:dyDescent="0.25">
      <c r="E2934" t="str">
        <f>""</f>
        <v/>
      </c>
      <c r="F2934" t="str">
        <f>""</f>
        <v/>
      </c>
      <c r="H2934" t="str">
        <f t="shared" ref="H2934:H2954" si="65">"TEXAS COUNTY &amp; DISTRICT RET"</f>
        <v>TEXAS COUNTY &amp; DISTRICT RET</v>
      </c>
    </row>
    <row r="2935" spans="5:8" x14ac:dyDescent="0.25">
      <c r="E2935" t="str">
        <f>""</f>
        <v/>
      </c>
      <c r="F2935" t="str">
        <f>""</f>
        <v/>
      </c>
      <c r="H2935" t="str">
        <f t="shared" si="65"/>
        <v>TEXAS COUNTY &amp; DISTRICT RET</v>
      </c>
    </row>
    <row r="2936" spans="5:8" x14ac:dyDescent="0.25">
      <c r="E2936" t="str">
        <f>""</f>
        <v/>
      </c>
      <c r="F2936" t="str">
        <f>""</f>
        <v/>
      </c>
      <c r="H2936" t="str">
        <f t="shared" si="65"/>
        <v>TEXAS COUNTY &amp; DISTRICT RET</v>
      </c>
    </row>
    <row r="2937" spans="5:8" x14ac:dyDescent="0.25">
      <c r="E2937" t="str">
        <f>""</f>
        <v/>
      </c>
      <c r="F2937" t="str">
        <f>""</f>
        <v/>
      </c>
      <c r="H2937" t="str">
        <f t="shared" si="65"/>
        <v>TEXAS COUNTY &amp; DISTRICT RET</v>
      </c>
    </row>
    <row r="2938" spans="5:8" x14ac:dyDescent="0.25">
      <c r="E2938" t="str">
        <f>""</f>
        <v/>
      </c>
      <c r="F2938" t="str">
        <f>""</f>
        <v/>
      </c>
      <c r="H2938" t="str">
        <f t="shared" si="65"/>
        <v>TEXAS COUNTY &amp; DISTRICT RET</v>
      </c>
    </row>
    <row r="2939" spans="5:8" x14ac:dyDescent="0.25">
      <c r="E2939" t="str">
        <f>""</f>
        <v/>
      </c>
      <c r="F2939" t="str">
        <f>""</f>
        <v/>
      </c>
      <c r="H2939" t="str">
        <f t="shared" si="65"/>
        <v>TEXAS COUNTY &amp; DISTRICT RET</v>
      </c>
    </row>
    <row r="2940" spans="5:8" x14ac:dyDescent="0.25">
      <c r="E2940" t="str">
        <f>""</f>
        <v/>
      </c>
      <c r="F2940" t="str">
        <f>""</f>
        <v/>
      </c>
      <c r="H2940" t="str">
        <f t="shared" si="65"/>
        <v>TEXAS COUNTY &amp; DISTRICT RET</v>
      </c>
    </row>
    <row r="2941" spans="5:8" x14ac:dyDescent="0.25">
      <c r="E2941" t="str">
        <f>""</f>
        <v/>
      </c>
      <c r="F2941" t="str">
        <f>""</f>
        <v/>
      </c>
      <c r="H2941" t="str">
        <f t="shared" si="65"/>
        <v>TEXAS COUNTY &amp; DISTRICT RET</v>
      </c>
    </row>
    <row r="2942" spans="5:8" x14ac:dyDescent="0.25">
      <c r="E2942" t="str">
        <f>""</f>
        <v/>
      </c>
      <c r="F2942" t="str">
        <f>""</f>
        <v/>
      </c>
      <c r="H2942" t="str">
        <f t="shared" si="65"/>
        <v>TEXAS COUNTY &amp; DISTRICT RET</v>
      </c>
    </row>
    <row r="2943" spans="5:8" x14ac:dyDescent="0.25">
      <c r="E2943" t="str">
        <f>""</f>
        <v/>
      </c>
      <c r="F2943" t="str">
        <f>""</f>
        <v/>
      </c>
      <c r="H2943" t="str">
        <f t="shared" si="65"/>
        <v>TEXAS COUNTY &amp; DISTRICT RET</v>
      </c>
    </row>
    <row r="2944" spans="5:8" x14ac:dyDescent="0.25">
      <c r="E2944" t="str">
        <f>""</f>
        <v/>
      </c>
      <c r="F2944" t="str">
        <f>""</f>
        <v/>
      </c>
      <c r="H2944" t="str">
        <f t="shared" si="65"/>
        <v>TEXAS COUNTY &amp; DISTRICT RET</v>
      </c>
    </row>
    <row r="2945" spans="1:8" x14ac:dyDescent="0.25">
      <c r="E2945" t="str">
        <f>""</f>
        <v/>
      </c>
      <c r="F2945" t="str">
        <f>""</f>
        <v/>
      </c>
      <c r="H2945" t="str">
        <f t="shared" si="65"/>
        <v>TEXAS COUNTY &amp; DISTRICT RET</v>
      </c>
    </row>
    <row r="2946" spans="1:8" x14ac:dyDescent="0.25">
      <c r="E2946" t="str">
        <f>""</f>
        <v/>
      </c>
      <c r="F2946" t="str">
        <f>""</f>
        <v/>
      </c>
      <c r="H2946" t="str">
        <f t="shared" si="65"/>
        <v>TEXAS COUNTY &amp; DISTRICT RET</v>
      </c>
    </row>
    <row r="2947" spans="1:8" x14ac:dyDescent="0.25">
      <c r="E2947" t="str">
        <f>""</f>
        <v/>
      </c>
      <c r="F2947" t="str">
        <f>""</f>
        <v/>
      </c>
      <c r="H2947" t="str">
        <f t="shared" si="65"/>
        <v>TEXAS COUNTY &amp; DISTRICT RET</v>
      </c>
    </row>
    <row r="2948" spans="1:8" x14ac:dyDescent="0.25">
      <c r="E2948" t="str">
        <f>""</f>
        <v/>
      </c>
      <c r="F2948" t="str">
        <f>""</f>
        <v/>
      </c>
      <c r="H2948" t="str">
        <f t="shared" si="65"/>
        <v>TEXAS COUNTY &amp; DISTRICT RET</v>
      </c>
    </row>
    <row r="2949" spans="1:8" x14ac:dyDescent="0.25">
      <c r="E2949" t="str">
        <f>""</f>
        <v/>
      </c>
      <c r="F2949" t="str">
        <f>""</f>
        <v/>
      </c>
      <c r="H2949" t="str">
        <f t="shared" si="65"/>
        <v>TEXAS COUNTY &amp; DISTRICT RET</v>
      </c>
    </row>
    <row r="2950" spans="1:8" x14ac:dyDescent="0.25">
      <c r="E2950" t="str">
        <f>""</f>
        <v/>
      </c>
      <c r="F2950" t="str">
        <f>""</f>
        <v/>
      </c>
      <c r="H2950" t="str">
        <f t="shared" si="65"/>
        <v>TEXAS COUNTY &amp; DISTRICT RET</v>
      </c>
    </row>
    <row r="2951" spans="1:8" x14ac:dyDescent="0.25">
      <c r="E2951" t="str">
        <f>""</f>
        <v/>
      </c>
      <c r="F2951" t="str">
        <f>""</f>
        <v/>
      </c>
      <c r="H2951" t="str">
        <f t="shared" si="65"/>
        <v>TEXAS COUNTY &amp; DISTRICT RET</v>
      </c>
    </row>
    <row r="2952" spans="1:8" x14ac:dyDescent="0.25">
      <c r="E2952" t="str">
        <f>""</f>
        <v/>
      </c>
      <c r="F2952" t="str">
        <f>""</f>
        <v/>
      </c>
      <c r="H2952" t="str">
        <f t="shared" si="65"/>
        <v>TEXAS COUNTY &amp; DISTRICT RET</v>
      </c>
    </row>
    <row r="2953" spans="1:8" x14ac:dyDescent="0.25">
      <c r="E2953" t="str">
        <f>""</f>
        <v/>
      </c>
      <c r="F2953" t="str">
        <f>""</f>
        <v/>
      </c>
      <c r="H2953" t="str">
        <f t="shared" si="65"/>
        <v>TEXAS COUNTY &amp; DISTRICT RET</v>
      </c>
    </row>
    <row r="2954" spans="1:8" x14ac:dyDescent="0.25">
      <c r="E2954" t="str">
        <f>""</f>
        <v/>
      </c>
      <c r="F2954" t="str">
        <f>""</f>
        <v/>
      </c>
      <c r="H2954" t="str">
        <f t="shared" si="65"/>
        <v>TEXAS COUNTY &amp; DISTRICT RET</v>
      </c>
    </row>
    <row r="2955" spans="1:8" x14ac:dyDescent="0.25">
      <c r="E2955" t="str">
        <f>"RET201901236761"</f>
        <v>RET201901236761</v>
      </c>
      <c r="F2955" t="str">
        <f>"TEXAS COUNTY  DISTRICT RET"</f>
        <v>TEXAS COUNTY  DISTRICT RET</v>
      </c>
      <c r="G2955" s="2">
        <v>6896.86</v>
      </c>
      <c r="H2955" t="str">
        <f>"TEXAS COUNTY  DISTRICT RET"</f>
        <v>TEXAS COUNTY  DISTRICT RET</v>
      </c>
    </row>
    <row r="2956" spans="1:8" x14ac:dyDescent="0.25">
      <c r="E2956" t="str">
        <f>""</f>
        <v/>
      </c>
      <c r="F2956" t="str">
        <f>""</f>
        <v/>
      </c>
      <c r="H2956" t="str">
        <f>"TEXAS COUNTY  DISTRICT RET"</f>
        <v>TEXAS COUNTY  DISTRICT RET</v>
      </c>
    </row>
    <row r="2957" spans="1:8" x14ac:dyDescent="0.25">
      <c r="E2957" t="str">
        <f>"RET201901236762"</f>
        <v>RET201901236762</v>
      </c>
      <c r="F2957" t="str">
        <f>"TEXAS COUNTY &amp; DISTRICT RET"</f>
        <v>TEXAS COUNTY &amp; DISTRICT RET</v>
      </c>
      <c r="G2957" s="2">
        <v>8866.5</v>
      </c>
      <c r="H2957" t="str">
        <f>"TEXAS COUNTY &amp; DISTRICT RET"</f>
        <v>TEXAS COUNTY &amp; DISTRICT RET</v>
      </c>
    </row>
    <row r="2958" spans="1:8" x14ac:dyDescent="0.25">
      <c r="E2958" t="str">
        <f>""</f>
        <v/>
      </c>
      <c r="F2958" t="str">
        <f>""</f>
        <v/>
      </c>
      <c r="H2958" t="str">
        <f>"TEXAS COUNTY &amp; DISTRICT RET"</f>
        <v>TEXAS COUNTY &amp; DISTRICT RET</v>
      </c>
    </row>
    <row r="2959" spans="1:8" x14ac:dyDescent="0.25">
      <c r="A2959" t="s">
        <v>548</v>
      </c>
      <c r="B2959">
        <v>47276</v>
      </c>
      <c r="C2959" s="2">
        <v>1260</v>
      </c>
      <c r="D2959" s="1">
        <v>43494</v>
      </c>
      <c r="E2959" t="str">
        <f>"LEG201901096477"</f>
        <v>LEG201901096477</v>
      </c>
      <c r="F2959" t="str">
        <f>"TEXAS LEGAL PROTECTION PLAN"</f>
        <v>TEXAS LEGAL PROTECTION PLAN</v>
      </c>
      <c r="G2959" s="2">
        <v>640</v>
      </c>
      <c r="H2959" t="str">
        <f>"TEXAS LEGAL PROTECTION PLAN"</f>
        <v>TEXAS LEGAL PROTECTION PLAN</v>
      </c>
    </row>
    <row r="2960" spans="1:8" x14ac:dyDescent="0.25">
      <c r="E2960" t="str">
        <f>"LEG201901236760"</f>
        <v>LEG201901236760</v>
      </c>
      <c r="F2960" t="str">
        <f>"TEXAS LEGAL PROTECTION PLAN"</f>
        <v>TEXAS LEGAL PROTECTION PLAN</v>
      </c>
      <c r="G2960" s="2">
        <v>620</v>
      </c>
      <c r="H2960" t="str">
        <f>"TEXAS LEGAL PROTECTION PLAN"</f>
        <v>TEXAS LEGAL PROTECTION PLAN</v>
      </c>
    </row>
    <row r="2961" spans="1:8" x14ac:dyDescent="0.25">
      <c r="A2961" t="s">
        <v>549</v>
      </c>
      <c r="B2961">
        <v>47246</v>
      </c>
      <c r="C2961" s="2">
        <v>218.61</v>
      </c>
      <c r="D2961" s="1">
        <v>43476</v>
      </c>
      <c r="E2961" t="str">
        <f>"SL6201901096477"</f>
        <v>SL6201901096477</v>
      </c>
      <c r="F2961" t="str">
        <f>"TG STUDENT LOAN - P CROUCH"</f>
        <v>TG STUDENT LOAN - P CROUCH</v>
      </c>
      <c r="G2961" s="2">
        <v>218.61</v>
      </c>
      <c r="H2961" t="str">
        <f>"TG STUDENT LOAN - P CROUCH"</f>
        <v>TG STUDENT LOAN - P CROUCH</v>
      </c>
    </row>
    <row r="2962" spans="1:8" x14ac:dyDescent="0.25">
      <c r="A2962" t="s">
        <v>549</v>
      </c>
      <c r="B2962">
        <v>47275</v>
      </c>
      <c r="C2962" s="2">
        <v>218.61</v>
      </c>
      <c r="D2962" s="1">
        <v>43490</v>
      </c>
      <c r="E2962" t="str">
        <f>"SL6201901236760"</f>
        <v>SL6201901236760</v>
      </c>
      <c r="F2962" t="str">
        <f>"TG STUDENT LOAN - P CROUCH"</f>
        <v>TG STUDENT LOAN - P CROUCH</v>
      </c>
      <c r="G2962" s="2">
        <v>218.61</v>
      </c>
      <c r="H2962" t="str">
        <f>"TG STUDENT LOAN - P CROUCH"</f>
        <v>TG STUDENT LOAN - P CROUCH</v>
      </c>
    </row>
    <row r="2963" spans="1:8" x14ac:dyDescent="0.25">
      <c r="A2963" t="s">
        <v>550</v>
      </c>
      <c r="B2963">
        <v>47253</v>
      </c>
      <c r="C2963" s="2">
        <v>2.12</v>
      </c>
      <c r="D2963" s="1">
        <v>43476</v>
      </c>
      <c r="E2963" t="str">
        <f>"201901116517"</f>
        <v>201901116517</v>
      </c>
      <c r="F2963" t="str">
        <f>"THOMAS GOODNIGHT INS REFUND"</f>
        <v>THOMAS GOODNIGHT INS REFUND</v>
      </c>
      <c r="G2963" s="2">
        <v>2.12</v>
      </c>
      <c r="H2963" t="str">
        <f>"THOMAS GOODNIGHT"</f>
        <v>THOMAS GOODNIGHT</v>
      </c>
    </row>
    <row r="2964" spans="1:8" x14ac:dyDescent="0.25">
      <c r="A2964" t="s">
        <v>551</v>
      </c>
      <c r="B2964">
        <v>47245</v>
      </c>
      <c r="C2964" s="2">
        <v>212.65</v>
      </c>
      <c r="D2964" s="1">
        <v>43476</v>
      </c>
      <c r="E2964" t="str">
        <f>"SL9201901096477"</f>
        <v>SL9201901096477</v>
      </c>
      <c r="F2964" t="str">
        <f>"STUDENT LOAN"</f>
        <v>STUDENT LOAN</v>
      </c>
      <c r="G2964" s="2">
        <v>212.65</v>
      </c>
      <c r="H2964" t="str">
        <f>"STUDENT LOAN"</f>
        <v>STUDENT LOAN</v>
      </c>
    </row>
    <row r="2965" spans="1:8" x14ac:dyDescent="0.25">
      <c r="A2965" t="s">
        <v>551</v>
      </c>
      <c r="B2965">
        <v>47274</v>
      </c>
      <c r="C2965" s="2">
        <v>212.65</v>
      </c>
      <c r="D2965" s="1">
        <v>43490</v>
      </c>
      <c r="E2965" t="str">
        <f>"SL9201901236760"</f>
        <v>SL9201901236760</v>
      </c>
      <c r="F2965" t="str">
        <f>"STUDENT LOAN"</f>
        <v>STUDENT LOAN</v>
      </c>
      <c r="G2965" s="2">
        <v>212.65</v>
      </c>
      <c r="H2965" t="str">
        <f>"STUDENT LOAN"</f>
        <v>STUDENT LOAN</v>
      </c>
    </row>
    <row r="2966" spans="1:8" x14ac:dyDescent="0.25">
      <c r="B2966" s="3" t="s">
        <v>552</v>
      </c>
      <c r="C2966" s="2">
        <f>SUM(C2:C2965)</f>
        <v>4931483.1900000023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AP-CHK-RPT-20190805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2019-08-05T14:13:16Z</dcterms:created>
  <dcterms:modified xsi:type="dcterms:W3CDTF">2019-08-05T14:13:16Z</dcterms:modified>
</cp:coreProperties>
</file>