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10848"/>
  </bookViews>
  <sheets>
    <sheet name="AP-CHK-RPT-20180430" sheetId="1" r:id="rId1"/>
  </sheets>
  <calcPr calcId="145621"/>
</workbook>
</file>

<file path=xl/calcChain.xml><?xml version="1.0" encoding="utf-8"?>
<calcChain xmlns="http://schemas.openxmlformats.org/spreadsheetml/2006/main">
  <c r="D3295" i="1" l="1"/>
  <c r="H71" i="1" l="1"/>
  <c r="H192" i="1"/>
  <c r="H260" i="1"/>
  <c r="H349" i="1"/>
  <c r="H459" i="1"/>
  <c r="H495" i="1"/>
  <c r="H616" i="1"/>
  <c r="H680" i="1"/>
  <c r="H685" i="1"/>
  <c r="H788" i="1"/>
  <c r="H789" i="1"/>
  <c r="H799" i="1"/>
  <c r="H824" i="1"/>
  <c r="H825" i="1"/>
  <c r="H977" i="1"/>
  <c r="H980" i="1"/>
  <c r="H984" i="1"/>
  <c r="H1340" i="1"/>
  <c r="H1523" i="1"/>
  <c r="H1613" i="1"/>
  <c r="H1643" i="1"/>
  <c r="H1710" i="1"/>
  <c r="H1711" i="1"/>
  <c r="H1763" i="1"/>
  <c r="H1768" i="1"/>
  <c r="H1769" i="1"/>
  <c r="A2" i="1"/>
  <c r="F2" i="1"/>
  <c r="G2" i="1"/>
  <c r="I2" i="1"/>
  <c r="A3" i="1"/>
  <c r="F3" i="1"/>
  <c r="G3" i="1"/>
  <c r="I3" i="1"/>
  <c r="A4" i="1"/>
  <c r="F4" i="1"/>
  <c r="G4" i="1"/>
  <c r="I4" i="1"/>
  <c r="A5" i="1"/>
  <c r="F5" i="1"/>
  <c r="G5" i="1"/>
  <c r="I5" i="1"/>
  <c r="A6" i="1"/>
  <c r="F6" i="1"/>
  <c r="G6" i="1"/>
  <c r="I6" i="1"/>
  <c r="A7" i="1"/>
  <c r="F7" i="1"/>
  <c r="G7" i="1"/>
  <c r="I7" i="1"/>
  <c r="A8" i="1"/>
  <c r="F8" i="1"/>
  <c r="G8" i="1"/>
  <c r="I8" i="1"/>
  <c r="A9" i="1"/>
  <c r="F9" i="1"/>
  <c r="G9" i="1"/>
  <c r="I9" i="1"/>
  <c r="A10" i="1"/>
  <c r="F10" i="1"/>
  <c r="G10" i="1"/>
  <c r="I10" i="1"/>
  <c r="A11" i="1"/>
  <c r="F11" i="1"/>
  <c r="G11" i="1"/>
  <c r="I11" i="1"/>
  <c r="A12" i="1"/>
  <c r="F12" i="1"/>
  <c r="G12" i="1"/>
  <c r="I12" i="1"/>
  <c r="A13" i="1"/>
  <c r="F13" i="1"/>
  <c r="G13" i="1"/>
  <c r="I13" i="1"/>
  <c r="A14" i="1"/>
  <c r="F14" i="1"/>
  <c r="G14" i="1"/>
  <c r="I14" i="1"/>
  <c r="A15" i="1"/>
  <c r="F15" i="1"/>
  <c r="G15" i="1"/>
  <c r="I15" i="1"/>
  <c r="A16" i="1"/>
  <c r="F16" i="1"/>
  <c r="G16" i="1"/>
  <c r="I16" i="1"/>
  <c r="A17" i="1"/>
  <c r="F17" i="1"/>
  <c r="G17" i="1"/>
  <c r="I17" i="1"/>
  <c r="A18" i="1"/>
  <c r="F18" i="1"/>
  <c r="G18" i="1"/>
  <c r="I18" i="1"/>
  <c r="A19" i="1"/>
  <c r="F19" i="1"/>
  <c r="G19" i="1"/>
  <c r="I19" i="1"/>
  <c r="A20" i="1"/>
  <c r="F20" i="1"/>
  <c r="G20" i="1"/>
  <c r="I20" i="1"/>
  <c r="A21" i="1"/>
  <c r="F21" i="1"/>
  <c r="G21" i="1"/>
  <c r="I21" i="1"/>
  <c r="A22" i="1"/>
  <c r="F22" i="1"/>
  <c r="G22" i="1"/>
  <c r="I22" i="1"/>
  <c r="A23" i="1"/>
  <c r="F23" i="1"/>
  <c r="G23" i="1"/>
  <c r="I23" i="1"/>
  <c r="A24" i="1"/>
  <c r="F24" i="1"/>
  <c r="G24" i="1"/>
  <c r="I24" i="1"/>
  <c r="A25" i="1"/>
  <c r="F25" i="1"/>
  <c r="G25" i="1"/>
  <c r="I25" i="1"/>
  <c r="A26" i="1"/>
  <c r="F26" i="1"/>
  <c r="G26" i="1"/>
  <c r="I26" i="1"/>
  <c r="A27" i="1"/>
  <c r="F27" i="1"/>
  <c r="G27" i="1"/>
  <c r="I27" i="1"/>
  <c r="A28" i="1"/>
  <c r="F28" i="1"/>
  <c r="G28" i="1"/>
  <c r="I28" i="1"/>
  <c r="A29" i="1"/>
  <c r="F29" i="1"/>
  <c r="G29" i="1"/>
  <c r="I29" i="1"/>
  <c r="A30" i="1"/>
  <c r="F30" i="1"/>
  <c r="G30" i="1"/>
  <c r="I30" i="1"/>
  <c r="A31" i="1"/>
  <c r="F31" i="1"/>
  <c r="G31" i="1"/>
  <c r="I31" i="1"/>
  <c r="A32" i="1"/>
  <c r="F32" i="1"/>
  <c r="G32" i="1"/>
  <c r="I32" i="1"/>
  <c r="A33" i="1"/>
  <c r="F33" i="1"/>
  <c r="G33" i="1"/>
  <c r="I33" i="1"/>
  <c r="A34" i="1"/>
  <c r="F34" i="1"/>
  <c r="G34" i="1"/>
  <c r="I34" i="1"/>
  <c r="A35" i="1"/>
  <c r="F35" i="1"/>
  <c r="G35" i="1"/>
  <c r="I35" i="1"/>
  <c r="A36" i="1"/>
  <c r="F36" i="1"/>
  <c r="G36" i="1"/>
  <c r="I36" i="1"/>
  <c r="A37" i="1"/>
  <c r="F37" i="1"/>
  <c r="G37" i="1"/>
  <c r="I37" i="1"/>
  <c r="A38" i="1"/>
  <c r="F38" i="1"/>
  <c r="G38" i="1"/>
  <c r="I38" i="1"/>
  <c r="A39" i="1"/>
  <c r="F39" i="1"/>
  <c r="G39" i="1"/>
  <c r="I39" i="1"/>
  <c r="A40" i="1"/>
  <c r="F40" i="1"/>
  <c r="G40" i="1"/>
  <c r="I40" i="1"/>
  <c r="A41" i="1"/>
  <c r="F41" i="1"/>
  <c r="G41" i="1"/>
  <c r="I41" i="1"/>
  <c r="A42" i="1"/>
  <c r="F42" i="1"/>
  <c r="G42" i="1"/>
  <c r="I42" i="1"/>
  <c r="A43" i="1"/>
  <c r="F43" i="1"/>
  <c r="G43" i="1"/>
  <c r="I43" i="1"/>
  <c r="A44" i="1"/>
  <c r="F44" i="1"/>
  <c r="G44" i="1"/>
  <c r="I44" i="1"/>
  <c r="A45" i="1"/>
  <c r="F45" i="1"/>
  <c r="G45" i="1"/>
  <c r="I45" i="1"/>
  <c r="A46" i="1"/>
  <c r="F46" i="1"/>
  <c r="G46" i="1"/>
  <c r="I46" i="1"/>
  <c r="A47" i="1"/>
  <c r="F47" i="1"/>
  <c r="G47" i="1"/>
  <c r="I47" i="1"/>
  <c r="A48" i="1"/>
  <c r="F48" i="1"/>
  <c r="G48" i="1"/>
  <c r="I48" i="1"/>
  <c r="A49" i="1"/>
  <c r="F49" i="1"/>
  <c r="G49" i="1"/>
  <c r="I49" i="1"/>
  <c r="A50" i="1"/>
  <c r="F50" i="1"/>
  <c r="G50" i="1"/>
  <c r="I50" i="1"/>
  <c r="A51" i="1"/>
  <c r="F51" i="1"/>
  <c r="G51" i="1"/>
  <c r="I51" i="1"/>
  <c r="A52" i="1"/>
  <c r="F52" i="1"/>
  <c r="G52" i="1"/>
  <c r="I52" i="1"/>
  <c r="A53" i="1"/>
  <c r="F53" i="1"/>
  <c r="G53" i="1"/>
  <c r="I53" i="1"/>
  <c r="A54" i="1"/>
  <c r="F54" i="1"/>
  <c r="G54" i="1"/>
  <c r="I54" i="1"/>
  <c r="A55" i="1"/>
  <c r="F55" i="1"/>
  <c r="G55" i="1"/>
  <c r="I55" i="1"/>
  <c r="A56" i="1"/>
  <c r="F56" i="1"/>
  <c r="G56" i="1"/>
  <c r="I56" i="1"/>
  <c r="A57" i="1"/>
  <c r="F57" i="1"/>
  <c r="G57" i="1"/>
  <c r="I57" i="1"/>
  <c r="A58" i="1"/>
  <c r="F58" i="1"/>
  <c r="G58" i="1"/>
  <c r="I58" i="1"/>
  <c r="A59" i="1"/>
  <c r="F59" i="1"/>
  <c r="G59" i="1"/>
  <c r="I59" i="1"/>
  <c r="A60" i="1"/>
  <c r="F60" i="1"/>
  <c r="G60" i="1"/>
  <c r="I60" i="1"/>
  <c r="A61" i="1"/>
  <c r="F61" i="1"/>
  <c r="G61" i="1"/>
  <c r="I61" i="1"/>
  <c r="A62" i="1"/>
  <c r="F62" i="1"/>
  <c r="G62" i="1"/>
  <c r="I62" i="1"/>
  <c r="A63" i="1"/>
  <c r="F63" i="1"/>
  <c r="G63" i="1"/>
  <c r="I63" i="1"/>
  <c r="A64" i="1"/>
  <c r="F64" i="1"/>
  <c r="G64" i="1"/>
  <c r="I64" i="1"/>
  <c r="A65" i="1"/>
  <c r="F65" i="1"/>
  <c r="G65" i="1"/>
  <c r="I65" i="1"/>
  <c r="A66" i="1"/>
  <c r="F66" i="1"/>
  <c r="G66" i="1"/>
  <c r="I66" i="1"/>
  <c r="A67" i="1"/>
  <c r="F67" i="1"/>
  <c r="G67" i="1"/>
  <c r="I67" i="1"/>
  <c r="A68" i="1"/>
  <c r="F68" i="1"/>
  <c r="G68" i="1"/>
  <c r="I68" i="1"/>
  <c r="A69" i="1"/>
  <c r="F69" i="1"/>
  <c r="G69" i="1"/>
  <c r="I69" i="1"/>
  <c r="A70" i="1"/>
  <c r="F70" i="1"/>
  <c r="G70" i="1"/>
  <c r="I70" i="1"/>
  <c r="A71" i="1"/>
  <c r="I71" i="1"/>
  <c r="A72" i="1"/>
  <c r="F72" i="1"/>
  <c r="G72" i="1"/>
  <c r="I72" i="1"/>
  <c r="A73" i="1"/>
  <c r="F73" i="1"/>
  <c r="G73" i="1"/>
  <c r="I73" i="1"/>
  <c r="A74" i="1"/>
  <c r="F74" i="1"/>
  <c r="G74" i="1"/>
  <c r="I74" i="1"/>
  <c r="A75" i="1"/>
  <c r="F75" i="1"/>
  <c r="G75" i="1"/>
  <c r="I75" i="1"/>
  <c r="A76" i="1"/>
  <c r="F76" i="1"/>
  <c r="G76" i="1"/>
  <c r="I76" i="1"/>
  <c r="A77" i="1"/>
  <c r="F77" i="1"/>
  <c r="G77" i="1"/>
  <c r="I77" i="1"/>
  <c r="A78" i="1"/>
  <c r="F78" i="1"/>
  <c r="G78" i="1"/>
  <c r="I78" i="1"/>
  <c r="A79" i="1"/>
  <c r="F79" i="1"/>
  <c r="G79" i="1"/>
  <c r="I79" i="1"/>
  <c r="A80" i="1"/>
  <c r="F80" i="1"/>
  <c r="G80" i="1"/>
  <c r="I80" i="1"/>
  <c r="A81" i="1"/>
  <c r="F81" i="1"/>
  <c r="G81" i="1"/>
  <c r="I81" i="1"/>
  <c r="A82" i="1"/>
  <c r="F82" i="1"/>
  <c r="G82" i="1"/>
  <c r="I82" i="1"/>
  <c r="A83" i="1"/>
  <c r="F83" i="1"/>
  <c r="G83" i="1"/>
  <c r="I83" i="1"/>
  <c r="A84" i="1"/>
  <c r="F84" i="1"/>
  <c r="G84" i="1"/>
  <c r="I84" i="1"/>
  <c r="A85" i="1"/>
  <c r="F85" i="1"/>
  <c r="G85" i="1"/>
  <c r="I85" i="1"/>
  <c r="A86" i="1"/>
  <c r="F86" i="1"/>
  <c r="G86" i="1"/>
  <c r="I86" i="1"/>
  <c r="A87" i="1"/>
  <c r="F87" i="1"/>
  <c r="G87" i="1"/>
  <c r="I87" i="1"/>
  <c r="A88" i="1"/>
  <c r="F88" i="1"/>
  <c r="G88" i="1"/>
  <c r="I88" i="1"/>
  <c r="A89" i="1"/>
  <c r="F89" i="1"/>
  <c r="G89" i="1"/>
  <c r="I89" i="1"/>
  <c r="A90" i="1"/>
  <c r="F90" i="1"/>
  <c r="G90" i="1"/>
  <c r="I90" i="1"/>
  <c r="A91" i="1"/>
  <c r="F91" i="1"/>
  <c r="G91" i="1"/>
  <c r="I91" i="1"/>
  <c r="A92" i="1"/>
  <c r="F92" i="1"/>
  <c r="G92" i="1"/>
  <c r="I92" i="1"/>
  <c r="A93" i="1"/>
  <c r="F93" i="1"/>
  <c r="G93" i="1"/>
  <c r="I93" i="1"/>
  <c r="A94" i="1"/>
  <c r="F94" i="1"/>
  <c r="G94" i="1"/>
  <c r="I94" i="1"/>
  <c r="A95" i="1"/>
  <c r="F95" i="1"/>
  <c r="G95" i="1"/>
  <c r="I95" i="1"/>
  <c r="A96" i="1"/>
  <c r="F96" i="1"/>
  <c r="G96" i="1"/>
  <c r="I96" i="1"/>
  <c r="A97" i="1"/>
  <c r="F97" i="1"/>
  <c r="G97" i="1"/>
  <c r="I97" i="1"/>
  <c r="A98" i="1"/>
  <c r="F98" i="1"/>
  <c r="G98" i="1"/>
  <c r="I98" i="1"/>
  <c r="A99" i="1"/>
  <c r="F99" i="1"/>
  <c r="G99" i="1"/>
  <c r="I99" i="1"/>
  <c r="A100" i="1"/>
  <c r="F100" i="1"/>
  <c r="G100" i="1"/>
  <c r="I100" i="1"/>
  <c r="A101" i="1"/>
  <c r="F101" i="1"/>
  <c r="G101" i="1"/>
  <c r="I101" i="1"/>
  <c r="A102" i="1"/>
  <c r="F102" i="1"/>
  <c r="G102" i="1"/>
  <c r="I102" i="1"/>
  <c r="A103" i="1"/>
  <c r="F103" i="1"/>
  <c r="G103" i="1"/>
  <c r="I103" i="1"/>
  <c r="A104" i="1"/>
  <c r="F104" i="1"/>
  <c r="G104" i="1"/>
  <c r="I104" i="1"/>
  <c r="A105" i="1"/>
  <c r="F105" i="1"/>
  <c r="G105" i="1"/>
  <c r="I105" i="1"/>
  <c r="A106" i="1"/>
  <c r="F106" i="1"/>
  <c r="G106" i="1"/>
  <c r="I106" i="1"/>
  <c r="A107" i="1"/>
  <c r="F107" i="1"/>
  <c r="G107" i="1"/>
  <c r="I107" i="1"/>
  <c r="A108" i="1"/>
  <c r="F108" i="1"/>
  <c r="G108" i="1"/>
  <c r="I108" i="1"/>
  <c r="A109" i="1"/>
  <c r="F109" i="1"/>
  <c r="G109" i="1"/>
  <c r="I109" i="1"/>
  <c r="A110" i="1"/>
  <c r="F110" i="1"/>
  <c r="G110" i="1"/>
  <c r="I110" i="1"/>
  <c r="A111" i="1"/>
  <c r="F111" i="1"/>
  <c r="G111" i="1"/>
  <c r="I111" i="1"/>
  <c r="A112" i="1"/>
  <c r="F112" i="1"/>
  <c r="G112" i="1"/>
  <c r="I112" i="1"/>
  <c r="A113" i="1"/>
  <c r="F113" i="1"/>
  <c r="G113" i="1"/>
  <c r="I113" i="1"/>
  <c r="A114" i="1"/>
  <c r="F114" i="1"/>
  <c r="G114" i="1"/>
  <c r="I114" i="1"/>
  <c r="A115" i="1"/>
  <c r="F115" i="1"/>
  <c r="G115" i="1"/>
  <c r="I115" i="1"/>
  <c r="A116" i="1"/>
  <c r="F116" i="1"/>
  <c r="G116" i="1"/>
  <c r="I116" i="1"/>
  <c r="A117" i="1"/>
  <c r="F117" i="1"/>
  <c r="G117" i="1"/>
  <c r="I117" i="1"/>
  <c r="A118" i="1"/>
  <c r="F118" i="1"/>
  <c r="G118" i="1"/>
  <c r="I118" i="1"/>
  <c r="A119" i="1"/>
  <c r="F119" i="1"/>
  <c r="G119" i="1"/>
  <c r="I119" i="1"/>
  <c r="A120" i="1"/>
  <c r="F120" i="1"/>
  <c r="G120" i="1"/>
  <c r="I120" i="1"/>
  <c r="A121" i="1"/>
  <c r="F121" i="1"/>
  <c r="G121" i="1"/>
  <c r="I121" i="1"/>
  <c r="A122" i="1"/>
  <c r="F122" i="1"/>
  <c r="G122" i="1"/>
  <c r="I122" i="1"/>
  <c r="A123" i="1"/>
  <c r="F123" i="1"/>
  <c r="G123" i="1"/>
  <c r="I123" i="1"/>
  <c r="A124" i="1"/>
  <c r="F124" i="1"/>
  <c r="G124" i="1"/>
  <c r="I124" i="1"/>
  <c r="A125" i="1"/>
  <c r="F125" i="1"/>
  <c r="G125" i="1"/>
  <c r="I125" i="1"/>
  <c r="A126" i="1"/>
  <c r="F126" i="1"/>
  <c r="G126" i="1"/>
  <c r="I126" i="1"/>
  <c r="A127" i="1"/>
  <c r="F127" i="1"/>
  <c r="G127" i="1"/>
  <c r="I127" i="1"/>
  <c r="A128" i="1"/>
  <c r="F128" i="1"/>
  <c r="G128" i="1"/>
  <c r="I128" i="1"/>
  <c r="A129" i="1"/>
  <c r="F129" i="1"/>
  <c r="G129" i="1"/>
  <c r="I129" i="1"/>
  <c r="A130" i="1"/>
  <c r="F130" i="1"/>
  <c r="G130" i="1"/>
  <c r="I130" i="1"/>
  <c r="A131" i="1"/>
  <c r="F131" i="1"/>
  <c r="G131" i="1"/>
  <c r="I131" i="1"/>
  <c r="A132" i="1"/>
  <c r="F132" i="1"/>
  <c r="G132" i="1"/>
  <c r="I132" i="1"/>
  <c r="A133" i="1"/>
  <c r="F133" i="1"/>
  <c r="G133" i="1"/>
  <c r="I133" i="1"/>
  <c r="A134" i="1"/>
  <c r="F134" i="1"/>
  <c r="G134" i="1"/>
  <c r="I134" i="1"/>
  <c r="A135" i="1"/>
  <c r="F135" i="1"/>
  <c r="G135" i="1"/>
  <c r="I135" i="1"/>
  <c r="A136" i="1"/>
  <c r="F136" i="1"/>
  <c r="G136" i="1"/>
  <c r="I136" i="1"/>
  <c r="A137" i="1"/>
  <c r="F137" i="1"/>
  <c r="G137" i="1"/>
  <c r="I137" i="1"/>
  <c r="A138" i="1"/>
  <c r="F138" i="1"/>
  <c r="G138" i="1"/>
  <c r="I138" i="1"/>
  <c r="A139" i="1"/>
  <c r="F139" i="1"/>
  <c r="G139" i="1"/>
  <c r="I139" i="1"/>
  <c r="A140" i="1"/>
  <c r="F140" i="1"/>
  <c r="G140" i="1"/>
  <c r="I140" i="1"/>
  <c r="A141" i="1"/>
  <c r="F141" i="1"/>
  <c r="G141" i="1"/>
  <c r="I141" i="1"/>
  <c r="A142" i="1"/>
  <c r="F142" i="1"/>
  <c r="G142" i="1"/>
  <c r="I142" i="1"/>
  <c r="A143" i="1"/>
  <c r="F143" i="1"/>
  <c r="G143" i="1"/>
  <c r="I143" i="1"/>
  <c r="A144" i="1"/>
  <c r="F144" i="1"/>
  <c r="G144" i="1"/>
  <c r="I144" i="1"/>
  <c r="A145" i="1"/>
  <c r="F145" i="1"/>
  <c r="G145" i="1"/>
  <c r="I145" i="1"/>
  <c r="A146" i="1"/>
  <c r="F146" i="1"/>
  <c r="G146" i="1"/>
  <c r="I146" i="1"/>
  <c r="A147" i="1"/>
  <c r="F147" i="1"/>
  <c r="G147" i="1"/>
  <c r="I147" i="1"/>
  <c r="A148" i="1"/>
  <c r="F148" i="1"/>
  <c r="G148" i="1"/>
  <c r="I148" i="1"/>
  <c r="A149" i="1"/>
  <c r="F149" i="1"/>
  <c r="G149" i="1"/>
  <c r="I149" i="1"/>
  <c r="A150" i="1"/>
  <c r="F150" i="1"/>
  <c r="G150" i="1"/>
  <c r="I150" i="1"/>
  <c r="A151" i="1"/>
  <c r="F151" i="1"/>
  <c r="G151" i="1"/>
  <c r="I151" i="1"/>
  <c r="A152" i="1"/>
  <c r="F152" i="1"/>
  <c r="G152" i="1"/>
  <c r="I152" i="1"/>
  <c r="A153" i="1"/>
  <c r="F153" i="1"/>
  <c r="G153" i="1"/>
  <c r="I153" i="1"/>
  <c r="A154" i="1"/>
  <c r="F154" i="1"/>
  <c r="G154" i="1"/>
  <c r="I154" i="1"/>
  <c r="A155" i="1"/>
  <c r="F155" i="1"/>
  <c r="G155" i="1"/>
  <c r="I155" i="1"/>
  <c r="A156" i="1"/>
  <c r="F156" i="1"/>
  <c r="G156" i="1"/>
  <c r="I156" i="1"/>
  <c r="A157" i="1"/>
  <c r="F157" i="1"/>
  <c r="G157" i="1"/>
  <c r="I157" i="1"/>
  <c r="A158" i="1"/>
  <c r="F158" i="1"/>
  <c r="G158" i="1"/>
  <c r="I158" i="1"/>
  <c r="A159" i="1"/>
  <c r="F159" i="1"/>
  <c r="G159" i="1"/>
  <c r="I159" i="1"/>
  <c r="A160" i="1"/>
  <c r="F160" i="1"/>
  <c r="G160" i="1"/>
  <c r="I160" i="1"/>
  <c r="A161" i="1"/>
  <c r="F161" i="1"/>
  <c r="G161" i="1"/>
  <c r="I161" i="1"/>
  <c r="A162" i="1"/>
  <c r="F162" i="1"/>
  <c r="G162" i="1"/>
  <c r="I162" i="1"/>
  <c r="A163" i="1"/>
  <c r="F163" i="1"/>
  <c r="G163" i="1"/>
  <c r="I163" i="1"/>
  <c r="A164" i="1"/>
  <c r="F164" i="1"/>
  <c r="G164" i="1"/>
  <c r="I164" i="1"/>
  <c r="A165" i="1"/>
  <c r="F165" i="1"/>
  <c r="G165" i="1"/>
  <c r="I165" i="1"/>
  <c r="A166" i="1"/>
  <c r="F166" i="1"/>
  <c r="G166" i="1"/>
  <c r="I166" i="1"/>
  <c r="A167" i="1"/>
  <c r="F167" i="1"/>
  <c r="G167" i="1"/>
  <c r="I167" i="1"/>
  <c r="A168" i="1"/>
  <c r="F168" i="1"/>
  <c r="G168" i="1"/>
  <c r="I168" i="1"/>
  <c r="A169" i="1"/>
  <c r="F169" i="1"/>
  <c r="G169" i="1"/>
  <c r="I169" i="1"/>
  <c r="A170" i="1"/>
  <c r="F170" i="1"/>
  <c r="G170" i="1"/>
  <c r="I170" i="1"/>
  <c r="A171" i="1"/>
  <c r="F171" i="1"/>
  <c r="G171" i="1"/>
  <c r="I171" i="1"/>
  <c r="A172" i="1"/>
  <c r="F172" i="1"/>
  <c r="G172" i="1"/>
  <c r="I172" i="1"/>
  <c r="A173" i="1"/>
  <c r="F173" i="1"/>
  <c r="G173" i="1"/>
  <c r="I173" i="1"/>
  <c r="A174" i="1"/>
  <c r="F174" i="1"/>
  <c r="G174" i="1"/>
  <c r="I174" i="1"/>
  <c r="A175" i="1"/>
  <c r="F175" i="1"/>
  <c r="G175" i="1"/>
  <c r="I175" i="1"/>
  <c r="A176" i="1"/>
  <c r="F176" i="1"/>
  <c r="G176" i="1"/>
  <c r="I176" i="1"/>
  <c r="A177" i="1"/>
  <c r="F177" i="1"/>
  <c r="G177" i="1"/>
  <c r="I177" i="1"/>
  <c r="A178" i="1"/>
  <c r="F178" i="1"/>
  <c r="G178" i="1"/>
  <c r="I178" i="1"/>
  <c r="A179" i="1"/>
  <c r="F179" i="1"/>
  <c r="G179" i="1"/>
  <c r="I179" i="1"/>
  <c r="A180" i="1"/>
  <c r="F180" i="1"/>
  <c r="G180" i="1"/>
  <c r="I180" i="1"/>
  <c r="A181" i="1"/>
  <c r="F181" i="1"/>
  <c r="G181" i="1"/>
  <c r="I181" i="1"/>
  <c r="A182" i="1"/>
  <c r="F182" i="1"/>
  <c r="G182" i="1"/>
  <c r="I182" i="1"/>
  <c r="A183" i="1"/>
  <c r="F183" i="1"/>
  <c r="G183" i="1"/>
  <c r="I183" i="1"/>
  <c r="A184" i="1"/>
  <c r="F184" i="1"/>
  <c r="G184" i="1"/>
  <c r="I184" i="1"/>
  <c r="A185" i="1"/>
  <c r="F185" i="1"/>
  <c r="G185" i="1"/>
  <c r="I185" i="1"/>
  <c r="A186" i="1"/>
  <c r="F186" i="1"/>
  <c r="G186" i="1"/>
  <c r="I186" i="1"/>
  <c r="A187" i="1"/>
  <c r="F187" i="1"/>
  <c r="G187" i="1"/>
  <c r="I187" i="1"/>
  <c r="A188" i="1"/>
  <c r="F188" i="1"/>
  <c r="G188" i="1"/>
  <c r="I188" i="1"/>
  <c r="A189" i="1"/>
  <c r="F189" i="1"/>
  <c r="G189" i="1"/>
  <c r="I189" i="1"/>
  <c r="A190" i="1"/>
  <c r="F190" i="1"/>
  <c r="G190" i="1"/>
  <c r="I190" i="1"/>
  <c r="A191" i="1"/>
  <c r="F191" i="1"/>
  <c r="G191" i="1"/>
  <c r="I191" i="1"/>
  <c r="A192" i="1"/>
  <c r="I192" i="1"/>
  <c r="A193" i="1"/>
  <c r="F193" i="1"/>
  <c r="G193" i="1"/>
  <c r="I193" i="1"/>
  <c r="A194" i="1"/>
  <c r="F194" i="1"/>
  <c r="G194" i="1"/>
  <c r="I194" i="1"/>
  <c r="A195" i="1"/>
  <c r="F195" i="1"/>
  <c r="G195" i="1"/>
  <c r="I195" i="1"/>
  <c r="A196" i="1"/>
  <c r="F196" i="1"/>
  <c r="G196" i="1"/>
  <c r="I196" i="1"/>
  <c r="A197" i="1"/>
  <c r="F197" i="1"/>
  <c r="G197" i="1"/>
  <c r="I197" i="1"/>
  <c r="A198" i="1"/>
  <c r="F198" i="1"/>
  <c r="G198" i="1"/>
  <c r="I198" i="1"/>
  <c r="A199" i="1"/>
  <c r="F199" i="1"/>
  <c r="G199" i="1"/>
  <c r="I199" i="1"/>
  <c r="A200" i="1"/>
  <c r="F200" i="1"/>
  <c r="G200" i="1"/>
  <c r="I200" i="1"/>
  <c r="A201" i="1"/>
  <c r="F201" i="1"/>
  <c r="G201" i="1"/>
  <c r="I201" i="1"/>
  <c r="A202" i="1"/>
  <c r="F202" i="1"/>
  <c r="G202" i="1"/>
  <c r="I202" i="1"/>
  <c r="A203" i="1"/>
  <c r="F203" i="1"/>
  <c r="G203" i="1"/>
  <c r="I203" i="1"/>
  <c r="A204" i="1"/>
  <c r="F204" i="1"/>
  <c r="G204" i="1"/>
  <c r="I204" i="1"/>
  <c r="A205" i="1"/>
  <c r="F205" i="1"/>
  <c r="G205" i="1"/>
  <c r="I205" i="1"/>
  <c r="A206" i="1"/>
  <c r="F206" i="1"/>
  <c r="G206" i="1"/>
  <c r="I206" i="1"/>
  <c r="A207" i="1"/>
  <c r="F207" i="1"/>
  <c r="G207" i="1"/>
  <c r="I207" i="1"/>
  <c r="A208" i="1"/>
  <c r="F208" i="1"/>
  <c r="G208" i="1"/>
  <c r="I208" i="1"/>
  <c r="A209" i="1"/>
  <c r="F209" i="1"/>
  <c r="G209" i="1"/>
  <c r="I209" i="1"/>
  <c r="A210" i="1"/>
  <c r="F210" i="1"/>
  <c r="G210" i="1"/>
  <c r="I210" i="1"/>
  <c r="A211" i="1"/>
  <c r="F211" i="1"/>
  <c r="G211" i="1"/>
  <c r="I211" i="1"/>
  <c r="A212" i="1"/>
  <c r="F212" i="1"/>
  <c r="G212" i="1"/>
  <c r="I212" i="1"/>
  <c r="A213" i="1"/>
  <c r="F213" i="1"/>
  <c r="G213" i="1"/>
  <c r="I213" i="1"/>
  <c r="A214" i="1"/>
  <c r="F214" i="1"/>
  <c r="G214" i="1"/>
  <c r="I214" i="1"/>
  <c r="A215" i="1"/>
  <c r="F215" i="1"/>
  <c r="G215" i="1"/>
  <c r="I215" i="1"/>
  <c r="A216" i="1"/>
  <c r="F216" i="1"/>
  <c r="G216" i="1"/>
  <c r="I216" i="1"/>
  <c r="A217" i="1"/>
  <c r="F217" i="1"/>
  <c r="G217" i="1"/>
  <c r="I217" i="1"/>
  <c r="A218" i="1"/>
  <c r="F218" i="1"/>
  <c r="G218" i="1"/>
  <c r="I218" i="1"/>
  <c r="A219" i="1"/>
  <c r="F219" i="1"/>
  <c r="G219" i="1"/>
  <c r="I219" i="1"/>
  <c r="A220" i="1"/>
  <c r="F220" i="1"/>
  <c r="G220" i="1"/>
  <c r="A221" i="1"/>
  <c r="F221" i="1"/>
  <c r="G221" i="1"/>
  <c r="A222" i="1"/>
  <c r="F222" i="1"/>
  <c r="G222" i="1"/>
  <c r="I222" i="1"/>
  <c r="A223" i="1"/>
  <c r="F223" i="1"/>
  <c r="G223" i="1"/>
  <c r="I223" i="1"/>
  <c r="A224" i="1"/>
  <c r="F224" i="1"/>
  <c r="G224" i="1"/>
  <c r="I224" i="1"/>
  <c r="A225" i="1"/>
  <c r="F225" i="1"/>
  <c r="G225" i="1"/>
  <c r="I225" i="1"/>
  <c r="A226" i="1"/>
  <c r="F226" i="1"/>
  <c r="G226" i="1"/>
  <c r="I226" i="1"/>
  <c r="A227" i="1"/>
  <c r="F227" i="1"/>
  <c r="G227" i="1"/>
  <c r="I227" i="1"/>
  <c r="A228" i="1"/>
  <c r="F228" i="1"/>
  <c r="G228" i="1"/>
  <c r="I228" i="1"/>
  <c r="A229" i="1"/>
  <c r="F229" i="1"/>
  <c r="G229" i="1"/>
  <c r="I229" i="1"/>
  <c r="A230" i="1"/>
  <c r="F230" i="1"/>
  <c r="G230" i="1"/>
  <c r="I230" i="1"/>
  <c r="A231" i="1"/>
  <c r="F231" i="1"/>
  <c r="G231" i="1"/>
  <c r="I231" i="1"/>
  <c r="A232" i="1"/>
  <c r="F232" i="1"/>
  <c r="G232" i="1"/>
  <c r="I232" i="1"/>
  <c r="A233" i="1"/>
  <c r="F233" i="1"/>
  <c r="G233" i="1"/>
  <c r="I233" i="1"/>
  <c r="A234" i="1"/>
  <c r="F234" i="1"/>
  <c r="G234" i="1"/>
  <c r="I234" i="1"/>
  <c r="A235" i="1"/>
  <c r="F235" i="1"/>
  <c r="G235" i="1"/>
  <c r="I235" i="1"/>
  <c r="A236" i="1"/>
  <c r="F236" i="1"/>
  <c r="G236" i="1"/>
  <c r="I236" i="1"/>
  <c r="A237" i="1"/>
  <c r="F237" i="1"/>
  <c r="G237" i="1"/>
  <c r="I237" i="1"/>
  <c r="A238" i="1"/>
  <c r="F238" i="1"/>
  <c r="G238" i="1"/>
  <c r="I238" i="1"/>
  <c r="A239" i="1"/>
  <c r="F239" i="1"/>
  <c r="G239" i="1"/>
  <c r="I239" i="1"/>
  <c r="A240" i="1"/>
  <c r="F240" i="1"/>
  <c r="G240" i="1"/>
  <c r="I240" i="1"/>
  <c r="A241" i="1"/>
  <c r="F241" i="1"/>
  <c r="G241" i="1"/>
  <c r="I241" i="1"/>
  <c r="A242" i="1"/>
  <c r="F242" i="1"/>
  <c r="G242" i="1"/>
  <c r="I242" i="1"/>
  <c r="A243" i="1"/>
  <c r="F243" i="1"/>
  <c r="G243" i="1"/>
  <c r="I243" i="1"/>
  <c r="A244" i="1"/>
  <c r="F244" i="1"/>
  <c r="G244" i="1"/>
  <c r="I244" i="1"/>
  <c r="A245" i="1"/>
  <c r="F245" i="1"/>
  <c r="G245" i="1"/>
  <c r="I245" i="1"/>
  <c r="A246" i="1"/>
  <c r="F246" i="1"/>
  <c r="G246" i="1"/>
  <c r="I246" i="1"/>
  <c r="A247" i="1"/>
  <c r="F247" i="1"/>
  <c r="G247" i="1"/>
  <c r="I247" i="1"/>
  <c r="A248" i="1"/>
  <c r="F248" i="1"/>
  <c r="G248" i="1"/>
  <c r="I248" i="1"/>
  <c r="A249" i="1"/>
  <c r="F249" i="1"/>
  <c r="G249" i="1"/>
  <c r="I249" i="1"/>
  <c r="A250" i="1"/>
  <c r="F250" i="1"/>
  <c r="G250" i="1"/>
  <c r="I250" i="1"/>
  <c r="A251" i="1"/>
  <c r="F251" i="1"/>
  <c r="G251" i="1"/>
  <c r="I251" i="1"/>
  <c r="A252" i="1"/>
  <c r="F252" i="1"/>
  <c r="G252" i="1"/>
  <c r="I252" i="1"/>
  <c r="A253" i="1"/>
  <c r="F253" i="1"/>
  <c r="G253" i="1"/>
  <c r="I253" i="1"/>
  <c r="A254" i="1"/>
  <c r="F254" i="1"/>
  <c r="G254" i="1"/>
  <c r="I254" i="1"/>
  <c r="A255" i="1"/>
  <c r="F255" i="1"/>
  <c r="G255" i="1"/>
  <c r="I255" i="1"/>
  <c r="A256" i="1"/>
  <c r="F256" i="1"/>
  <c r="G256" i="1"/>
  <c r="I256" i="1"/>
  <c r="A257" i="1"/>
  <c r="F257" i="1"/>
  <c r="G257" i="1"/>
  <c r="I257" i="1"/>
  <c r="A258" i="1"/>
  <c r="F258" i="1"/>
  <c r="G258" i="1"/>
  <c r="I258" i="1"/>
  <c r="A259" i="1"/>
  <c r="F259" i="1"/>
  <c r="G259" i="1"/>
  <c r="I259" i="1"/>
  <c r="A260" i="1"/>
  <c r="I260" i="1"/>
  <c r="A261" i="1"/>
  <c r="F261" i="1"/>
  <c r="G261" i="1"/>
  <c r="I261" i="1"/>
  <c r="A262" i="1"/>
  <c r="F262" i="1"/>
  <c r="G262" i="1"/>
  <c r="I262" i="1"/>
  <c r="A263" i="1"/>
  <c r="F263" i="1"/>
  <c r="G263" i="1"/>
  <c r="I263" i="1"/>
  <c r="A264" i="1"/>
  <c r="F264" i="1"/>
  <c r="G264" i="1"/>
  <c r="I264" i="1"/>
  <c r="A265" i="1"/>
  <c r="F265" i="1"/>
  <c r="G265" i="1"/>
  <c r="I265" i="1"/>
  <c r="A266" i="1"/>
  <c r="F266" i="1"/>
  <c r="G266" i="1"/>
  <c r="I266" i="1"/>
  <c r="A267" i="1"/>
  <c r="F267" i="1"/>
  <c r="G267" i="1"/>
  <c r="I267" i="1"/>
  <c r="A268" i="1"/>
  <c r="F268" i="1"/>
  <c r="G268" i="1"/>
  <c r="I268" i="1"/>
  <c r="A269" i="1"/>
  <c r="F269" i="1"/>
  <c r="G269" i="1"/>
  <c r="I269" i="1"/>
  <c r="A270" i="1"/>
  <c r="F270" i="1"/>
  <c r="G270" i="1"/>
  <c r="I270" i="1"/>
  <c r="A271" i="1"/>
  <c r="F271" i="1"/>
  <c r="G271" i="1"/>
  <c r="I271" i="1"/>
  <c r="A272" i="1"/>
  <c r="F272" i="1"/>
  <c r="G272" i="1"/>
  <c r="I272" i="1"/>
  <c r="A273" i="1"/>
  <c r="F273" i="1"/>
  <c r="G273" i="1"/>
  <c r="I273" i="1"/>
  <c r="A274" i="1"/>
  <c r="F274" i="1"/>
  <c r="G274" i="1"/>
  <c r="I274" i="1"/>
  <c r="A275" i="1"/>
  <c r="F275" i="1"/>
  <c r="G275" i="1"/>
  <c r="I275" i="1"/>
  <c r="A276" i="1"/>
  <c r="F276" i="1"/>
  <c r="G276" i="1"/>
  <c r="I276" i="1"/>
  <c r="A277" i="1"/>
  <c r="F277" i="1"/>
  <c r="G277" i="1"/>
  <c r="I277" i="1"/>
  <c r="A278" i="1"/>
  <c r="F278" i="1"/>
  <c r="G278" i="1"/>
  <c r="I278" i="1"/>
  <c r="A279" i="1"/>
  <c r="F279" i="1"/>
  <c r="G279" i="1"/>
  <c r="I279" i="1"/>
  <c r="A280" i="1"/>
  <c r="F280" i="1"/>
  <c r="G280" i="1"/>
  <c r="I280" i="1"/>
  <c r="A281" i="1"/>
  <c r="F281" i="1"/>
  <c r="G281" i="1"/>
  <c r="I281" i="1"/>
  <c r="A282" i="1"/>
  <c r="F282" i="1"/>
  <c r="G282" i="1"/>
  <c r="I282" i="1"/>
  <c r="A283" i="1"/>
  <c r="F283" i="1"/>
  <c r="G283" i="1"/>
  <c r="I283" i="1"/>
  <c r="A284" i="1"/>
  <c r="F284" i="1"/>
  <c r="G284" i="1"/>
  <c r="I284" i="1"/>
  <c r="A285" i="1"/>
  <c r="F285" i="1"/>
  <c r="G285" i="1"/>
  <c r="I285" i="1"/>
  <c r="A286" i="1"/>
  <c r="F286" i="1"/>
  <c r="G286" i="1"/>
  <c r="I286" i="1"/>
  <c r="A287" i="1"/>
  <c r="F287" i="1"/>
  <c r="G287" i="1"/>
  <c r="I287" i="1"/>
  <c r="A288" i="1"/>
  <c r="F288" i="1"/>
  <c r="G288" i="1"/>
  <c r="I288" i="1"/>
  <c r="A289" i="1"/>
  <c r="F289" i="1"/>
  <c r="G289" i="1"/>
  <c r="I289" i="1"/>
  <c r="A290" i="1"/>
  <c r="F290" i="1"/>
  <c r="G290" i="1"/>
  <c r="I290" i="1"/>
  <c r="A291" i="1"/>
  <c r="F291" i="1"/>
  <c r="G291" i="1"/>
  <c r="I291" i="1"/>
  <c r="A292" i="1"/>
  <c r="F292" i="1"/>
  <c r="G292" i="1"/>
  <c r="I292" i="1"/>
  <c r="A293" i="1"/>
  <c r="F293" i="1"/>
  <c r="G293" i="1"/>
  <c r="I293" i="1"/>
  <c r="A294" i="1"/>
  <c r="F294" i="1"/>
  <c r="G294" i="1"/>
  <c r="I294" i="1"/>
  <c r="A295" i="1"/>
  <c r="F295" i="1"/>
  <c r="G295" i="1"/>
  <c r="I295" i="1"/>
  <c r="A296" i="1"/>
  <c r="F296" i="1"/>
  <c r="G296" i="1"/>
  <c r="I296" i="1"/>
  <c r="A297" i="1"/>
  <c r="F297" i="1"/>
  <c r="G297" i="1"/>
  <c r="I297" i="1"/>
  <c r="A298" i="1"/>
  <c r="F298" i="1"/>
  <c r="G298" i="1"/>
  <c r="I298" i="1"/>
  <c r="A299" i="1"/>
  <c r="F299" i="1"/>
  <c r="G299" i="1"/>
  <c r="I299" i="1"/>
  <c r="A300" i="1"/>
  <c r="F300" i="1"/>
  <c r="G300" i="1"/>
  <c r="I300" i="1"/>
  <c r="A301" i="1"/>
  <c r="F301" i="1"/>
  <c r="G301" i="1"/>
  <c r="I301" i="1"/>
  <c r="A302" i="1"/>
  <c r="F302" i="1"/>
  <c r="G302" i="1"/>
  <c r="I302" i="1"/>
  <c r="A303" i="1"/>
  <c r="F303" i="1"/>
  <c r="G303" i="1"/>
  <c r="I303" i="1"/>
  <c r="A304" i="1"/>
  <c r="F304" i="1"/>
  <c r="G304" i="1"/>
  <c r="I304" i="1"/>
  <c r="A305" i="1"/>
  <c r="F305" i="1"/>
  <c r="G305" i="1"/>
  <c r="I305" i="1"/>
  <c r="A306" i="1"/>
  <c r="F306" i="1"/>
  <c r="G306" i="1"/>
  <c r="I306" i="1"/>
  <c r="A307" i="1"/>
  <c r="F307" i="1"/>
  <c r="G307" i="1"/>
  <c r="I307" i="1"/>
  <c r="A308" i="1"/>
  <c r="F308" i="1"/>
  <c r="G308" i="1"/>
  <c r="I308" i="1"/>
  <c r="A309" i="1"/>
  <c r="F309" i="1"/>
  <c r="G309" i="1"/>
  <c r="I309" i="1"/>
  <c r="A310" i="1"/>
  <c r="F310" i="1"/>
  <c r="G310" i="1"/>
  <c r="I310" i="1"/>
  <c r="A311" i="1"/>
  <c r="F311" i="1"/>
  <c r="G311" i="1"/>
  <c r="I311" i="1"/>
  <c r="A312" i="1"/>
  <c r="F312" i="1"/>
  <c r="G312" i="1"/>
  <c r="I312" i="1"/>
  <c r="A313" i="1"/>
  <c r="F313" i="1"/>
  <c r="G313" i="1"/>
  <c r="I313" i="1"/>
  <c r="A314" i="1"/>
  <c r="F314" i="1"/>
  <c r="G314" i="1"/>
  <c r="I314" i="1"/>
  <c r="A315" i="1"/>
  <c r="F315" i="1"/>
  <c r="G315" i="1"/>
  <c r="I315" i="1"/>
  <c r="A316" i="1"/>
  <c r="F316" i="1"/>
  <c r="G316" i="1"/>
  <c r="I316" i="1"/>
  <c r="A317" i="1"/>
  <c r="F317" i="1"/>
  <c r="G317" i="1"/>
  <c r="I317" i="1"/>
  <c r="A318" i="1"/>
  <c r="F318" i="1"/>
  <c r="G318" i="1"/>
  <c r="I318" i="1"/>
  <c r="A319" i="1"/>
  <c r="F319" i="1"/>
  <c r="G319" i="1"/>
  <c r="I319" i="1"/>
  <c r="A320" i="1"/>
  <c r="F320" i="1"/>
  <c r="G320" i="1"/>
  <c r="I320" i="1"/>
  <c r="A321" i="1"/>
  <c r="F321" i="1"/>
  <c r="G321" i="1"/>
  <c r="I321" i="1"/>
  <c r="A322" i="1"/>
  <c r="F322" i="1"/>
  <c r="G322" i="1"/>
  <c r="I322" i="1"/>
  <c r="A323" i="1"/>
  <c r="F323" i="1"/>
  <c r="G323" i="1"/>
  <c r="I323" i="1"/>
  <c r="A324" i="1"/>
  <c r="F324" i="1"/>
  <c r="G324" i="1"/>
  <c r="I324" i="1"/>
  <c r="A325" i="1"/>
  <c r="F325" i="1"/>
  <c r="G325" i="1"/>
  <c r="I325" i="1"/>
  <c r="A326" i="1"/>
  <c r="F326" i="1"/>
  <c r="G326" i="1"/>
  <c r="I326" i="1"/>
  <c r="A327" i="1"/>
  <c r="F327" i="1"/>
  <c r="G327" i="1"/>
  <c r="I327" i="1"/>
  <c r="A328" i="1"/>
  <c r="F328" i="1"/>
  <c r="G328" i="1"/>
  <c r="I328" i="1"/>
  <c r="A329" i="1"/>
  <c r="F329" i="1"/>
  <c r="G329" i="1"/>
  <c r="I329" i="1"/>
  <c r="A330" i="1"/>
  <c r="F330" i="1"/>
  <c r="G330" i="1"/>
  <c r="I330" i="1"/>
  <c r="A331" i="1"/>
  <c r="F331" i="1"/>
  <c r="G331" i="1"/>
  <c r="I331" i="1"/>
  <c r="A332" i="1"/>
  <c r="F332" i="1"/>
  <c r="G332" i="1"/>
  <c r="I332" i="1"/>
  <c r="A333" i="1"/>
  <c r="F333" i="1"/>
  <c r="G333" i="1"/>
  <c r="I333" i="1"/>
  <c r="A334" i="1"/>
  <c r="F334" i="1"/>
  <c r="G334" i="1"/>
  <c r="I334" i="1"/>
  <c r="A335" i="1"/>
  <c r="F335" i="1"/>
  <c r="G335" i="1"/>
  <c r="I335" i="1"/>
  <c r="A336" i="1"/>
  <c r="F336" i="1"/>
  <c r="G336" i="1"/>
  <c r="I336" i="1"/>
  <c r="A337" i="1"/>
  <c r="F337" i="1"/>
  <c r="G337" i="1"/>
  <c r="I337" i="1"/>
  <c r="A338" i="1"/>
  <c r="F338" i="1"/>
  <c r="G338" i="1"/>
  <c r="I338" i="1"/>
  <c r="A339" i="1"/>
  <c r="F339" i="1"/>
  <c r="G339" i="1"/>
  <c r="I339" i="1"/>
  <c r="A340" i="1"/>
  <c r="F340" i="1"/>
  <c r="G340" i="1"/>
  <c r="I340" i="1"/>
  <c r="A341" i="1"/>
  <c r="F341" i="1"/>
  <c r="G341" i="1"/>
  <c r="I341" i="1"/>
  <c r="A342" i="1"/>
  <c r="F342" i="1"/>
  <c r="G342" i="1"/>
  <c r="I342" i="1"/>
  <c r="A343" i="1"/>
  <c r="F343" i="1"/>
  <c r="G343" i="1"/>
  <c r="I343" i="1"/>
  <c r="A344" i="1"/>
  <c r="F344" i="1"/>
  <c r="G344" i="1"/>
  <c r="I344" i="1"/>
  <c r="A345" i="1"/>
  <c r="F345" i="1"/>
  <c r="G345" i="1"/>
  <c r="I345" i="1"/>
  <c r="A346" i="1"/>
  <c r="F346" i="1"/>
  <c r="G346" i="1"/>
  <c r="I346" i="1"/>
  <c r="A347" i="1"/>
  <c r="F347" i="1"/>
  <c r="G347" i="1"/>
  <c r="I347" i="1"/>
  <c r="A348" i="1"/>
  <c r="F348" i="1"/>
  <c r="G348" i="1"/>
  <c r="I348" i="1"/>
  <c r="A349" i="1"/>
  <c r="I349" i="1"/>
  <c r="A350" i="1"/>
  <c r="F350" i="1"/>
  <c r="G350" i="1"/>
  <c r="I350" i="1"/>
  <c r="A351" i="1"/>
  <c r="F351" i="1"/>
  <c r="G351" i="1"/>
  <c r="I351" i="1"/>
  <c r="A352" i="1"/>
  <c r="F352" i="1"/>
  <c r="G352" i="1"/>
  <c r="I352" i="1"/>
  <c r="A353" i="1"/>
  <c r="F353" i="1"/>
  <c r="G353" i="1"/>
  <c r="I353" i="1"/>
  <c r="A354" i="1"/>
  <c r="F354" i="1"/>
  <c r="G354" i="1"/>
  <c r="I354" i="1"/>
  <c r="A355" i="1"/>
  <c r="F355" i="1"/>
  <c r="G355" i="1"/>
  <c r="I355" i="1"/>
  <c r="A356" i="1"/>
  <c r="F356" i="1"/>
  <c r="G356" i="1"/>
  <c r="I356" i="1"/>
  <c r="A357" i="1"/>
  <c r="F357" i="1"/>
  <c r="G357" i="1"/>
  <c r="I357" i="1"/>
  <c r="A358" i="1"/>
  <c r="F358" i="1"/>
  <c r="G358" i="1"/>
  <c r="I358" i="1"/>
  <c r="A359" i="1"/>
  <c r="F359" i="1"/>
  <c r="G359" i="1"/>
  <c r="I359" i="1"/>
  <c r="A360" i="1"/>
  <c r="F360" i="1"/>
  <c r="G360" i="1"/>
  <c r="I360" i="1"/>
  <c r="A361" i="1"/>
  <c r="F361" i="1"/>
  <c r="G361" i="1"/>
  <c r="I361" i="1"/>
  <c r="A362" i="1"/>
  <c r="F362" i="1"/>
  <c r="G362" i="1"/>
  <c r="I362" i="1"/>
  <c r="A363" i="1"/>
  <c r="F363" i="1"/>
  <c r="G363" i="1"/>
  <c r="I363" i="1"/>
  <c r="A364" i="1"/>
  <c r="F364" i="1"/>
  <c r="G364" i="1"/>
  <c r="I364" i="1"/>
  <c r="A365" i="1"/>
  <c r="F365" i="1"/>
  <c r="G365" i="1"/>
  <c r="I365" i="1"/>
  <c r="A366" i="1"/>
  <c r="F366" i="1"/>
  <c r="G366" i="1"/>
  <c r="I366" i="1"/>
  <c r="A367" i="1"/>
  <c r="F367" i="1"/>
  <c r="G367" i="1"/>
  <c r="I367" i="1"/>
  <c r="A368" i="1"/>
  <c r="F368" i="1"/>
  <c r="G368" i="1"/>
  <c r="I368" i="1"/>
  <c r="A369" i="1"/>
  <c r="F369" i="1"/>
  <c r="G369" i="1"/>
  <c r="I369" i="1"/>
  <c r="A370" i="1"/>
  <c r="F370" i="1"/>
  <c r="G370" i="1"/>
  <c r="I370" i="1"/>
  <c r="A371" i="1"/>
  <c r="F371" i="1"/>
  <c r="G371" i="1"/>
  <c r="I371" i="1"/>
  <c r="A372" i="1"/>
  <c r="F372" i="1"/>
  <c r="G372" i="1"/>
  <c r="I372" i="1"/>
  <c r="A373" i="1"/>
  <c r="F373" i="1"/>
  <c r="G373" i="1"/>
  <c r="I373" i="1"/>
  <c r="A374" i="1"/>
  <c r="F374" i="1"/>
  <c r="G374" i="1"/>
  <c r="I374" i="1"/>
  <c r="A375" i="1"/>
  <c r="F375" i="1"/>
  <c r="G375" i="1"/>
  <c r="I375" i="1"/>
  <c r="A376" i="1"/>
  <c r="F376" i="1"/>
  <c r="G376" i="1"/>
  <c r="I376" i="1"/>
  <c r="A377" i="1"/>
  <c r="F377" i="1"/>
  <c r="G377" i="1"/>
  <c r="I377" i="1"/>
  <c r="A378" i="1"/>
  <c r="F378" i="1"/>
  <c r="G378" i="1"/>
  <c r="A379" i="1"/>
  <c r="F379" i="1"/>
  <c r="G379" i="1"/>
  <c r="I379" i="1"/>
  <c r="A380" i="1"/>
  <c r="F380" i="1"/>
  <c r="G380" i="1"/>
  <c r="I380" i="1"/>
  <c r="A381" i="1"/>
  <c r="F381" i="1"/>
  <c r="G381" i="1"/>
  <c r="I381" i="1"/>
  <c r="A382" i="1"/>
  <c r="F382" i="1"/>
  <c r="G382" i="1"/>
  <c r="I382" i="1"/>
  <c r="A383" i="1"/>
  <c r="F383" i="1"/>
  <c r="G383" i="1"/>
  <c r="I383" i="1"/>
  <c r="A384" i="1"/>
  <c r="F384" i="1"/>
  <c r="G384" i="1"/>
  <c r="I384" i="1"/>
  <c r="A385" i="1"/>
  <c r="F385" i="1"/>
  <c r="G385" i="1"/>
  <c r="I385" i="1"/>
  <c r="A386" i="1"/>
  <c r="F386" i="1"/>
  <c r="G386" i="1"/>
  <c r="I386" i="1"/>
  <c r="A387" i="1"/>
  <c r="F387" i="1"/>
  <c r="G387" i="1"/>
  <c r="I387" i="1"/>
  <c r="A388" i="1"/>
  <c r="F388" i="1"/>
  <c r="G388" i="1"/>
  <c r="I388" i="1"/>
  <c r="A389" i="1"/>
  <c r="F389" i="1"/>
  <c r="G389" i="1"/>
  <c r="I389" i="1"/>
  <c r="A390" i="1"/>
  <c r="F390" i="1"/>
  <c r="G390" i="1"/>
  <c r="I390" i="1"/>
  <c r="A391" i="1"/>
  <c r="F391" i="1"/>
  <c r="G391" i="1"/>
  <c r="I391" i="1"/>
  <c r="A392" i="1"/>
  <c r="F392" i="1"/>
  <c r="G392" i="1"/>
  <c r="I392" i="1"/>
  <c r="A393" i="1"/>
  <c r="F393" i="1"/>
  <c r="G393" i="1"/>
  <c r="I393" i="1"/>
  <c r="A394" i="1"/>
  <c r="F394" i="1"/>
  <c r="G394" i="1"/>
  <c r="I394" i="1"/>
  <c r="A395" i="1"/>
  <c r="F395" i="1"/>
  <c r="G395" i="1"/>
  <c r="I395" i="1"/>
  <c r="A396" i="1"/>
  <c r="F396" i="1"/>
  <c r="G396" i="1"/>
  <c r="I396" i="1"/>
  <c r="A397" i="1"/>
  <c r="F397" i="1"/>
  <c r="G397" i="1"/>
  <c r="I397" i="1"/>
  <c r="A398" i="1"/>
  <c r="F398" i="1"/>
  <c r="G398" i="1"/>
  <c r="I398" i="1"/>
  <c r="A399" i="1"/>
  <c r="F399" i="1"/>
  <c r="G399" i="1"/>
  <c r="I399" i="1"/>
  <c r="A400" i="1"/>
  <c r="F400" i="1"/>
  <c r="G400" i="1"/>
  <c r="I400" i="1"/>
  <c r="A401" i="1"/>
  <c r="F401" i="1"/>
  <c r="G401" i="1"/>
  <c r="I401" i="1"/>
  <c r="A402" i="1"/>
  <c r="F402" i="1"/>
  <c r="G402" i="1"/>
  <c r="I402" i="1"/>
  <c r="A403" i="1"/>
  <c r="F403" i="1"/>
  <c r="G403" i="1"/>
  <c r="I403" i="1"/>
  <c r="A404" i="1"/>
  <c r="F404" i="1"/>
  <c r="G404" i="1"/>
  <c r="I404" i="1"/>
  <c r="A405" i="1"/>
  <c r="F405" i="1"/>
  <c r="G405" i="1"/>
  <c r="I405" i="1"/>
  <c r="A406" i="1"/>
  <c r="F406" i="1"/>
  <c r="G406" i="1"/>
  <c r="I406" i="1"/>
  <c r="A407" i="1"/>
  <c r="F407" i="1"/>
  <c r="G407" i="1"/>
  <c r="I407" i="1"/>
  <c r="A408" i="1"/>
  <c r="F408" i="1"/>
  <c r="G408" i="1"/>
  <c r="I408" i="1"/>
  <c r="A409" i="1"/>
  <c r="F409" i="1"/>
  <c r="G409" i="1"/>
  <c r="I409" i="1"/>
  <c r="A410" i="1"/>
  <c r="F410" i="1"/>
  <c r="G410" i="1"/>
  <c r="I410" i="1"/>
  <c r="A411" i="1"/>
  <c r="F411" i="1"/>
  <c r="G411" i="1"/>
  <c r="I411" i="1"/>
  <c r="A412" i="1"/>
  <c r="F412" i="1"/>
  <c r="G412" i="1"/>
  <c r="I412" i="1"/>
  <c r="A413" i="1"/>
  <c r="F413" i="1"/>
  <c r="G413" i="1"/>
  <c r="I413" i="1"/>
  <c r="A414" i="1"/>
  <c r="F414" i="1"/>
  <c r="G414" i="1"/>
  <c r="I414" i="1"/>
  <c r="A415" i="1"/>
  <c r="F415" i="1"/>
  <c r="G415" i="1"/>
  <c r="I415" i="1"/>
  <c r="A416" i="1"/>
  <c r="F416" i="1"/>
  <c r="G416" i="1"/>
  <c r="I416" i="1"/>
  <c r="A417" i="1"/>
  <c r="F417" i="1"/>
  <c r="G417" i="1"/>
  <c r="I417" i="1"/>
  <c r="A418" i="1"/>
  <c r="F418" i="1"/>
  <c r="G418" i="1"/>
  <c r="I418" i="1"/>
  <c r="A419" i="1"/>
  <c r="F419" i="1"/>
  <c r="G419" i="1"/>
  <c r="I419" i="1"/>
  <c r="A420" i="1"/>
  <c r="F420" i="1"/>
  <c r="G420" i="1"/>
  <c r="I420" i="1"/>
  <c r="A421" i="1"/>
  <c r="F421" i="1"/>
  <c r="G421" i="1"/>
  <c r="I421" i="1"/>
  <c r="A422" i="1"/>
  <c r="F422" i="1"/>
  <c r="G422" i="1"/>
  <c r="I422" i="1"/>
  <c r="A423" i="1"/>
  <c r="F423" i="1"/>
  <c r="G423" i="1"/>
  <c r="I423" i="1"/>
  <c r="A424" i="1"/>
  <c r="F424" i="1"/>
  <c r="G424" i="1"/>
  <c r="I424" i="1"/>
  <c r="A425" i="1"/>
  <c r="F425" i="1"/>
  <c r="G425" i="1"/>
  <c r="I425" i="1"/>
  <c r="A426" i="1"/>
  <c r="F426" i="1"/>
  <c r="G426" i="1"/>
  <c r="I426" i="1"/>
  <c r="A427" i="1"/>
  <c r="F427" i="1"/>
  <c r="G427" i="1"/>
  <c r="I427" i="1"/>
  <c r="A428" i="1"/>
  <c r="F428" i="1"/>
  <c r="G428" i="1"/>
  <c r="I428" i="1"/>
  <c r="A429" i="1"/>
  <c r="F429" i="1"/>
  <c r="G429" i="1"/>
  <c r="I429" i="1"/>
  <c r="A430" i="1"/>
  <c r="F430" i="1"/>
  <c r="G430" i="1"/>
  <c r="I430" i="1"/>
  <c r="A431" i="1"/>
  <c r="F431" i="1"/>
  <c r="G431" i="1"/>
  <c r="I431" i="1"/>
  <c r="A432" i="1"/>
  <c r="F432" i="1"/>
  <c r="G432" i="1"/>
  <c r="I432" i="1"/>
  <c r="A433" i="1"/>
  <c r="F433" i="1"/>
  <c r="G433" i="1"/>
  <c r="I433" i="1"/>
  <c r="A434" i="1"/>
  <c r="F434" i="1"/>
  <c r="G434" i="1"/>
  <c r="I434" i="1"/>
  <c r="A435" i="1"/>
  <c r="F435" i="1"/>
  <c r="G435" i="1"/>
  <c r="I435" i="1"/>
  <c r="A436" i="1"/>
  <c r="F436" i="1"/>
  <c r="G436" i="1"/>
  <c r="I436" i="1"/>
  <c r="A437" i="1"/>
  <c r="F437" i="1"/>
  <c r="G437" i="1"/>
  <c r="I437" i="1"/>
  <c r="A438" i="1"/>
  <c r="F438" i="1"/>
  <c r="G438" i="1"/>
  <c r="I438" i="1"/>
  <c r="A439" i="1"/>
  <c r="F439" i="1"/>
  <c r="G439" i="1"/>
  <c r="I439" i="1"/>
  <c r="A440" i="1"/>
  <c r="F440" i="1"/>
  <c r="G440" i="1"/>
  <c r="I440" i="1"/>
  <c r="A441" i="1"/>
  <c r="F441" i="1"/>
  <c r="G441" i="1"/>
  <c r="I441" i="1"/>
  <c r="A442" i="1"/>
  <c r="F442" i="1"/>
  <c r="G442" i="1"/>
  <c r="I442" i="1"/>
  <c r="A443" i="1"/>
  <c r="F443" i="1"/>
  <c r="G443" i="1"/>
  <c r="I443" i="1"/>
  <c r="A444" i="1"/>
  <c r="F444" i="1"/>
  <c r="G444" i="1"/>
  <c r="I444" i="1"/>
  <c r="A445" i="1"/>
  <c r="F445" i="1"/>
  <c r="G445" i="1"/>
  <c r="I445" i="1"/>
  <c r="A446" i="1"/>
  <c r="F446" i="1"/>
  <c r="G446" i="1"/>
  <c r="I446" i="1"/>
  <c r="A447" i="1"/>
  <c r="F447" i="1"/>
  <c r="G447" i="1"/>
  <c r="I447" i="1"/>
  <c r="A448" i="1"/>
  <c r="F448" i="1"/>
  <c r="G448" i="1"/>
  <c r="I448" i="1"/>
  <c r="A449" i="1"/>
  <c r="F449" i="1"/>
  <c r="G449" i="1"/>
  <c r="I449" i="1"/>
  <c r="A450" i="1"/>
  <c r="F450" i="1"/>
  <c r="G450" i="1"/>
  <c r="I450" i="1"/>
  <c r="A451" i="1"/>
  <c r="F451" i="1"/>
  <c r="G451" i="1"/>
  <c r="I451" i="1"/>
  <c r="A452" i="1"/>
  <c r="F452" i="1"/>
  <c r="G452" i="1"/>
  <c r="I452" i="1"/>
  <c r="A453" i="1"/>
  <c r="F453" i="1"/>
  <c r="G453" i="1"/>
  <c r="I453" i="1"/>
  <c r="A454" i="1"/>
  <c r="F454" i="1"/>
  <c r="G454" i="1"/>
  <c r="I454" i="1"/>
  <c r="A455" i="1"/>
  <c r="F455" i="1"/>
  <c r="G455" i="1"/>
  <c r="I455" i="1"/>
  <c r="A456" i="1"/>
  <c r="F456" i="1"/>
  <c r="G456" i="1"/>
  <c r="I456" i="1"/>
  <c r="A457" i="1"/>
  <c r="F457" i="1"/>
  <c r="G457" i="1"/>
  <c r="I457" i="1"/>
  <c r="A458" i="1"/>
  <c r="F458" i="1"/>
  <c r="G458" i="1"/>
  <c r="I458" i="1"/>
  <c r="A459" i="1"/>
  <c r="I459" i="1"/>
  <c r="A460" i="1"/>
  <c r="F460" i="1"/>
  <c r="G460" i="1"/>
  <c r="I460" i="1"/>
  <c r="A461" i="1"/>
  <c r="F461" i="1"/>
  <c r="G461" i="1"/>
  <c r="I461" i="1"/>
  <c r="A462" i="1"/>
  <c r="F462" i="1"/>
  <c r="G462" i="1"/>
  <c r="I462" i="1"/>
  <c r="A463" i="1"/>
  <c r="F463" i="1"/>
  <c r="G463" i="1"/>
  <c r="I463" i="1"/>
  <c r="A464" i="1"/>
  <c r="F464" i="1"/>
  <c r="G464" i="1"/>
  <c r="I464" i="1"/>
  <c r="A465" i="1"/>
  <c r="F465" i="1"/>
  <c r="G465" i="1"/>
  <c r="I465" i="1"/>
  <c r="A466" i="1"/>
  <c r="F466" i="1"/>
  <c r="G466" i="1"/>
  <c r="I466" i="1"/>
  <c r="A467" i="1"/>
  <c r="F467" i="1"/>
  <c r="G467" i="1"/>
  <c r="I467" i="1"/>
  <c r="A468" i="1"/>
  <c r="F468" i="1"/>
  <c r="G468" i="1"/>
  <c r="I468" i="1"/>
  <c r="A469" i="1"/>
  <c r="F469" i="1"/>
  <c r="G469" i="1"/>
  <c r="I469" i="1"/>
  <c r="A470" i="1"/>
  <c r="F470" i="1"/>
  <c r="G470" i="1"/>
  <c r="I470" i="1"/>
  <c r="A471" i="1"/>
  <c r="F471" i="1"/>
  <c r="G471" i="1"/>
  <c r="I471" i="1"/>
  <c r="A472" i="1"/>
  <c r="F472" i="1"/>
  <c r="G472" i="1"/>
  <c r="I472" i="1"/>
  <c r="A473" i="1"/>
  <c r="F473" i="1"/>
  <c r="G473" i="1"/>
  <c r="I473" i="1"/>
  <c r="A474" i="1"/>
  <c r="F474" i="1"/>
  <c r="G474" i="1"/>
  <c r="I474" i="1"/>
  <c r="A475" i="1"/>
  <c r="F475" i="1"/>
  <c r="G475" i="1"/>
  <c r="I475" i="1"/>
  <c r="A476" i="1"/>
  <c r="F476" i="1"/>
  <c r="G476" i="1"/>
  <c r="I476" i="1"/>
  <c r="A477" i="1"/>
  <c r="F477" i="1"/>
  <c r="G477" i="1"/>
  <c r="I477" i="1"/>
  <c r="A478" i="1"/>
  <c r="F478" i="1"/>
  <c r="G478" i="1"/>
  <c r="I478" i="1"/>
  <c r="A479" i="1"/>
  <c r="F479" i="1"/>
  <c r="G479" i="1"/>
  <c r="I479" i="1"/>
  <c r="A480" i="1"/>
  <c r="F480" i="1"/>
  <c r="G480" i="1"/>
  <c r="I480" i="1"/>
  <c r="A481" i="1"/>
  <c r="F481" i="1"/>
  <c r="G481" i="1"/>
  <c r="I481" i="1"/>
  <c r="A482" i="1"/>
  <c r="F482" i="1"/>
  <c r="G482" i="1"/>
  <c r="I482" i="1"/>
  <c r="A483" i="1"/>
  <c r="F483" i="1"/>
  <c r="G483" i="1"/>
  <c r="I483" i="1"/>
  <c r="A484" i="1"/>
  <c r="F484" i="1"/>
  <c r="G484" i="1"/>
  <c r="I484" i="1"/>
  <c r="A485" i="1"/>
  <c r="F485" i="1"/>
  <c r="G485" i="1"/>
  <c r="I485" i="1"/>
  <c r="A486" i="1"/>
  <c r="F486" i="1"/>
  <c r="G486" i="1"/>
  <c r="I486" i="1"/>
  <c r="A487" i="1"/>
  <c r="F487" i="1"/>
  <c r="G487" i="1"/>
  <c r="I487" i="1"/>
  <c r="A488" i="1"/>
  <c r="F488" i="1"/>
  <c r="G488" i="1"/>
  <c r="I488" i="1"/>
  <c r="A489" i="1"/>
  <c r="F489" i="1"/>
  <c r="G489" i="1"/>
  <c r="I489" i="1"/>
  <c r="A490" i="1"/>
  <c r="F490" i="1"/>
  <c r="G490" i="1"/>
  <c r="I490" i="1"/>
  <c r="A491" i="1"/>
  <c r="F491" i="1"/>
  <c r="G491" i="1"/>
  <c r="I491" i="1"/>
  <c r="A492" i="1"/>
  <c r="F492" i="1"/>
  <c r="G492" i="1"/>
  <c r="I492" i="1"/>
  <c r="A493" i="1"/>
  <c r="F493" i="1"/>
  <c r="G493" i="1"/>
  <c r="I493" i="1"/>
  <c r="A494" i="1"/>
  <c r="F494" i="1"/>
  <c r="G494" i="1"/>
  <c r="I494" i="1"/>
  <c r="A495" i="1"/>
  <c r="I495" i="1"/>
  <c r="A496" i="1"/>
  <c r="F496" i="1"/>
  <c r="G496" i="1"/>
  <c r="I496" i="1"/>
  <c r="A497" i="1"/>
  <c r="F497" i="1"/>
  <c r="G497" i="1"/>
  <c r="I497" i="1"/>
  <c r="A498" i="1"/>
  <c r="F498" i="1"/>
  <c r="G498" i="1"/>
  <c r="I498" i="1"/>
  <c r="A499" i="1"/>
  <c r="F499" i="1"/>
  <c r="G499" i="1"/>
  <c r="I499" i="1"/>
  <c r="A500" i="1"/>
  <c r="F500" i="1"/>
  <c r="G500" i="1"/>
  <c r="I500" i="1"/>
  <c r="A501" i="1"/>
  <c r="F501" i="1"/>
  <c r="G501" i="1"/>
  <c r="I501" i="1"/>
  <c r="A502" i="1"/>
  <c r="F502" i="1"/>
  <c r="G502" i="1"/>
  <c r="I502" i="1"/>
  <c r="A503" i="1"/>
  <c r="F503" i="1"/>
  <c r="G503" i="1"/>
  <c r="I503" i="1"/>
  <c r="A504" i="1"/>
  <c r="F504" i="1"/>
  <c r="G504" i="1"/>
  <c r="I504" i="1"/>
  <c r="A505" i="1"/>
  <c r="F505" i="1"/>
  <c r="G505" i="1"/>
  <c r="I505" i="1"/>
  <c r="A506" i="1"/>
  <c r="F506" i="1"/>
  <c r="G506" i="1"/>
  <c r="I506" i="1"/>
  <c r="A507" i="1"/>
  <c r="F507" i="1"/>
  <c r="G507" i="1"/>
  <c r="I507" i="1"/>
  <c r="A508" i="1"/>
  <c r="F508" i="1"/>
  <c r="G508" i="1"/>
  <c r="I508" i="1"/>
  <c r="A509" i="1"/>
  <c r="F509" i="1"/>
  <c r="G509" i="1"/>
  <c r="I509" i="1"/>
  <c r="A510" i="1"/>
  <c r="F510" i="1"/>
  <c r="G510" i="1"/>
  <c r="I510" i="1"/>
  <c r="A511" i="1"/>
  <c r="F511" i="1"/>
  <c r="G511" i="1"/>
  <c r="I511" i="1"/>
  <c r="A512" i="1"/>
  <c r="F512" i="1"/>
  <c r="G512" i="1"/>
  <c r="I512" i="1"/>
  <c r="A513" i="1"/>
  <c r="F513" i="1"/>
  <c r="G513" i="1"/>
  <c r="I513" i="1"/>
  <c r="A514" i="1"/>
  <c r="F514" i="1"/>
  <c r="G514" i="1"/>
  <c r="I514" i="1"/>
  <c r="A515" i="1"/>
  <c r="F515" i="1"/>
  <c r="G515" i="1"/>
  <c r="I515" i="1"/>
  <c r="A516" i="1"/>
  <c r="F516" i="1"/>
  <c r="G516" i="1"/>
  <c r="I516" i="1"/>
  <c r="A517" i="1"/>
  <c r="F517" i="1"/>
  <c r="G517" i="1"/>
  <c r="I517" i="1"/>
  <c r="A518" i="1"/>
  <c r="F518" i="1"/>
  <c r="G518" i="1"/>
  <c r="I518" i="1"/>
  <c r="A519" i="1"/>
  <c r="F519" i="1"/>
  <c r="G519" i="1"/>
  <c r="I519" i="1"/>
  <c r="A520" i="1"/>
  <c r="F520" i="1"/>
  <c r="G520" i="1"/>
  <c r="I520" i="1"/>
  <c r="A521" i="1"/>
  <c r="F521" i="1"/>
  <c r="G521" i="1"/>
  <c r="I521" i="1"/>
  <c r="A522" i="1"/>
  <c r="F522" i="1"/>
  <c r="G522" i="1"/>
  <c r="I522" i="1"/>
  <c r="A523" i="1"/>
  <c r="F523" i="1"/>
  <c r="G523" i="1"/>
  <c r="I523" i="1"/>
  <c r="A524" i="1"/>
  <c r="F524" i="1"/>
  <c r="G524" i="1"/>
  <c r="I524" i="1"/>
  <c r="A525" i="1"/>
  <c r="F525" i="1"/>
  <c r="G525" i="1"/>
  <c r="I525" i="1"/>
  <c r="A526" i="1"/>
  <c r="F526" i="1"/>
  <c r="G526" i="1"/>
  <c r="I526" i="1"/>
  <c r="A527" i="1"/>
  <c r="F527" i="1"/>
  <c r="G527" i="1"/>
  <c r="I527" i="1"/>
  <c r="A528" i="1"/>
  <c r="F528" i="1"/>
  <c r="G528" i="1"/>
  <c r="I528" i="1"/>
  <c r="A529" i="1"/>
  <c r="F529" i="1"/>
  <c r="G529" i="1"/>
  <c r="I529" i="1"/>
  <c r="A530" i="1"/>
  <c r="F530" i="1"/>
  <c r="G530" i="1"/>
  <c r="I530" i="1"/>
  <c r="A531" i="1"/>
  <c r="F531" i="1"/>
  <c r="G531" i="1"/>
  <c r="I531" i="1"/>
  <c r="A532" i="1"/>
  <c r="F532" i="1"/>
  <c r="G532" i="1"/>
  <c r="I532" i="1"/>
  <c r="A533" i="1"/>
  <c r="F533" i="1"/>
  <c r="G533" i="1"/>
  <c r="I533" i="1"/>
  <c r="A534" i="1"/>
  <c r="F534" i="1"/>
  <c r="G534" i="1"/>
  <c r="I534" i="1"/>
  <c r="A535" i="1"/>
  <c r="F535" i="1"/>
  <c r="G535" i="1"/>
  <c r="I535" i="1"/>
  <c r="A536" i="1"/>
  <c r="F536" i="1"/>
  <c r="G536" i="1"/>
  <c r="I536" i="1"/>
  <c r="A537" i="1"/>
  <c r="F537" i="1"/>
  <c r="G537" i="1"/>
  <c r="I537" i="1"/>
  <c r="A538" i="1"/>
  <c r="F538" i="1"/>
  <c r="G538" i="1"/>
  <c r="I538" i="1"/>
  <c r="A539" i="1"/>
  <c r="F539" i="1"/>
  <c r="G539" i="1"/>
  <c r="I539" i="1"/>
  <c r="A540" i="1"/>
  <c r="F540" i="1"/>
  <c r="G540" i="1"/>
  <c r="I540" i="1"/>
  <c r="A541" i="1"/>
  <c r="F541" i="1"/>
  <c r="G541" i="1"/>
  <c r="I541" i="1"/>
  <c r="A542" i="1"/>
  <c r="F542" i="1"/>
  <c r="G542" i="1"/>
  <c r="I542" i="1"/>
  <c r="A543" i="1"/>
  <c r="F543" i="1"/>
  <c r="G543" i="1"/>
  <c r="I543" i="1"/>
  <c r="A544" i="1"/>
  <c r="F544" i="1"/>
  <c r="G544" i="1"/>
  <c r="I544" i="1"/>
  <c r="A545" i="1"/>
  <c r="F545" i="1"/>
  <c r="G545" i="1"/>
  <c r="I545" i="1"/>
  <c r="A546" i="1"/>
  <c r="F546" i="1"/>
  <c r="G546" i="1"/>
  <c r="I546" i="1"/>
  <c r="A547" i="1"/>
  <c r="F547" i="1"/>
  <c r="G547" i="1"/>
  <c r="I547" i="1"/>
  <c r="A548" i="1"/>
  <c r="F548" i="1"/>
  <c r="G548" i="1"/>
  <c r="I548" i="1"/>
  <c r="A549" i="1"/>
  <c r="F549" i="1"/>
  <c r="G549" i="1"/>
  <c r="I549" i="1"/>
  <c r="A550" i="1"/>
  <c r="F550" i="1"/>
  <c r="G550" i="1"/>
  <c r="I550" i="1"/>
  <c r="A551" i="1"/>
  <c r="F551" i="1"/>
  <c r="G551" i="1"/>
  <c r="I551" i="1"/>
  <c r="A552" i="1"/>
  <c r="F552" i="1"/>
  <c r="G552" i="1"/>
  <c r="I552" i="1"/>
  <c r="A553" i="1"/>
  <c r="F553" i="1"/>
  <c r="G553" i="1"/>
  <c r="I553" i="1"/>
  <c r="A554" i="1"/>
  <c r="F554" i="1"/>
  <c r="G554" i="1"/>
  <c r="I554" i="1"/>
  <c r="A555" i="1"/>
  <c r="F555" i="1"/>
  <c r="G555" i="1"/>
  <c r="I555" i="1"/>
  <c r="A556" i="1"/>
  <c r="F556" i="1"/>
  <c r="G556" i="1"/>
  <c r="I556" i="1"/>
  <c r="A557" i="1"/>
  <c r="F557" i="1"/>
  <c r="G557" i="1"/>
  <c r="I557" i="1"/>
  <c r="A558" i="1"/>
  <c r="F558" i="1"/>
  <c r="G558" i="1"/>
  <c r="I558" i="1"/>
  <c r="A559" i="1"/>
  <c r="F559" i="1"/>
  <c r="G559" i="1"/>
  <c r="I559" i="1"/>
  <c r="A560" i="1"/>
  <c r="F560" i="1"/>
  <c r="G560" i="1"/>
  <c r="I560" i="1"/>
  <c r="A561" i="1"/>
  <c r="F561" i="1"/>
  <c r="G561" i="1"/>
  <c r="I561" i="1"/>
  <c r="A562" i="1"/>
  <c r="F562" i="1"/>
  <c r="G562" i="1"/>
  <c r="I562" i="1"/>
  <c r="A563" i="1"/>
  <c r="F563" i="1"/>
  <c r="G563" i="1"/>
  <c r="I563" i="1"/>
  <c r="A564" i="1"/>
  <c r="F564" i="1"/>
  <c r="G564" i="1"/>
  <c r="I564" i="1"/>
  <c r="A565" i="1"/>
  <c r="F565" i="1"/>
  <c r="G565" i="1"/>
  <c r="I565" i="1"/>
  <c r="A566" i="1"/>
  <c r="F566" i="1"/>
  <c r="G566" i="1"/>
  <c r="I566" i="1"/>
  <c r="A567" i="1"/>
  <c r="F567" i="1"/>
  <c r="G567" i="1"/>
  <c r="I567" i="1"/>
  <c r="A568" i="1"/>
  <c r="F568" i="1"/>
  <c r="G568" i="1"/>
  <c r="I568" i="1"/>
  <c r="A569" i="1"/>
  <c r="F569" i="1"/>
  <c r="G569" i="1"/>
  <c r="I569" i="1"/>
  <c r="A570" i="1"/>
  <c r="F570" i="1"/>
  <c r="G570" i="1"/>
  <c r="I570" i="1"/>
  <c r="A571" i="1"/>
  <c r="F571" i="1"/>
  <c r="G571" i="1"/>
  <c r="I571" i="1"/>
  <c r="A572" i="1"/>
  <c r="F572" i="1"/>
  <c r="G572" i="1"/>
  <c r="I572" i="1"/>
  <c r="A573" i="1"/>
  <c r="F573" i="1"/>
  <c r="G573" i="1"/>
  <c r="I573" i="1"/>
  <c r="A574" i="1"/>
  <c r="F574" i="1"/>
  <c r="G574" i="1"/>
  <c r="I574" i="1"/>
  <c r="A575" i="1"/>
  <c r="F575" i="1"/>
  <c r="G575" i="1"/>
  <c r="I575" i="1"/>
  <c r="A576" i="1"/>
  <c r="F576" i="1"/>
  <c r="G576" i="1"/>
  <c r="I576" i="1"/>
  <c r="A577" i="1"/>
  <c r="F577" i="1"/>
  <c r="G577" i="1"/>
  <c r="I577" i="1"/>
  <c r="A578" i="1"/>
  <c r="F578" i="1"/>
  <c r="G578" i="1"/>
  <c r="I578" i="1"/>
  <c r="A579" i="1"/>
  <c r="F579" i="1"/>
  <c r="G579" i="1"/>
  <c r="I579" i="1"/>
  <c r="A580" i="1"/>
  <c r="F580" i="1"/>
  <c r="G580" i="1"/>
  <c r="I580" i="1"/>
  <c r="A581" i="1"/>
  <c r="F581" i="1"/>
  <c r="G581" i="1"/>
  <c r="I581" i="1"/>
  <c r="A582" i="1"/>
  <c r="F582" i="1"/>
  <c r="G582" i="1"/>
  <c r="I582" i="1"/>
  <c r="A583" i="1"/>
  <c r="F583" i="1"/>
  <c r="G583" i="1"/>
  <c r="I583" i="1"/>
  <c r="A584" i="1"/>
  <c r="F584" i="1"/>
  <c r="G584" i="1"/>
  <c r="I584" i="1"/>
  <c r="A585" i="1"/>
  <c r="F585" i="1"/>
  <c r="G585" i="1"/>
  <c r="I585" i="1"/>
  <c r="A586" i="1"/>
  <c r="F586" i="1"/>
  <c r="G586" i="1"/>
  <c r="I586" i="1"/>
  <c r="A587" i="1"/>
  <c r="F587" i="1"/>
  <c r="G587" i="1"/>
  <c r="I587" i="1"/>
  <c r="A588" i="1"/>
  <c r="F588" i="1"/>
  <c r="G588" i="1"/>
  <c r="I588" i="1"/>
  <c r="A589" i="1"/>
  <c r="F589" i="1"/>
  <c r="G589" i="1"/>
  <c r="I589" i="1"/>
  <c r="A590" i="1"/>
  <c r="F590" i="1"/>
  <c r="G590" i="1"/>
  <c r="I590" i="1"/>
  <c r="A591" i="1"/>
  <c r="F591" i="1"/>
  <c r="G591" i="1"/>
  <c r="I591" i="1"/>
  <c r="A592" i="1"/>
  <c r="F592" i="1"/>
  <c r="G592" i="1"/>
  <c r="I592" i="1"/>
  <c r="A593" i="1"/>
  <c r="F593" i="1"/>
  <c r="G593" i="1"/>
  <c r="I593" i="1"/>
  <c r="A594" i="1"/>
  <c r="F594" i="1"/>
  <c r="G594" i="1"/>
  <c r="I594" i="1"/>
  <c r="A595" i="1"/>
  <c r="F595" i="1"/>
  <c r="G595" i="1"/>
  <c r="I595" i="1"/>
  <c r="A596" i="1"/>
  <c r="F596" i="1"/>
  <c r="G596" i="1"/>
  <c r="I596" i="1"/>
  <c r="A597" i="1"/>
  <c r="F597" i="1"/>
  <c r="G597" i="1"/>
  <c r="I597" i="1"/>
  <c r="A598" i="1"/>
  <c r="F598" i="1"/>
  <c r="G598" i="1"/>
  <c r="I598" i="1"/>
  <c r="A599" i="1"/>
  <c r="F599" i="1"/>
  <c r="G599" i="1"/>
  <c r="I599" i="1"/>
  <c r="A600" i="1"/>
  <c r="F600" i="1"/>
  <c r="G600" i="1"/>
  <c r="I600" i="1"/>
  <c r="A601" i="1"/>
  <c r="F601" i="1"/>
  <c r="G601" i="1"/>
  <c r="I601" i="1"/>
  <c r="A602" i="1"/>
  <c r="F602" i="1"/>
  <c r="G602" i="1"/>
  <c r="I602" i="1"/>
  <c r="A603" i="1"/>
  <c r="F603" i="1"/>
  <c r="G603" i="1"/>
  <c r="I603" i="1"/>
  <c r="A604" i="1"/>
  <c r="F604" i="1"/>
  <c r="G604" i="1"/>
  <c r="I604" i="1"/>
  <c r="A605" i="1"/>
  <c r="F605" i="1"/>
  <c r="G605" i="1"/>
  <c r="I605" i="1"/>
  <c r="A606" i="1"/>
  <c r="F606" i="1"/>
  <c r="G606" i="1"/>
  <c r="I606" i="1"/>
  <c r="A607" i="1"/>
  <c r="F607" i="1"/>
  <c r="G607" i="1"/>
  <c r="A608" i="1"/>
  <c r="F608" i="1"/>
  <c r="G608" i="1"/>
  <c r="I608" i="1"/>
  <c r="A609" i="1"/>
  <c r="F609" i="1"/>
  <c r="G609" i="1"/>
  <c r="I609" i="1"/>
  <c r="A610" i="1"/>
  <c r="F610" i="1"/>
  <c r="G610" i="1"/>
  <c r="I610" i="1"/>
  <c r="A611" i="1"/>
  <c r="F611" i="1"/>
  <c r="G611" i="1"/>
  <c r="I611" i="1"/>
  <c r="A612" i="1"/>
  <c r="F612" i="1"/>
  <c r="G612" i="1"/>
  <c r="I612" i="1"/>
  <c r="A613" i="1"/>
  <c r="F613" i="1"/>
  <c r="G613" i="1"/>
  <c r="I613" i="1"/>
  <c r="A614" i="1"/>
  <c r="F614" i="1"/>
  <c r="G614" i="1"/>
  <c r="I614" i="1"/>
  <c r="A615" i="1"/>
  <c r="F615" i="1"/>
  <c r="G615" i="1"/>
  <c r="I615" i="1"/>
  <c r="A616" i="1"/>
  <c r="I616" i="1"/>
  <c r="A617" i="1"/>
  <c r="F617" i="1"/>
  <c r="G617" i="1"/>
  <c r="I617" i="1"/>
  <c r="A618" i="1"/>
  <c r="F618" i="1"/>
  <c r="G618" i="1"/>
  <c r="I618" i="1"/>
  <c r="A619" i="1"/>
  <c r="F619" i="1"/>
  <c r="G619" i="1"/>
  <c r="I619" i="1"/>
  <c r="A620" i="1"/>
  <c r="F620" i="1"/>
  <c r="G620" i="1"/>
  <c r="I620" i="1"/>
  <c r="A621" i="1"/>
  <c r="F621" i="1"/>
  <c r="G621" i="1"/>
  <c r="I621" i="1"/>
  <c r="A622" i="1"/>
  <c r="F622" i="1"/>
  <c r="G622" i="1"/>
  <c r="I622" i="1"/>
  <c r="A623" i="1"/>
  <c r="F623" i="1"/>
  <c r="G623" i="1"/>
  <c r="I623" i="1"/>
  <c r="A624" i="1"/>
  <c r="F624" i="1"/>
  <c r="G624" i="1"/>
  <c r="I624" i="1"/>
  <c r="A625" i="1"/>
  <c r="F625" i="1"/>
  <c r="G625" i="1"/>
  <c r="I625" i="1"/>
  <c r="A626" i="1"/>
  <c r="F626" i="1"/>
  <c r="G626" i="1"/>
  <c r="I626" i="1"/>
  <c r="A627" i="1"/>
  <c r="F627" i="1"/>
  <c r="G627" i="1"/>
  <c r="I627" i="1"/>
  <c r="A628" i="1"/>
  <c r="F628" i="1"/>
  <c r="G628" i="1"/>
  <c r="I628" i="1"/>
  <c r="A629" i="1"/>
  <c r="F629" i="1"/>
  <c r="G629" i="1"/>
  <c r="I629" i="1"/>
  <c r="A630" i="1"/>
  <c r="F630" i="1"/>
  <c r="G630" i="1"/>
  <c r="I630" i="1"/>
  <c r="A631" i="1"/>
  <c r="F631" i="1"/>
  <c r="G631" i="1"/>
  <c r="I631" i="1"/>
  <c r="A632" i="1"/>
  <c r="F632" i="1"/>
  <c r="G632" i="1"/>
  <c r="I632" i="1"/>
  <c r="A633" i="1"/>
  <c r="F633" i="1"/>
  <c r="G633" i="1"/>
  <c r="I633" i="1"/>
  <c r="A634" i="1"/>
  <c r="F634" i="1"/>
  <c r="G634" i="1"/>
  <c r="I634" i="1"/>
  <c r="A635" i="1"/>
  <c r="F635" i="1"/>
  <c r="G635" i="1"/>
  <c r="I635" i="1"/>
  <c r="A636" i="1"/>
  <c r="F636" i="1"/>
  <c r="G636" i="1"/>
  <c r="I636" i="1"/>
  <c r="A637" i="1"/>
  <c r="F637" i="1"/>
  <c r="G637" i="1"/>
  <c r="I637" i="1"/>
  <c r="A638" i="1"/>
  <c r="F638" i="1"/>
  <c r="G638" i="1"/>
  <c r="I638" i="1"/>
  <c r="A639" i="1"/>
  <c r="F639" i="1"/>
  <c r="G639" i="1"/>
  <c r="I639" i="1"/>
  <c r="A640" i="1"/>
  <c r="F640" i="1"/>
  <c r="G640" i="1"/>
  <c r="I640" i="1"/>
  <c r="A641" i="1"/>
  <c r="F641" i="1"/>
  <c r="G641" i="1"/>
  <c r="I641" i="1"/>
  <c r="A642" i="1"/>
  <c r="F642" i="1"/>
  <c r="G642" i="1"/>
  <c r="I642" i="1"/>
  <c r="A643" i="1"/>
  <c r="F643" i="1"/>
  <c r="G643" i="1"/>
  <c r="I643" i="1"/>
  <c r="A644" i="1"/>
  <c r="F644" i="1"/>
  <c r="G644" i="1"/>
  <c r="I644" i="1"/>
  <c r="A645" i="1"/>
  <c r="F645" i="1"/>
  <c r="G645" i="1"/>
  <c r="I645" i="1"/>
  <c r="A646" i="1"/>
  <c r="F646" i="1"/>
  <c r="G646" i="1"/>
  <c r="I646" i="1"/>
  <c r="A647" i="1"/>
  <c r="F647" i="1"/>
  <c r="G647" i="1"/>
  <c r="I647" i="1"/>
  <c r="A648" i="1"/>
  <c r="F648" i="1"/>
  <c r="G648" i="1"/>
  <c r="I648" i="1"/>
  <c r="A649" i="1"/>
  <c r="F649" i="1"/>
  <c r="G649" i="1"/>
  <c r="I649" i="1"/>
  <c r="A650" i="1"/>
  <c r="F650" i="1"/>
  <c r="G650" i="1"/>
  <c r="A651" i="1"/>
  <c r="F651" i="1"/>
  <c r="G651" i="1"/>
  <c r="I651" i="1"/>
  <c r="A652" i="1"/>
  <c r="F652" i="1"/>
  <c r="G652" i="1"/>
  <c r="I652" i="1"/>
  <c r="A653" i="1"/>
  <c r="F653" i="1"/>
  <c r="G653" i="1"/>
  <c r="I653" i="1"/>
  <c r="A654" i="1"/>
  <c r="F654" i="1"/>
  <c r="G654" i="1"/>
  <c r="I654" i="1"/>
  <c r="A655" i="1"/>
  <c r="F655" i="1"/>
  <c r="G655" i="1"/>
  <c r="I655" i="1"/>
  <c r="A656" i="1"/>
  <c r="F656" i="1"/>
  <c r="G656" i="1"/>
  <c r="I656" i="1"/>
  <c r="A657" i="1"/>
  <c r="F657" i="1"/>
  <c r="G657" i="1"/>
  <c r="I657" i="1"/>
  <c r="A658" i="1"/>
  <c r="F658" i="1"/>
  <c r="G658" i="1"/>
  <c r="I658" i="1"/>
  <c r="A659" i="1"/>
  <c r="F659" i="1"/>
  <c r="G659" i="1"/>
  <c r="I659" i="1"/>
  <c r="A660" i="1"/>
  <c r="F660" i="1"/>
  <c r="G660" i="1"/>
  <c r="I660" i="1"/>
  <c r="A661" i="1"/>
  <c r="F661" i="1"/>
  <c r="G661" i="1"/>
  <c r="I661" i="1"/>
  <c r="A662" i="1"/>
  <c r="F662" i="1"/>
  <c r="G662" i="1"/>
  <c r="I662" i="1"/>
  <c r="A663" i="1"/>
  <c r="F663" i="1"/>
  <c r="G663" i="1"/>
  <c r="I663" i="1"/>
  <c r="A664" i="1"/>
  <c r="F664" i="1"/>
  <c r="G664" i="1"/>
  <c r="I664" i="1"/>
  <c r="A665" i="1"/>
  <c r="F665" i="1"/>
  <c r="G665" i="1"/>
  <c r="I665" i="1"/>
  <c r="A666" i="1"/>
  <c r="F666" i="1"/>
  <c r="G666" i="1"/>
  <c r="I666" i="1"/>
  <c r="A667" i="1"/>
  <c r="F667" i="1"/>
  <c r="G667" i="1"/>
  <c r="I667" i="1"/>
  <c r="A668" i="1"/>
  <c r="F668" i="1"/>
  <c r="G668" i="1"/>
  <c r="I668" i="1"/>
  <c r="A669" i="1"/>
  <c r="F669" i="1"/>
  <c r="G669" i="1"/>
  <c r="I669" i="1"/>
  <c r="A670" i="1"/>
  <c r="F670" i="1"/>
  <c r="G670" i="1"/>
  <c r="I670" i="1"/>
  <c r="A671" i="1"/>
  <c r="F671" i="1"/>
  <c r="G671" i="1"/>
  <c r="I671" i="1"/>
  <c r="A672" i="1"/>
  <c r="F672" i="1"/>
  <c r="G672" i="1"/>
  <c r="I672" i="1"/>
  <c r="A673" i="1"/>
  <c r="F673" i="1"/>
  <c r="G673" i="1"/>
  <c r="I673" i="1"/>
  <c r="A674" i="1"/>
  <c r="F674" i="1"/>
  <c r="G674" i="1"/>
  <c r="I674" i="1"/>
  <c r="A675" i="1"/>
  <c r="F675" i="1"/>
  <c r="G675" i="1"/>
  <c r="I675" i="1"/>
  <c r="A676" i="1"/>
  <c r="F676" i="1"/>
  <c r="G676" i="1"/>
  <c r="I676" i="1"/>
  <c r="A677" i="1"/>
  <c r="F677" i="1"/>
  <c r="G677" i="1"/>
  <c r="I677" i="1"/>
  <c r="A678" i="1"/>
  <c r="F678" i="1"/>
  <c r="G678" i="1"/>
  <c r="I678" i="1"/>
  <c r="A679" i="1"/>
  <c r="F679" i="1"/>
  <c r="G679" i="1"/>
  <c r="I679" i="1"/>
  <c r="A680" i="1"/>
  <c r="I680" i="1"/>
  <c r="A681" i="1"/>
  <c r="F681" i="1"/>
  <c r="G681" i="1"/>
  <c r="I681" i="1"/>
  <c r="A682" i="1"/>
  <c r="F682" i="1"/>
  <c r="G682" i="1"/>
  <c r="I682" i="1"/>
  <c r="A683" i="1"/>
  <c r="F683" i="1"/>
  <c r="G683" i="1"/>
  <c r="I683" i="1"/>
  <c r="A684" i="1"/>
  <c r="F684" i="1"/>
  <c r="G684" i="1"/>
  <c r="I684" i="1"/>
  <c r="A685" i="1"/>
  <c r="I685" i="1"/>
  <c r="A686" i="1"/>
  <c r="F686" i="1"/>
  <c r="G686" i="1"/>
  <c r="I686" i="1"/>
  <c r="A687" i="1"/>
  <c r="F687" i="1"/>
  <c r="G687" i="1"/>
  <c r="I687" i="1"/>
  <c r="A688" i="1"/>
  <c r="F688" i="1"/>
  <c r="G688" i="1"/>
  <c r="I688" i="1"/>
  <c r="A689" i="1"/>
  <c r="F689" i="1"/>
  <c r="G689" i="1"/>
  <c r="I689" i="1"/>
  <c r="A690" i="1"/>
  <c r="F690" i="1"/>
  <c r="G690" i="1"/>
  <c r="I690" i="1"/>
  <c r="A691" i="1"/>
  <c r="F691" i="1"/>
  <c r="G691" i="1"/>
  <c r="I691" i="1"/>
  <c r="A692" i="1"/>
  <c r="F692" i="1"/>
  <c r="G692" i="1"/>
  <c r="I692" i="1"/>
  <c r="A693" i="1"/>
  <c r="F693" i="1"/>
  <c r="G693" i="1"/>
  <c r="I693" i="1"/>
  <c r="A694" i="1"/>
  <c r="F694" i="1"/>
  <c r="G694" i="1"/>
  <c r="I694" i="1"/>
  <c r="A695" i="1"/>
  <c r="F695" i="1"/>
  <c r="G695" i="1"/>
  <c r="I695" i="1"/>
  <c r="A696" i="1"/>
  <c r="F696" i="1"/>
  <c r="G696" i="1"/>
  <c r="I696" i="1"/>
  <c r="A697" i="1"/>
  <c r="F697" i="1"/>
  <c r="G697" i="1"/>
  <c r="I697" i="1"/>
  <c r="A698" i="1"/>
  <c r="F698" i="1"/>
  <c r="G698" i="1"/>
  <c r="I698" i="1"/>
  <c r="A699" i="1"/>
  <c r="F699" i="1"/>
  <c r="G699" i="1"/>
  <c r="I699" i="1"/>
  <c r="A700" i="1"/>
  <c r="F700" i="1"/>
  <c r="G700" i="1"/>
  <c r="I700" i="1"/>
  <c r="A701" i="1"/>
  <c r="F701" i="1"/>
  <c r="G701" i="1"/>
  <c r="I701" i="1"/>
  <c r="A702" i="1"/>
  <c r="F702" i="1"/>
  <c r="G702" i="1"/>
  <c r="I702" i="1"/>
  <c r="A703" i="1"/>
  <c r="F703" i="1"/>
  <c r="G703" i="1"/>
  <c r="I703" i="1"/>
  <c r="A704" i="1"/>
  <c r="F704" i="1"/>
  <c r="G704" i="1"/>
  <c r="I704" i="1"/>
  <c r="A705" i="1"/>
  <c r="F705" i="1"/>
  <c r="G705" i="1"/>
  <c r="I705" i="1"/>
  <c r="A706" i="1"/>
  <c r="F706" i="1"/>
  <c r="G706" i="1"/>
  <c r="I706" i="1"/>
  <c r="A707" i="1"/>
  <c r="F707" i="1"/>
  <c r="G707" i="1"/>
  <c r="I707" i="1"/>
  <c r="A708" i="1"/>
  <c r="F708" i="1"/>
  <c r="G708" i="1"/>
  <c r="I708" i="1"/>
  <c r="A709" i="1"/>
  <c r="F709" i="1"/>
  <c r="G709" i="1"/>
  <c r="I709" i="1"/>
  <c r="A710" i="1"/>
  <c r="F710" i="1"/>
  <c r="G710" i="1"/>
  <c r="I710" i="1"/>
  <c r="A711" i="1"/>
  <c r="F711" i="1"/>
  <c r="G711" i="1"/>
  <c r="I711" i="1"/>
  <c r="A712" i="1"/>
  <c r="F712" i="1"/>
  <c r="G712" i="1"/>
  <c r="I712" i="1"/>
  <c r="A713" i="1"/>
  <c r="F713" i="1"/>
  <c r="G713" i="1"/>
  <c r="I713" i="1"/>
  <c r="A714" i="1"/>
  <c r="F714" i="1"/>
  <c r="G714" i="1"/>
  <c r="I714" i="1"/>
  <c r="A715" i="1"/>
  <c r="F715" i="1"/>
  <c r="G715" i="1"/>
  <c r="I715" i="1"/>
  <c r="A716" i="1"/>
  <c r="F716" i="1"/>
  <c r="G716" i="1"/>
  <c r="I716" i="1"/>
  <c r="A717" i="1"/>
  <c r="F717" i="1"/>
  <c r="G717" i="1"/>
  <c r="I717" i="1"/>
  <c r="A718" i="1"/>
  <c r="F718" i="1"/>
  <c r="G718" i="1"/>
  <c r="I718" i="1"/>
  <c r="A719" i="1"/>
  <c r="F719" i="1"/>
  <c r="G719" i="1"/>
  <c r="I719" i="1"/>
  <c r="A720" i="1"/>
  <c r="F720" i="1"/>
  <c r="G720" i="1"/>
  <c r="I720" i="1"/>
  <c r="A721" i="1"/>
  <c r="F721" i="1"/>
  <c r="G721" i="1"/>
  <c r="I721" i="1"/>
  <c r="A722" i="1"/>
  <c r="F722" i="1"/>
  <c r="G722" i="1"/>
  <c r="I722" i="1"/>
  <c r="A723" i="1"/>
  <c r="F723" i="1"/>
  <c r="G723" i="1"/>
  <c r="I723" i="1"/>
  <c r="A724" i="1"/>
  <c r="F724" i="1"/>
  <c r="G724" i="1"/>
  <c r="I724" i="1"/>
  <c r="A725" i="1"/>
  <c r="F725" i="1"/>
  <c r="G725" i="1"/>
  <c r="I725" i="1"/>
  <c r="A726" i="1"/>
  <c r="F726" i="1"/>
  <c r="G726" i="1"/>
  <c r="I726" i="1"/>
  <c r="A727" i="1"/>
  <c r="F727" i="1"/>
  <c r="G727" i="1"/>
  <c r="I727" i="1"/>
  <c r="A728" i="1"/>
  <c r="F728" i="1"/>
  <c r="G728" i="1"/>
  <c r="I728" i="1"/>
  <c r="A729" i="1"/>
  <c r="F729" i="1"/>
  <c r="G729" i="1"/>
  <c r="I729" i="1"/>
  <c r="A730" i="1"/>
  <c r="F730" i="1"/>
  <c r="G730" i="1"/>
  <c r="I730" i="1"/>
  <c r="A731" i="1"/>
  <c r="F731" i="1"/>
  <c r="G731" i="1"/>
  <c r="I731" i="1"/>
  <c r="A732" i="1"/>
  <c r="F732" i="1"/>
  <c r="G732" i="1"/>
  <c r="I732" i="1"/>
  <c r="A733" i="1"/>
  <c r="F733" i="1"/>
  <c r="G733" i="1"/>
  <c r="I733" i="1"/>
  <c r="A734" i="1"/>
  <c r="F734" i="1"/>
  <c r="G734" i="1"/>
  <c r="I734" i="1"/>
  <c r="A735" i="1"/>
  <c r="F735" i="1"/>
  <c r="G735" i="1"/>
  <c r="I735" i="1"/>
  <c r="A736" i="1"/>
  <c r="F736" i="1"/>
  <c r="G736" i="1"/>
  <c r="I736" i="1"/>
  <c r="A737" i="1"/>
  <c r="F737" i="1"/>
  <c r="G737" i="1"/>
  <c r="I737" i="1"/>
  <c r="A738" i="1"/>
  <c r="F738" i="1"/>
  <c r="G738" i="1"/>
  <c r="I738" i="1"/>
  <c r="A739" i="1"/>
  <c r="F739" i="1"/>
  <c r="G739" i="1"/>
  <c r="I739" i="1"/>
  <c r="A740" i="1"/>
  <c r="F740" i="1"/>
  <c r="G740" i="1"/>
  <c r="I740" i="1"/>
  <c r="A741" i="1"/>
  <c r="F741" i="1"/>
  <c r="G741" i="1"/>
  <c r="I741" i="1"/>
  <c r="A742" i="1"/>
  <c r="F742" i="1"/>
  <c r="G742" i="1"/>
  <c r="I742" i="1"/>
  <c r="A743" i="1"/>
  <c r="F743" i="1"/>
  <c r="G743" i="1"/>
  <c r="I743" i="1"/>
  <c r="A744" i="1"/>
  <c r="F744" i="1"/>
  <c r="G744" i="1"/>
  <c r="I744" i="1"/>
  <c r="A745" i="1"/>
  <c r="F745" i="1"/>
  <c r="G745" i="1"/>
  <c r="I745" i="1"/>
  <c r="A746" i="1"/>
  <c r="F746" i="1"/>
  <c r="G746" i="1"/>
  <c r="I746" i="1"/>
  <c r="A747" i="1"/>
  <c r="F747" i="1"/>
  <c r="G747" i="1"/>
  <c r="I747" i="1"/>
  <c r="A748" i="1"/>
  <c r="F748" i="1"/>
  <c r="G748" i="1"/>
  <c r="I748" i="1"/>
  <c r="A749" i="1"/>
  <c r="F749" i="1"/>
  <c r="G749" i="1"/>
  <c r="I749" i="1"/>
  <c r="A750" i="1"/>
  <c r="F750" i="1"/>
  <c r="G750" i="1"/>
  <c r="I750" i="1"/>
  <c r="A751" i="1"/>
  <c r="F751" i="1"/>
  <c r="G751" i="1"/>
  <c r="I751" i="1"/>
  <c r="A752" i="1"/>
  <c r="F752" i="1"/>
  <c r="G752" i="1"/>
  <c r="I752" i="1"/>
  <c r="A753" i="1"/>
  <c r="F753" i="1"/>
  <c r="G753" i="1"/>
  <c r="I753" i="1"/>
  <c r="A754" i="1"/>
  <c r="F754" i="1"/>
  <c r="G754" i="1"/>
  <c r="I754" i="1"/>
  <c r="A755" i="1"/>
  <c r="F755" i="1"/>
  <c r="G755" i="1"/>
  <c r="I755" i="1"/>
  <c r="A756" i="1"/>
  <c r="F756" i="1"/>
  <c r="G756" i="1"/>
  <c r="I756" i="1"/>
  <c r="A757" i="1"/>
  <c r="F757" i="1"/>
  <c r="G757" i="1"/>
  <c r="I757" i="1"/>
  <c r="A758" i="1"/>
  <c r="F758" i="1"/>
  <c r="G758" i="1"/>
  <c r="I758" i="1"/>
  <c r="A759" i="1"/>
  <c r="F759" i="1"/>
  <c r="G759" i="1"/>
  <c r="I759" i="1"/>
  <c r="A760" i="1"/>
  <c r="F760" i="1"/>
  <c r="G760" i="1"/>
  <c r="I760" i="1"/>
  <c r="A761" i="1"/>
  <c r="F761" i="1"/>
  <c r="G761" i="1"/>
  <c r="I761" i="1"/>
  <c r="A762" i="1"/>
  <c r="F762" i="1"/>
  <c r="G762" i="1"/>
  <c r="I762" i="1"/>
  <c r="A763" i="1"/>
  <c r="F763" i="1"/>
  <c r="G763" i="1"/>
  <c r="I763" i="1"/>
  <c r="A764" i="1"/>
  <c r="F764" i="1"/>
  <c r="G764" i="1"/>
  <c r="I764" i="1"/>
  <c r="A765" i="1"/>
  <c r="F765" i="1"/>
  <c r="G765" i="1"/>
  <c r="I765" i="1"/>
  <c r="A766" i="1"/>
  <c r="F766" i="1"/>
  <c r="G766" i="1"/>
  <c r="I766" i="1"/>
  <c r="A767" i="1"/>
  <c r="F767" i="1"/>
  <c r="G767" i="1"/>
  <c r="I767" i="1"/>
  <c r="A768" i="1"/>
  <c r="F768" i="1"/>
  <c r="G768" i="1"/>
  <c r="I768" i="1"/>
  <c r="A769" i="1"/>
  <c r="F769" i="1"/>
  <c r="G769" i="1"/>
  <c r="I769" i="1"/>
  <c r="A770" i="1"/>
  <c r="F770" i="1"/>
  <c r="G770" i="1"/>
  <c r="I770" i="1"/>
  <c r="A771" i="1"/>
  <c r="F771" i="1"/>
  <c r="G771" i="1"/>
  <c r="I771" i="1"/>
  <c r="A772" i="1"/>
  <c r="F772" i="1"/>
  <c r="G772" i="1"/>
  <c r="I772" i="1"/>
  <c r="A773" i="1"/>
  <c r="F773" i="1"/>
  <c r="G773" i="1"/>
  <c r="I773" i="1"/>
  <c r="A774" i="1"/>
  <c r="F774" i="1"/>
  <c r="G774" i="1"/>
  <c r="I774" i="1"/>
  <c r="A775" i="1"/>
  <c r="F775" i="1"/>
  <c r="G775" i="1"/>
  <c r="I775" i="1"/>
  <c r="A776" i="1"/>
  <c r="F776" i="1"/>
  <c r="G776" i="1"/>
  <c r="I776" i="1"/>
  <c r="A777" i="1"/>
  <c r="F777" i="1"/>
  <c r="G777" i="1"/>
  <c r="I777" i="1"/>
  <c r="A778" i="1"/>
  <c r="F778" i="1"/>
  <c r="G778" i="1"/>
  <c r="I778" i="1"/>
  <c r="A779" i="1"/>
  <c r="F779" i="1"/>
  <c r="G779" i="1"/>
  <c r="I779" i="1"/>
  <c r="A780" i="1"/>
  <c r="F780" i="1"/>
  <c r="G780" i="1"/>
  <c r="I780" i="1"/>
  <c r="A781" i="1"/>
  <c r="F781" i="1"/>
  <c r="G781" i="1"/>
  <c r="I781" i="1"/>
  <c r="A782" i="1"/>
  <c r="F782" i="1"/>
  <c r="G782" i="1"/>
  <c r="I782" i="1"/>
  <c r="A783" i="1"/>
  <c r="F783" i="1"/>
  <c r="G783" i="1"/>
  <c r="I783" i="1"/>
  <c r="A784" i="1"/>
  <c r="F784" i="1"/>
  <c r="G784" i="1"/>
  <c r="I784" i="1"/>
  <c r="A785" i="1"/>
  <c r="F785" i="1"/>
  <c r="G785" i="1"/>
  <c r="I785" i="1"/>
  <c r="A786" i="1"/>
  <c r="F786" i="1"/>
  <c r="G786" i="1"/>
  <c r="I786" i="1"/>
  <c r="A787" i="1"/>
  <c r="F787" i="1"/>
  <c r="G787" i="1"/>
  <c r="I787" i="1"/>
  <c r="A788" i="1"/>
  <c r="I788" i="1"/>
  <c r="A789" i="1"/>
  <c r="I789" i="1"/>
  <c r="A790" i="1"/>
  <c r="F790" i="1"/>
  <c r="G790" i="1"/>
  <c r="I790" i="1"/>
  <c r="A791" i="1"/>
  <c r="F791" i="1"/>
  <c r="G791" i="1"/>
  <c r="I791" i="1"/>
  <c r="A792" i="1"/>
  <c r="F792" i="1"/>
  <c r="G792" i="1"/>
  <c r="I792" i="1"/>
  <c r="A793" i="1"/>
  <c r="F793" i="1"/>
  <c r="G793" i="1"/>
  <c r="I793" i="1"/>
  <c r="A794" i="1"/>
  <c r="F794" i="1"/>
  <c r="G794" i="1"/>
  <c r="I794" i="1"/>
  <c r="A795" i="1"/>
  <c r="F795" i="1"/>
  <c r="G795" i="1"/>
  <c r="I795" i="1"/>
  <c r="A796" i="1"/>
  <c r="F796" i="1"/>
  <c r="G796" i="1"/>
  <c r="I796" i="1"/>
  <c r="A797" i="1"/>
  <c r="F797" i="1"/>
  <c r="G797" i="1"/>
  <c r="I797" i="1"/>
  <c r="A798" i="1"/>
  <c r="F798" i="1"/>
  <c r="G798" i="1"/>
  <c r="I798" i="1"/>
  <c r="A799" i="1"/>
  <c r="I799" i="1"/>
  <c r="A800" i="1"/>
  <c r="F800" i="1"/>
  <c r="G800" i="1"/>
  <c r="I800" i="1"/>
  <c r="A801" i="1"/>
  <c r="F801" i="1"/>
  <c r="G801" i="1"/>
  <c r="I801" i="1"/>
  <c r="A802" i="1"/>
  <c r="F802" i="1"/>
  <c r="G802" i="1"/>
  <c r="I802" i="1"/>
  <c r="A803" i="1"/>
  <c r="F803" i="1"/>
  <c r="G803" i="1"/>
  <c r="I803" i="1"/>
  <c r="A804" i="1"/>
  <c r="F804" i="1"/>
  <c r="G804" i="1"/>
  <c r="I804" i="1"/>
  <c r="A805" i="1"/>
  <c r="F805" i="1"/>
  <c r="G805" i="1"/>
  <c r="I805" i="1"/>
  <c r="A806" i="1"/>
  <c r="F806" i="1"/>
  <c r="G806" i="1"/>
  <c r="I806" i="1"/>
  <c r="A807" i="1"/>
  <c r="F807" i="1"/>
  <c r="G807" i="1"/>
  <c r="I807" i="1"/>
  <c r="A808" i="1"/>
  <c r="F808" i="1"/>
  <c r="G808" i="1"/>
  <c r="I808" i="1"/>
  <c r="A809" i="1"/>
  <c r="F809" i="1"/>
  <c r="G809" i="1"/>
  <c r="I809" i="1"/>
  <c r="A810" i="1"/>
  <c r="F810" i="1"/>
  <c r="G810" i="1"/>
  <c r="I810" i="1"/>
  <c r="A811" i="1"/>
  <c r="F811" i="1"/>
  <c r="G811" i="1"/>
  <c r="I811" i="1"/>
  <c r="A812" i="1"/>
  <c r="F812" i="1"/>
  <c r="G812" i="1"/>
  <c r="I812" i="1"/>
  <c r="A813" i="1"/>
  <c r="F813" i="1"/>
  <c r="G813" i="1"/>
  <c r="I813" i="1"/>
  <c r="A814" i="1"/>
  <c r="F814" i="1"/>
  <c r="G814" i="1"/>
  <c r="I814" i="1"/>
  <c r="A815" i="1"/>
  <c r="F815" i="1"/>
  <c r="G815" i="1"/>
  <c r="I815" i="1"/>
  <c r="A816" i="1"/>
  <c r="F816" i="1"/>
  <c r="G816" i="1"/>
  <c r="I816" i="1"/>
  <c r="A817" i="1"/>
  <c r="F817" i="1"/>
  <c r="G817" i="1"/>
  <c r="I817" i="1"/>
  <c r="A818" i="1"/>
  <c r="F818" i="1"/>
  <c r="G818" i="1"/>
  <c r="I818" i="1"/>
  <c r="A819" i="1"/>
  <c r="F819" i="1"/>
  <c r="G819" i="1"/>
  <c r="I819" i="1"/>
  <c r="A820" i="1"/>
  <c r="F820" i="1"/>
  <c r="G820" i="1"/>
  <c r="I820" i="1"/>
  <c r="A821" i="1"/>
  <c r="F821" i="1"/>
  <c r="G821" i="1"/>
  <c r="I821" i="1"/>
  <c r="A822" i="1"/>
  <c r="F822" i="1"/>
  <c r="G822" i="1"/>
  <c r="I822" i="1"/>
  <c r="A823" i="1"/>
  <c r="F823" i="1"/>
  <c r="G823" i="1"/>
  <c r="I823" i="1"/>
  <c r="A824" i="1"/>
  <c r="I824" i="1"/>
  <c r="A825" i="1"/>
  <c r="I825" i="1"/>
  <c r="A826" i="1"/>
  <c r="F826" i="1"/>
  <c r="G826" i="1"/>
  <c r="I826" i="1"/>
  <c r="A827" i="1"/>
  <c r="F827" i="1"/>
  <c r="G827" i="1"/>
  <c r="I827" i="1"/>
  <c r="A828" i="1"/>
  <c r="F828" i="1"/>
  <c r="G828" i="1"/>
  <c r="I828" i="1"/>
  <c r="A829" i="1"/>
  <c r="F829" i="1"/>
  <c r="G829" i="1"/>
  <c r="I829" i="1"/>
  <c r="A830" i="1"/>
  <c r="F830" i="1"/>
  <c r="G830" i="1"/>
  <c r="I830" i="1"/>
  <c r="A831" i="1"/>
  <c r="F831" i="1"/>
  <c r="G831" i="1"/>
  <c r="I831" i="1"/>
  <c r="A832" i="1"/>
  <c r="F832" i="1"/>
  <c r="G832" i="1"/>
  <c r="I832" i="1"/>
  <c r="A833" i="1"/>
  <c r="F833" i="1"/>
  <c r="G833" i="1"/>
  <c r="I833" i="1"/>
  <c r="A834" i="1"/>
  <c r="F834" i="1"/>
  <c r="G834" i="1"/>
  <c r="I834" i="1"/>
  <c r="A835" i="1"/>
  <c r="F835" i="1"/>
  <c r="G835" i="1"/>
  <c r="I835" i="1"/>
  <c r="A836" i="1"/>
  <c r="F836" i="1"/>
  <c r="G836" i="1"/>
  <c r="I836" i="1"/>
  <c r="A837" i="1"/>
  <c r="F837" i="1"/>
  <c r="G837" i="1"/>
  <c r="I837" i="1"/>
  <c r="A838" i="1"/>
  <c r="F838" i="1"/>
  <c r="G838" i="1"/>
  <c r="I838" i="1"/>
  <c r="A839" i="1"/>
  <c r="F839" i="1"/>
  <c r="G839" i="1"/>
  <c r="I839" i="1"/>
  <c r="A840" i="1"/>
  <c r="F840" i="1"/>
  <c r="G840" i="1"/>
  <c r="I840" i="1"/>
  <c r="A841" i="1"/>
  <c r="F841" i="1"/>
  <c r="G841" i="1"/>
  <c r="I841" i="1"/>
  <c r="A842" i="1"/>
  <c r="F842" i="1"/>
  <c r="G842" i="1"/>
  <c r="I842" i="1"/>
  <c r="A843" i="1"/>
  <c r="F843" i="1"/>
  <c r="G843" i="1"/>
  <c r="I843" i="1"/>
  <c r="A844" i="1"/>
  <c r="F844" i="1"/>
  <c r="G844" i="1"/>
  <c r="I844" i="1"/>
  <c r="A845" i="1"/>
  <c r="F845" i="1"/>
  <c r="G845" i="1"/>
  <c r="I845" i="1"/>
  <c r="A846" i="1"/>
  <c r="F846" i="1"/>
  <c r="G846" i="1"/>
  <c r="I846" i="1"/>
  <c r="A847" i="1"/>
  <c r="F847" i="1"/>
  <c r="G847" i="1"/>
  <c r="I847" i="1"/>
  <c r="A848" i="1"/>
  <c r="F848" i="1"/>
  <c r="G848" i="1"/>
  <c r="I848" i="1"/>
  <c r="A849" i="1"/>
  <c r="F849" i="1"/>
  <c r="G849" i="1"/>
  <c r="I849" i="1"/>
  <c r="A850" i="1"/>
  <c r="F850" i="1"/>
  <c r="G850" i="1"/>
  <c r="I850" i="1"/>
  <c r="A851" i="1"/>
  <c r="F851" i="1"/>
  <c r="G851" i="1"/>
  <c r="I851" i="1"/>
  <c r="A852" i="1"/>
  <c r="F852" i="1"/>
  <c r="G852" i="1"/>
  <c r="I852" i="1"/>
  <c r="A853" i="1"/>
  <c r="F853" i="1"/>
  <c r="G853" i="1"/>
  <c r="I853" i="1"/>
  <c r="A854" i="1"/>
  <c r="F854" i="1"/>
  <c r="G854" i="1"/>
  <c r="I854" i="1"/>
  <c r="A855" i="1"/>
  <c r="F855" i="1"/>
  <c r="G855" i="1"/>
  <c r="I855" i="1"/>
  <c r="A856" i="1"/>
  <c r="F856" i="1"/>
  <c r="G856" i="1"/>
  <c r="I856" i="1"/>
  <c r="A857" i="1"/>
  <c r="F857" i="1"/>
  <c r="G857" i="1"/>
  <c r="I857" i="1"/>
  <c r="A858" i="1"/>
  <c r="F858" i="1"/>
  <c r="G858" i="1"/>
  <c r="I858" i="1"/>
  <c r="A859" i="1"/>
  <c r="F859" i="1"/>
  <c r="G859" i="1"/>
  <c r="I859" i="1"/>
  <c r="A860" i="1"/>
  <c r="F860" i="1"/>
  <c r="G860" i="1"/>
  <c r="I860" i="1"/>
  <c r="A861" i="1"/>
  <c r="F861" i="1"/>
  <c r="G861" i="1"/>
  <c r="I861" i="1"/>
  <c r="A862" i="1"/>
  <c r="F862" i="1"/>
  <c r="G862" i="1"/>
  <c r="I862" i="1"/>
  <c r="A863" i="1"/>
  <c r="F863" i="1"/>
  <c r="G863" i="1"/>
  <c r="I863" i="1"/>
  <c r="A864" i="1"/>
  <c r="F864" i="1"/>
  <c r="G864" i="1"/>
  <c r="I864" i="1"/>
  <c r="A865" i="1"/>
  <c r="F865" i="1"/>
  <c r="G865" i="1"/>
  <c r="I865" i="1"/>
  <c r="A866" i="1"/>
  <c r="F866" i="1"/>
  <c r="G866" i="1"/>
  <c r="I866" i="1"/>
  <c r="A867" i="1"/>
  <c r="F867" i="1"/>
  <c r="G867" i="1"/>
  <c r="I867" i="1"/>
  <c r="A868" i="1"/>
  <c r="F868" i="1"/>
  <c r="G868" i="1"/>
  <c r="I868" i="1"/>
  <c r="A869" i="1"/>
  <c r="F869" i="1"/>
  <c r="G869" i="1"/>
  <c r="I869" i="1"/>
  <c r="A870" i="1"/>
  <c r="F870" i="1"/>
  <c r="G870" i="1"/>
  <c r="I870" i="1"/>
  <c r="A871" i="1"/>
  <c r="F871" i="1"/>
  <c r="G871" i="1"/>
  <c r="I871" i="1"/>
  <c r="A872" i="1"/>
  <c r="F872" i="1"/>
  <c r="G872" i="1"/>
  <c r="I872" i="1"/>
  <c r="A873" i="1"/>
  <c r="F873" i="1"/>
  <c r="G873" i="1"/>
  <c r="I873" i="1"/>
  <c r="A874" i="1"/>
  <c r="F874" i="1"/>
  <c r="G874" i="1"/>
  <c r="I874" i="1"/>
  <c r="A875" i="1"/>
  <c r="F875" i="1"/>
  <c r="G875" i="1"/>
  <c r="I875" i="1"/>
  <c r="A876" i="1"/>
  <c r="F876" i="1"/>
  <c r="G876" i="1"/>
  <c r="I876" i="1"/>
  <c r="A877" i="1"/>
  <c r="F877" i="1"/>
  <c r="G877" i="1"/>
  <c r="I877" i="1"/>
  <c r="A878" i="1"/>
  <c r="F878" i="1"/>
  <c r="G878" i="1"/>
  <c r="I878" i="1"/>
  <c r="A879" i="1"/>
  <c r="F879" i="1"/>
  <c r="G879" i="1"/>
  <c r="I879" i="1"/>
  <c r="A880" i="1"/>
  <c r="F880" i="1"/>
  <c r="G880" i="1"/>
  <c r="I880" i="1"/>
  <c r="A881" i="1"/>
  <c r="F881" i="1"/>
  <c r="G881" i="1"/>
  <c r="I881" i="1"/>
  <c r="A882" i="1"/>
  <c r="F882" i="1"/>
  <c r="G882" i="1"/>
  <c r="I882" i="1"/>
  <c r="A883" i="1"/>
  <c r="F883" i="1"/>
  <c r="G883" i="1"/>
  <c r="I883" i="1"/>
  <c r="A884" i="1"/>
  <c r="F884" i="1"/>
  <c r="G884" i="1"/>
  <c r="I884" i="1"/>
  <c r="A885" i="1"/>
  <c r="F885" i="1"/>
  <c r="G885" i="1"/>
  <c r="I885" i="1"/>
  <c r="A886" i="1"/>
  <c r="F886" i="1"/>
  <c r="G886" i="1"/>
  <c r="I886" i="1"/>
  <c r="A887" i="1"/>
  <c r="F887" i="1"/>
  <c r="G887" i="1"/>
  <c r="I887" i="1"/>
  <c r="A888" i="1"/>
  <c r="F888" i="1"/>
  <c r="G888" i="1"/>
  <c r="I888" i="1"/>
  <c r="A889" i="1"/>
  <c r="F889" i="1"/>
  <c r="G889" i="1"/>
  <c r="I889" i="1"/>
  <c r="A890" i="1"/>
  <c r="F890" i="1"/>
  <c r="G890" i="1"/>
  <c r="I890" i="1"/>
  <c r="A891" i="1"/>
  <c r="F891" i="1"/>
  <c r="G891" i="1"/>
  <c r="I891" i="1"/>
  <c r="A892" i="1"/>
  <c r="F892" i="1"/>
  <c r="G892" i="1"/>
  <c r="I892" i="1"/>
  <c r="A893" i="1"/>
  <c r="F893" i="1"/>
  <c r="G893" i="1"/>
  <c r="I893" i="1"/>
  <c r="A894" i="1"/>
  <c r="F894" i="1"/>
  <c r="G894" i="1"/>
  <c r="I894" i="1"/>
  <c r="A895" i="1"/>
  <c r="F895" i="1"/>
  <c r="G895" i="1"/>
  <c r="I895" i="1"/>
  <c r="A896" i="1"/>
  <c r="F896" i="1"/>
  <c r="G896" i="1"/>
  <c r="I896" i="1"/>
  <c r="A897" i="1"/>
  <c r="F897" i="1"/>
  <c r="G897" i="1"/>
  <c r="I897" i="1"/>
  <c r="A898" i="1"/>
  <c r="F898" i="1"/>
  <c r="G898" i="1"/>
  <c r="I898" i="1"/>
  <c r="A899" i="1"/>
  <c r="F899" i="1"/>
  <c r="G899" i="1"/>
  <c r="I899" i="1"/>
  <c r="A900" i="1"/>
  <c r="F900" i="1"/>
  <c r="G900" i="1"/>
  <c r="I900" i="1"/>
  <c r="A901" i="1"/>
  <c r="F901" i="1"/>
  <c r="G901" i="1"/>
  <c r="I901" i="1"/>
  <c r="A902" i="1"/>
  <c r="F902" i="1"/>
  <c r="G902" i="1"/>
  <c r="I902" i="1"/>
  <c r="A903" i="1"/>
  <c r="F903" i="1"/>
  <c r="G903" i="1"/>
  <c r="I903" i="1"/>
  <c r="A904" i="1"/>
  <c r="F904" i="1"/>
  <c r="G904" i="1"/>
  <c r="I904" i="1"/>
  <c r="A905" i="1"/>
  <c r="F905" i="1"/>
  <c r="G905" i="1"/>
  <c r="I905" i="1"/>
  <c r="A906" i="1"/>
  <c r="F906" i="1"/>
  <c r="G906" i="1"/>
  <c r="I906" i="1"/>
  <c r="A907" i="1"/>
  <c r="F907" i="1"/>
  <c r="G907" i="1"/>
  <c r="I907" i="1"/>
  <c r="A908" i="1"/>
  <c r="F908" i="1"/>
  <c r="G908" i="1"/>
  <c r="I908" i="1"/>
  <c r="A909" i="1"/>
  <c r="F909" i="1"/>
  <c r="G909" i="1"/>
  <c r="I909" i="1"/>
  <c r="A910" i="1"/>
  <c r="F910" i="1"/>
  <c r="G910" i="1"/>
  <c r="I910" i="1"/>
  <c r="A911" i="1"/>
  <c r="F911" i="1"/>
  <c r="G911" i="1"/>
  <c r="I911" i="1"/>
  <c r="A912" i="1"/>
  <c r="F912" i="1"/>
  <c r="G912" i="1"/>
  <c r="I912" i="1"/>
  <c r="A913" i="1"/>
  <c r="F913" i="1"/>
  <c r="G913" i="1"/>
  <c r="I913" i="1"/>
  <c r="A914" i="1"/>
  <c r="F914" i="1"/>
  <c r="G914" i="1"/>
  <c r="I914" i="1"/>
  <c r="A915" i="1"/>
  <c r="F915" i="1"/>
  <c r="G915" i="1"/>
  <c r="I915" i="1"/>
  <c r="A916" i="1"/>
  <c r="F916" i="1"/>
  <c r="G916" i="1"/>
  <c r="I916" i="1"/>
  <c r="A917" i="1"/>
  <c r="F917" i="1"/>
  <c r="G917" i="1"/>
  <c r="I917" i="1"/>
  <c r="A918" i="1"/>
  <c r="F918" i="1"/>
  <c r="G918" i="1"/>
  <c r="I918" i="1"/>
  <c r="A919" i="1"/>
  <c r="F919" i="1"/>
  <c r="G919" i="1"/>
  <c r="I919" i="1"/>
  <c r="A920" i="1"/>
  <c r="F920" i="1"/>
  <c r="G920" i="1"/>
  <c r="I920" i="1"/>
  <c r="A921" i="1"/>
  <c r="F921" i="1"/>
  <c r="G921" i="1"/>
  <c r="I921" i="1"/>
  <c r="A922" i="1"/>
  <c r="F922" i="1"/>
  <c r="G922" i="1"/>
  <c r="I922" i="1"/>
  <c r="A923" i="1"/>
  <c r="F923" i="1"/>
  <c r="G923" i="1"/>
  <c r="I923" i="1"/>
  <c r="A924" i="1"/>
  <c r="F924" i="1"/>
  <c r="G924" i="1"/>
  <c r="I924" i="1"/>
  <c r="A925" i="1"/>
  <c r="F925" i="1"/>
  <c r="G925" i="1"/>
  <c r="I925" i="1"/>
  <c r="A926" i="1"/>
  <c r="F926" i="1"/>
  <c r="G926" i="1"/>
  <c r="I926" i="1"/>
  <c r="A927" i="1"/>
  <c r="F927" i="1"/>
  <c r="G927" i="1"/>
  <c r="I927" i="1"/>
  <c r="A928" i="1"/>
  <c r="F928" i="1"/>
  <c r="G928" i="1"/>
  <c r="I928" i="1"/>
  <c r="A929" i="1"/>
  <c r="F929" i="1"/>
  <c r="G929" i="1"/>
  <c r="I929" i="1"/>
  <c r="A930" i="1"/>
  <c r="F930" i="1"/>
  <c r="G930" i="1"/>
  <c r="I930" i="1"/>
  <c r="A931" i="1"/>
  <c r="F931" i="1"/>
  <c r="G931" i="1"/>
  <c r="I931" i="1"/>
  <c r="A932" i="1"/>
  <c r="F932" i="1"/>
  <c r="G932" i="1"/>
  <c r="I932" i="1"/>
  <c r="A933" i="1"/>
  <c r="F933" i="1"/>
  <c r="G933" i="1"/>
  <c r="I933" i="1"/>
  <c r="A934" i="1"/>
  <c r="F934" i="1"/>
  <c r="G934" i="1"/>
  <c r="I934" i="1"/>
  <c r="A935" i="1"/>
  <c r="F935" i="1"/>
  <c r="G935" i="1"/>
  <c r="I935" i="1"/>
  <c r="A936" i="1"/>
  <c r="F936" i="1"/>
  <c r="G936" i="1"/>
  <c r="I936" i="1"/>
  <c r="A937" i="1"/>
  <c r="F937" i="1"/>
  <c r="G937" i="1"/>
  <c r="I937" i="1"/>
  <c r="A938" i="1"/>
  <c r="F938" i="1"/>
  <c r="G938" i="1"/>
  <c r="I938" i="1"/>
  <c r="A939" i="1"/>
  <c r="F939" i="1"/>
  <c r="G939" i="1"/>
  <c r="I939" i="1"/>
  <c r="A940" i="1"/>
  <c r="F940" i="1"/>
  <c r="G940" i="1"/>
  <c r="I940" i="1"/>
  <c r="A941" i="1"/>
  <c r="F941" i="1"/>
  <c r="G941" i="1"/>
  <c r="I941" i="1"/>
  <c r="A942" i="1"/>
  <c r="F942" i="1"/>
  <c r="G942" i="1"/>
  <c r="I942" i="1"/>
  <c r="A943" i="1"/>
  <c r="F943" i="1"/>
  <c r="G943" i="1"/>
  <c r="I943" i="1"/>
  <c r="A944" i="1"/>
  <c r="F944" i="1"/>
  <c r="G944" i="1"/>
  <c r="I944" i="1"/>
  <c r="A945" i="1"/>
  <c r="F945" i="1"/>
  <c r="G945" i="1"/>
  <c r="I945" i="1"/>
  <c r="A946" i="1"/>
  <c r="F946" i="1"/>
  <c r="G946" i="1"/>
  <c r="I946" i="1"/>
  <c r="A947" i="1"/>
  <c r="F947" i="1"/>
  <c r="G947" i="1"/>
  <c r="I947" i="1"/>
  <c r="A948" i="1"/>
  <c r="F948" i="1"/>
  <c r="G948" i="1"/>
  <c r="I948" i="1"/>
  <c r="A949" i="1"/>
  <c r="F949" i="1"/>
  <c r="G949" i="1"/>
  <c r="I949" i="1"/>
  <c r="A950" i="1"/>
  <c r="F950" i="1"/>
  <c r="G950" i="1"/>
  <c r="I950" i="1"/>
  <c r="A951" i="1"/>
  <c r="F951" i="1"/>
  <c r="G951" i="1"/>
  <c r="I951" i="1"/>
  <c r="A952" i="1"/>
  <c r="F952" i="1"/>
  <c r="G952" i="1"/>
  <c r="I952" i="1"/>
  <c r="A953" i="1"/>
  <c r="F953" i="1"/>
  <c r="G953" i="1"/>
  <c r="I953" i="1"/>
  <c r="A954" i="1"/>
  <c r="F954" i="1"/>
  <c r="G954" i="1"/>
  <c r="I954" i="1"/>
  <c r="A955" i="1"/>
  <c r="F955" i="1"/>
  <c r="G955" i="1"/>
  <c r="I955" i="1"/>
  <c r="A956" i="1"/>
  <c r="F956" i="1"/>
  <c r="G956" i="1"/>
  <c r="I956" i="1"/>
  <c r="A957" i="1"/>
  <c r="F957" i="1"/>
  <c r="G957" i="1"/>
  <c r="I957" i="1"/>
  <c r="A958" i="1"/>
  <c r="F958" i="1"/>
  <c r="G958" i="1"/>
  <c r="I958" i="1"/>
  <c r="A959" i="1"/>
  <c r="F959" i="1"/>
  <c r="G959" i="1"/>
  <c r="I959" i="1"/>
  <c r="A960" i="1"/>
  <c r="F960" i="1"/>
  <c r="G960" i="1"/>
  <c r="I960" i="1"/>
  <c r="A961" i="1"/>
  <c r="F961" i="1"/>
  <c r="G961" i="1"/>
  <c r="I961" i="1"/>
  <c r="A962" i="1"/>
  <c r="F962" i="1"/>
  <c r="G962" i="1"/>
  <c r="I962" i="1"/>
  <c r="A963" i="1"/>
  <c r="F963" i="1"/>
  <c r="G963" i="1"/>
  <c r="I963" i="1"/>
  <c r="A964" i="1"/>
  <c r="F964" i="1"/>
  <c r="G964" i="1"/>
  <c r="I964" i="1"/>
  <c r="A965" i="1"/>
  <c r="F965" i="1"/>
  <c r="G965" i="1"/>
  <c r="I965" i="1"/>
  <c r="A966" i="1"/>
  <c r="F966" i="1"/>
  <c r="G966" i="1"/>
  <c r="I966" i="1"/>
  <c r="A967" i="1"/>
  <c r="F967" i="1"/>
  <c r="G967" i="1"/>
  <c r="I967" i="1"/>
  <c r="A968" i="1"/>
  <c r="F968" i="1"/>
  <c r="G968" i="1"/>
  <c r="I968" i="1"/>
  <c r="A969" i="1"/>
  <c r="F969" i="1"/>
  <c r="G969" i="1"/>
  <c r="I969" i="1"/>
  <c r="A970" i="1"/>
  <c r="F970" i="1"/>
  <c r="G970" i="1"/>
  <c r="I970" i="1"/>
  <c r="A971" i="1"/>
  <c r="F971" i="1"/>
  <c r="G971" i="1"/>
  <c r="I971" i="1"/>
  <c r="A972" i="1"/>
  <c r="F972" i="1"/>
  <c r="G972" i="1"/>
  <c r="I972" i="1"/>
  <c r="A973" i="1"/>
  <c r="F973" i="1"/>
  <c r="G973" i="1"/>
  <c r="I973" i="1"/>
  <c r="A974" i="1"/>
  <c r="F974" i="1"/>
  <c r="G974" i="1"/>
  <c r="I974" i="1"/>
  <c r="A975" i="1"/>
  <c r="F975" i="1"/>
  <c r="G975" i="1"/>
  <c r="I975" i="1"/>
  <c r="A976" i="1"/>
  <c r="F976" i="1"/>
  <c r="G976" i="1"/>
  <c r="I976" i="1"/>
  <c r="A977" i="1"/>
  <c r="I977" i="1"/>
  <c r="A978" i="1"/>
  <c r="F978" i="1"/>
  <c r="G978" i="1"/>
  <c r="I978" i="1"/>
  <c r="A979" i="1"/>
  <c r="F979" i="1"/>
  <c r="G979" i="1"/>
  <c r="I979" i="1"/>
  <c r="A980" i="1"/>
  <c r="I980" i="1"/>
  <c r="A981" i="1"/>
  <c r="F981" i="1"/>
  <c r="G981" i="1"/>
  <c r="I981" i="1"/>
  <c r="A982" i="1"/>
  <c r="F982" i="1"/>
  <c r="G982" i="1"/>
  <c r="I982" i="1"/>
  <c r="A983" i="1"/>
  <c r="F983" i="1"/>
  <c r="G983" i="1"/>
  <c r="I983" i="1"/>
  <c r="A984" i="1"/>
  <c r="I984" i="1"/>
  <c r="A985" i="1"/>
  <c r="F985" i="1"/>
  <c r="G985" i="1"/>
  <c r="I985" i="1"/>
  <c r="A986" i="1"/>
  <c r="F986" i="1"/>
  <c r="G986" i="1"/>
  <c r="I986" i="1"/>
  <c r="A987" i="1"/>
  <c r="F987" i="1"/>
  <c r="G987" i="1"/>
  <c r="I987" i="1"/>
  <c r="A988" i="1"/>
  <c r="F988" i="1"/>
  <c r="G988" i="1"/>
  <c r="I988" i="1"/>
  <c r="A989" i="1"/>
  <c r="F989" i="1"/>
  <c r="G989" i="1"/>
  <c r="I989" i="1"/>
  <c r="A990" i="1"/>
  <c r="F990" i="1"/>
  <c r="G990" i="1"/>
  <c r="I990" i="1"/>
  <c r="A991" i="1"/>
  <c r="F991" i="1"/>
  <c r="G991" i="1"/>
  <c r="I991" i="1"/>
  <c r="A992" i="1"/>
  <c r="F992" i="1"/>
  <c r="G992" i="1"/>
  <c r="I992" i="1"/>
  <c r="A993" i="1"/>
  <c r="F993" i="1"/>
  <c r="G993" i="1"/>
  <c r="I993" i="1"/>
  <c r="A994" i="1"/>
  <c r="F994" i="1"/>
  <c r="G994" i="1"/>
  <c r="I994" i="1"/>
  <c r="A995" i="1"/>
  <c r="F995" i="1"/>
  <c r="G995" i="1"/>
  <c r="I995" i="1"/>
  <c r="A996" i="1"/>
  <c r="F996" i="1"/>
  <c r="G996" i="1"/>
  <c r="I996" i="1"/>
  <c r="A997" i="1"/>
  <c r="F997" i="1"/>
  <c r="G997" i="1"/>
  <c r="I997" i="1"/>
  <c r="A998" i="1"/>
  <c r="F998" i="1"/>
  <c r="G998" i="1"/>
  <c r="I998" i="1"/>
  <c r="A999" i="1"/>
  <c r="F999" i="1"/>
  <c r="G999" i="1"/>
  <c r="I999" i="1"/>
  <c r="A1000" i="1"/>
  <c r="F1000" i="1"/>
  <c r="G1000" i="1"/>
  <c r="I1000" i="1"/>
  <c r="A1001" i="1"/>
  <c r="F1001" i="1"/>
  <c r="G1001" i="1"/>
  <c r="I1001" i="1"/>
  <c r="A1002" i="1"/>
  <c r="F1002" i="1"/>
  <c r="G1002" i="1"/>
  <c r="I1002" i="1"/>
  <c r="A1003" i="1"/>
  <c r="F1003" i="1"/>
  <c r="G1003" i="1"/>
  <c r="I1003" i="1"/>
  <c r="A1004" i="1"/>
  <c r="F1004" i="1"/>
  <c r="G1004" i="1"/>
  <c r="I1004" i="1"/>
  <c r="A1005" i="1"/>
  <c r="F1005" i="1"/>
  <c r="G1005" i="1"/>
  <c r="I1005" i="1"/>
  <c r="A1006" i="1"/>
  <c r="F1006" i="1"/>
  <c r="G1006" i="1"/>
  <c r="I1006" i="1"/>
  <c r="A1007" i="1"/>
  <c r="F1007" i="1"/>
  <c r="G1007" i="1"/>
  <c r="I1007" i="1"/>
  <c r="A1008" i="1"/>
  <c r="F1008" i="1"/>
  <c r="G1008" i="1"/>
  <c r="I1008" i="1"/>
  <c r="A1009" i="1"/>
  <c r="F1009" i="1"/>
  <c r="G1009" i="1"/>
  <c r="I1009" i="1"/>
  <c r="A1010" i="1"/>
  <c r="F1010" i="1"/>
  <c r="G1010" i="1"/>
  <c r="I1010" i="1"/>
  <c r="A1011" i="1"/>
  <c r="F1011" i="1"/>
  <c r="G1011" i="1"/>
  <c r="I1011" i="1"/>
  <c r="A1012" i="1"/>
  <c r="F1012" i="1"/>
  <c r="G1012" i="1"/>
  <c r="I1012" i="1"/>
  <c r="A1013" i="1"/>
  <c r="F1013" i="1"/>
  <c r="G1013" i="1"/>
  <c r="I1013" i="1"/>
  <c r="A1014" i="1"/>
  <c r="F1014" i="1"/>
  <c r="G1014" i="1"/>
  <c r="I1014" i="1"/>
  <c r="A1015" i="1"/>
  <c r="F1015" i="1"/>
  <c r="G1015" i="1"/>
  <c r="I1015" i="1"/>
  <c r="A1016" i="1"/>
  <c r="F1016" i="1"/>
  <c r="G1016" i="1"/>
  <c r="I1016" i="1"/>
  <c r="A1017" i="1"/>
  <c r="F1017" i="1"/>
  <c r="G1017" i="1"/>
  <c r="I1017" i="1"/>
  <c r="A1018" i="1"/>
  <c r="F1018" i="1"/>
  <c r="G1018" i="1"/>
  <c r="I1018" i="1"/>
  <c r="A1019" i="1"/>
  <c r="F1019" i="1"/>
  <c r="G1019" i="1"/>
  <c r="I1019" i="1"/>
  <c r="A1020" i="1"/>
  <c r="F1020" i="1"/>
  <c r="G1020" i="1"/>
  <c r="I1020" i="1"/>
  <c r="A1021" i="1"/>
  <c r="F1021" i="1"/>
  <c r="G1021" i="1"/>
  <c r="I1021" i="1"/>
  <c r="A1022" i="1"/>
  <c r="F1022" i="1"/>
  <c r="G1022" i="1"/>
  <c r="I1022" i="1"/>
  <c r="A1023" i="1"/>
  <c r="F1023" i="1"/>
  <c r="G1023" i="1"/>
  <c r="I1023" i="1"/>
  <c r="A1024" i="1"/>
  <c r="F1024" i="1"/>
  <c r="G1024" i="1"/>
  <c r="I1024" i="1"/>
  <c r="A1025" i="1"/>
  <c r="F1025" i="1"/>
  <c r="G1025" i="1"/>
  <c r="I1025" i="1"/>
  <c r="A1026" i="1"/>
  <c r="F1026" i="1"/>
  <c r="G1026" i="1"/>
  <c r="I1026" i="1"/>
  <c r="A1027" i="1"/>
  <c r="F1027" i="1"/>
  <c r="G1027" i="1"/>
  <c r="I1027" i="1"/>
  <c r="A1028" i="1"/>
  <c r="F1028" i="1"/>
  <c r="G1028" i="1"/>
  <c r="I1028" i="1"/>
  <c r="A1029" i="1"/>
  <c r="F1029" i="1"/>
  <c r="G1029" i="1"/>
  <c r="I1029" i="1"/>
  <c r="A1030" i="1"/>
  <c r="F1030" i="1"/>
  <c r="G1030" i="1"/>
  <c r="I1030" i="1"/>
  <c r="A1031" i="1"/>
  <c r="F1031" i="1"/>
  <c r="G1031" i="1"/>
  <c r="I1031" i="1"/>
  <c r="A1032" i="1"/>
  <c r="F1032" i="1"/>
  <c r="G1032" i="1"/>
  <c r="I1032" i="1"/>
  <c r="A1033" i="1"/>
  <c r="F1033" i="1"/>
  <c r="G1033" i="1"/>
  <c r="I1033" i="1"/>
  <c r="A1034" i="1"/>
  <c r="F1034" i="1"/>
  <c r="G1034" i="1"/>
  <c r="I1034" i="1"/>
  <c r="A1035" i="1"/>
  <c r="F1035" i="1"/>
  <c r="G1035" i="1"/>
  <c r="I1035" i="1"/>
  <c r="A1036" i="1"/>
  <c r="F1036" i="1"/>
  <c r="G1036" i="1"/>
  <c r="I1036" i="1"/>
  <c r="A1037" i="1"/>
  <c r="F1037" i="1"/>
  <c r="G1037" i="1"/>
  <c r="I1037" i="1"/>
  <c r="A1038" i="1"/>
  <c r="F1038" i="1"/>
  <c r="G1038" i="1"/>
  <c r="I1038" i="1"/>
  <c r="A1039" i="1"/>
  <c r="F1039" i="1"/>
  <c r="G1039" i="1"/>
  <c r="I1039" i="1"/>
  <c r="A1040" i="1"/>
  <c r="F1040" i="1"/>
  <c r="G1040" i="1"/>
  <c r="I1040" i="1"/>
  <c r="A1041" i="1"/>
  <c r="F1041" i="1"/>
  <c r="G1041" i="1"/>
  <c r="I1041" i="1"/>
  <c r="A1042" i="1"/>
  <c r="F1042" i="1"/>
  <c r="G1042" i="1"/>
  <c r="I1042" i="1"/>
  <c r="A1043" i="1"/>
  <c r="F1043" i="1"/>
  <c r="G1043" i="1"/>
  <c r="I1043" i="1"/>
  <c r="A1044" i="1"/>
  <c r="F1044" i="1"/>
  <c r="G1044" i="1"/>
  <c r="I1044" i="1"/>
  <c r="A1045" i="1"/>
  <c r="F1045" i="1"/>
  <c r="G1045" i="1"/>
  <c r="I1045" i="1"/>
  <c r="A1046" i="1"/>
  <c r="F1046" i="1"/>
  <c r="G1046" i="1"/>
  <c r="I1046" i="1"/>
  <c r="A1047" i="1"/>
  <c r="F1047" i="1"/>
  <c r="G1047" i="1"/>
  <c r="I1047" i="1"/>
  <c r="A1048" i="1"/>
  <c r="F1048" i="1"/>
  <c r="G1048" i="1"/>
  <c r="I1048" i="1"/>
  <c r="A1049" i="1"/>
  <c r="F1049" i="1"/>
  <c r="G1049" i="1"/>
  <c r="I1049" i="1"/>
  <c r="A1050" i="1"/>
  <c r="F1050" i="1"/>
  <c r="G1050" i="1"/>
  <c r="I1050" i="1"/>
  <c r="A1051" i="1"/>
  <c r="F1051" i="1"/>
  <c r="G1051" i="1"/>
  <c r="I1051" i="1"/>
  <c r="A1052" i="1"/>
  <c r="F1052" i="1"/>
  <c r="G1052" i="1"/>
  <c r="I1052" i="1"/>
  <c r="A1053" i="1"/>
  <c r="F1053" i="1"/>
  <c r="G1053" i="1"/>
  <c r="I1053" i="1"/>
  <c r="A1054" i="1"/>
  <c r="F1054" i="1"/>
  <c r="G1054" i="1"/>
  <c r="I1054" i="1"/>
  <c r="A1055" i="1"/>
  <c r="F1055" i="1"/>
  <c r="G1055" i="1"/>
  <c r="I1055" i="1"/>
  <c r="A1056" i="1"/>
  <c r="F1056" i="1"/>
  <c r="G1056" i="1"/>
  <c r="I1056" i="1"/>
  <c r="A1057" i="1"/>
  <c r="F1057" i="1"/>
  <c r="G1057" i="1"/>
  <c r="I1057" i="1"/>
  <c r="A1058" i="1"/>
  <c r="F1058" i="1"/>
  <c r="G1058" i="1"/>
  <c r="I1058" i="1"/>
  <c r="A1059" i="1"/>
  <c r="F1059" i="1"/>
  <c r="G1059" i="1"/>
  <c r="I1059" i="1"/>
  <c r="A1060" i="1"/>
  <c r="F1060" i="1"/>
  <c r="G1060" i="1"/>
  <c r="I1060" i="1"/>
  <c r="A1061" i="1"/>
  <c r="F1061" i="1"/>
  <c r="G1061" i="1"/>
  <c r="I1061" i="1"/>
  <c r="A1062" i="1"/>
  <c r="F1062" i="1"/>
  <c r="G1062" i="1"/>
  <c r="I1062" i="1"/>
  <c r="A1063" i="1"/>
  <c r="F1063" i="1"/>
  <c r="G1063" i="1"/>
  <c r="I1063" i="1"/>
  <c r="A1064" i="1"/>
  <c r="F1064" i="1"/>
  <c r="G1064" i="1"/>
  <c r="I1064" i="1"/>
  <c r="A1065" i="1"/>
  <c r="F1065" i="1"/>
  <c r="G1065" i="1"/>
  <c r="I1065" i="1"/>
  <c r="A1066" i="1"/>
  <c r="F1066" i="1"/>
  <c r="G1066" i="1"/>
  <c r="I1066" i="1"/>
  <c r="A1067" i="1"/>
  <c r="F1067" i="1"/>
  <c r="G1067" i="1"/>
  <c r="I1067" i="1"/>
  <c r="A1068" i="1"/>
  <c r="F1068" i="1"/>
  <c r="G1068" i="1"/>
  <c r="I1068" i="1"/>
  <c r="A1069" i="1"/>
  <c r="F1069" i="1"/>
  <c r="G1069" i="1"/>
  <c r="I1069" i="1"/>
  <c r="A1070" i="1"/>
  <c r="F1070" i="1"/>
  <c r="G1070" i="1"/>
  <c r="I1070" i="1"/>
  <c r="A1071" i="1"/>
  <c r="F1071" i="1"/>
  <c r="G1071" i="1"/>
  <c r="I1071" i="1"/>
  <c r="A1072" i="1"/>
  <c r="F1072" i="1"/>
  <c r="G1072" i="1"/>
  <c r="I1072" i="1"/>
  <c r="A1073" i="1"/>
  <c r="F1073" i="1"/>
  <c r="G1073" i="1"/>
  <c r="I1073" i="1"/>
  <c r="A1074" i="1"/>
  <c r="F1074" i="1"/>
  <c r="G1074" i="1"/>
  <c r="I1074" i="1"/>
  <c r="A1075" i="1"/>
  <c r="F1075" i="1"/>
  <c r="G1075" i="1"/>
  <c r="I1075" i="1"/>
  <c r="A1076" i="1"/>
  <c r="F1076" i="1"/>
  <c r="G1076" i="1"/>
  <c r="I1076" i="1"/>
  <c r="A1077" i="1"/>
  <c r="F1077" i="1"/>
  <c r="G1077" i="1"/>
  <c r="I1077" i="1"/>
  <c r="A1078" i="1"/>
  <c r="F1078" i="1"/>
  <c r="G1078" i="1"/>
  <c r="I1078" i="1"/>
  <c r="A1079" i="1"/>
  <c r="F1079" i="1"/>
  <c r="G1079" i="1"/>
  <c r="I1079" i="1"/>
  <c r="A1080" i="1"/>
  <c r="F1080" i="1"/>
  <c r="G1080" i="1"/>
  <c r="I1080" i="1"/>
  <c r="A1081" i="1"/>
  <c r="F1081" i="1"/>
  <c r="G1081" i="1"/>
  <c r="I1081" i="1"/>
  <c r="A1082" i="1"/>
  <c r="F1082" i="1"/>
  <c r="G1082" i="1"/>
  <c r="I1082" i="1"/>
  <c r="A1083" i="1"/>
  <c r="F1083" i="1"/>
  <c r="G1083" i="1"/>
  <c r="I1083" i="1"/>
  <c r="A1084" i="1"/>
  <c r="F1084" i="1"/>
  <c r="G1084" i="1"/>
  <c r="I1084" i="1"/>
  <c r="A1085" i="1"/>
  <c r="F1085" i="1"/>
  <c r="G1085" i="1"/>
  <c r="I1085" i="1"/>
  <c r="A1086" i="1"/>
  <c r="F1086" i="1"/>
  <c r="G1086" i="1"/>
  <c r="I1086" i="1"/>
  <c r="A1087" i="1"/>
  <c r="F1087" i="1"/>
  <c r="G1087" i="1"/>
  <c r="I1087" i="1"/>
  <c r="A1088" i="1"/>
  <c r="F1088" i="1"/>
  <c r="G1088" i="1"/>
  <c r="I1088" i="1"/>
  <c r="A1089" i="1"/>
  <c r="F1089" i="1"/>
  <c r="G1089" i="1"/>
  <c r="I1089" i="1"/>
  <c r="A1090" i="1"/>
  <c r="F1090" i="1"/>
  <c r="G1090" i="1"/>
  <c r="I1090" i="1"/>
  <c r="A1091" i="1"/>
  <c r="F1091" i="1"/>
  <c r="G1091" i="1"/>
  <c r="I1091" i="1"/>
  <c r="A1092" i="1"/>
  <c r="F1092" i="1"/>
  <c r="G1092" i="1"/>
  <c r="I1092" i="1"/>
  <c r="A1093" i="1"/>
  <c r="F1093" i="1"/>
  <c r="G1093" i="1"/>
  <c r="I1093" i="1"/>
  <c r="A1094" i="1"/>
  <c r="F1094" i="1"/>
  <c r="G1094" i="1"/>
  <c r="I1094" i="1"/>
  <c r="A1095" i="1"/>
  <c r="F1095" i="1"/>
  <c r="G1095" i="1"/>
  <c r="I1095" i="1"/>
  <c r="A1096" i="1"/>
  <c r="F1096" i="1"/>
  <c r="G1096" i="1"/>
  <c r="I1096" i="1"/>
  <c r="A1097" i="1"/>
  <c r="F1097" i="1"/>
  <c r="G1097" i="1"/>
  <c r="I1097" i="1"/>
  <c r="A1098" i="1"/>
  <c r="F1098" i="1"/>
  <c r="G1098" i="1"/>
  <c r="I1098" i="1"/>
  <c r="A1099" i="1"/>
  <c r="F1099" i="1"/>
  <c r="G1099" i="1"/>
  <c r="I1099" i="1"/>
  <c r="A1100" i="1"/>
  <c r="F1100" i="1"/>
  <c r="G1100" i="1"/>
  <c r="I1100" i="1"/>
  <c r="A1101" i="1"/>
  <c r="F1101" i="1"/>
  <c r="G1101" i="1"/>
  <c r="I1101" i="1"/>
  <c r="A1102" i="1"/>
  <c r="F1102" i="1"/>
  <c r="G1102" i="1"/>
  <c r="I1102" i="1"/>
  <c r="A1103" i="1"/>
  <c r="F1103" i="1"/>
  <c r="G1103" i="1"/>
  <c r="I1103" i="1"/>
  <c r="A1104" i="1"/>
  <c r="F1104" i="1"/>
  <c r="G1104" i="1"/>
  <c r="I1104" i="1"/>
  <c r="A1105" i="1"/>
  <c r="F1105" i="1"/>
  <c r="G1105" i="1"/>
  <c r="I1105" i="1"/>
  <c r="A1106" i="1"/>
  <c r="F1106" i="1"/>
  <c r="G1106" i="1"/>
  <c r="I1106" i="1"/>
  <c r="A1107" i="1"/>
  <c r="F1107" i="1"/>
  <c r="G1107" i="1"/>
  <c r="I1107" i="1"/>
  <c r="A1108" i="1"/>
  <c r="F1108" i="1"/>
  <c r="G1108" i="1"/>
  <c r="I1108" i="1"/>
  <c r="A1109" i="1"/>
  <c r="F1109" i="1"/>
  <c r="G1109" i="1"/>
  <c r="I1109" i="1"/>
  <c r="A1110" i="1"/>
  <c r="F1110" i="1"/>
  <c r="G1110" i="1"/>
  <c r="I1110" i="1"/>
  <c r="A1111" i="1"/>
  <c r="F1111" i="1"/>
  <c r="G1111" i="1"/>
  <c r="I1111" i="1"/>
  <c r="A1112" i="1"/>
  <c r="F1112" i="1"/>
  <c r="G1112" i="1"/>
  <c r="I1112" i="1"/>
  <c r="A1113" i="1"/>
  <c r="F1113" i="1"/>
  <c r="G1113" i="1"/>
  <c r="I1113" i="1"/>
  <c r="A1114" i="1"/>
  <c r="F1114" i="1"/>
  <c r="G1114" i="1"/>
  <c r="I1114" i="1"/>
  <c r="A1115" i="1"/>
  <c r="F1115" i="1"/>
  <c r="G1115" i="1"/>
  <c r="I1115" i="1"/>
  <c r="A1116" i="1"/>
  <c r="F1116" i="1"/>
  <c r="G1116" i="1"/>
  <c r="I1116" i="1"/>
  <c r="A1117" i="1"/>
  <c r="F1117" i="1"/>
  <c r="G1117" i="1"/>
  <c r="I1117" i="1"/>
  <c r="A1118" i="1"/>
  <c r="F1118" i="1"/>
  <c r="G1118" i="1"/>
  <c r="I1118" i="1"/>
  <c r="A1119" i="1"/>
  <c r="F1119" i="1"/>
  <c r="G1119" i="1"/>
  <c r="I1119" i="1"/>
  <c r="A1120" i="1"/>
  <c r="F1120" i="1"/>
  <c r="G1120" i="1"/>
  <c r="I1120" i="1"/>
  <c r="A1121" i="1"/>
  <c r="F1121" i="1"/>
  <c r="G1121" i="1"/>
  <c r="I1121" i="1"/>
  <c r="A1122" i="1"/>
  <c r="F1122" i="1"/>
  <c r="G1122" i="1"/>
  <c r="I1122" i="1"/>
  <c r="A1123" i="1"/>
  <c r="F1123" i="1"/>
  <c r="G1123" i="1"/>
  <c r="I1123" i="1"/>
  <c r="A1124" i="1"/>
  <c r="F1124" i="1"/>
  <c r="G1124" i="1"/>
  <c r="I1124" i="1"/>
  <c r="A1125" i="1"/>
  <c r="F1125" i="1"/>
  <c r="G1125" i="1"/>
  <c r="I1125" i="1"/>
  <c r="A1126" i="1"/>
  <c r="F1126" i="1"/>
  <c r="G1126" i="1"/>
  <c r="I1126" i="1"/>
  <c r="A1127" i="1"/>
  <c r="F1127" i="1"/>
  <c r="G1127" i="1"/>
  <c r="I1127" i="1"/>
  <c r="A1128" i="1"/>
  <c r="F1128" i="1"/>
  <c r="G1128" i="1"/>
  <c r="I1128" i="1"/>
  <c r="A1129" i="1"/>
  <c r="F1129" i="1"/>
  <c r="G1129" i="1"/>
  <c r="I1129" i="1"/>
  <c r="A1130" i="1"/>
  <c r="F1130" i="1"/>
  <c r="G1130" i="1"/>
  <c r="I1130" i="1"/>
  <c r="A1131" i="1"/>
  <c r="F1131" i="1"/>
  <c r="G1131" i="1"/>
  <c r="I1131" i="1"/>
  <c r="A1132" i="1"/>
  <c r="F1132" i="1"/>
  <c r="G1132" i="1"/>
  <c r="I1132" i="1"/>
  <c r="A1133" i="1"/>
  <c r="F1133" i="1"/>
  <c r="G1133" i="1"/>
  <c r="I1133" i="1"/>
  <c r="A1134" i="1"/>
  <c r="F1134" i="1"/>
  <c r="G1134" i="1"/>
  <c r="I1134" i="1"/>
  <c r="A1135" i="1"/>
  <c r="F1135" i="1"/>
  <c r="G1135" i="1"/>
  <c r="I1135" i="1"/>
  <c r="A1136" i="1"/>
  <c r="F1136" i="1"/>
  <c r="G1136" i="1"/>
  <c r="I1136" i="1"/>
  <c r="A1137" i="1"/>
  <c r="F1137" i="1"/>
  <c r="G1137" i="1"/>
  <c r="I1137" i="1"/>
  <c r="A1138" i="1"/>
  <c r="F1138" i="1"/>
  <c r="G1138" i="1"/>
  <c r="I1138" i="1"/>
  <c r="A1139" i="1"/>
  <c r="F1139" i="1"/>
  <c r="G1139" i="1"/>
  <c r="I1139" i="1"/>
  <c r="A1140" i="1"/>
  <c r="F1140" i="1"/>
  <c r="G1140" i="1"/>
  <c r="I1140" i="1"/>
  <c r="A1141" i="1"/>
  <c r="F1141" i="1"/>
  <c r="G1141" i="1"/>
  <c r="I1141" i="1"/>
  <c r="A1142" i="1"/>
  <c r="F1142" i="1"/>
  <c r="G1142" i="1"/>
  <c r="I1142" i="1"/>
  <c r="A1143" i="1"/>
  <c r="F1143" i="1"/>
  <c r="G1143" i="1"/>
  <c r="I1143" i="1"/>
  <c r="A1144" i="1"/>
  <c r="F1144" i="1"/>
  <c r="G1144" i="1"/>
  <c r="I1144" i="1"/>
  <c r="A1145" i="1"/>
  <c r="F1145" i="1"/>
  <c r="G1145" i="1"/>
  <c r="I1145" i="1"/>
  <c r="A1146" i="1"/>
  <c r="F1146" i="1"/>
  <c r="G1146" i="1"/>
  <c r="I1146" i="1"/>
  <c r="A1147" i="1"/>
  <c r="F1147" i="1"/>
  <c r="G1147" i="1"/>
  <c r="I1147" i="1"/>
  <c r="A1148" i="1"/>
  <c r="F1148" i="1"/>
  <c r="G1148" i="1"/>
  <c r="I1148" i="1"/>
  <c r="A1149" i="1"/>
  <c r="F1149" i="1"/>
  <c r="G1149" i="1"/>
  <c r="I1149" i="1"/>
  <c r="A1150" i="1"/>
  <c r="F1150" i="1"/>
  <c r="G1150" i="1"/>
  <c r="I1150" i="1"/>
  <c r="A1151" i="1"/>
  <c r="F1151" i="1"/>
  <c r="G1151" i="1"/>
  <c r="I1151" i="1"/>
  <c r="A1152" i="1"/>
  <c r="F1152" i="1"/>
  <c r="G1152" i="1"/>
  <c r="I1152" i="1"/>
  <c r="A1153" i="1"/>
  <c r="F1153" i="1"/>
  <c r="G1153" i="1"/>
  <c r="I1153" i="1"/>
  <c r="A1154" i="1"/>
  <c r="F1154" i="1"/>
  <c r="G1154" i="1"/>
  <c r="I1154" i="1"/>
  <c r="A1155" i="1"/>
  <c r="F1155" i="1"/>
  <c r="G1155" i="1"/>
  <c r="I1155" i="1"/>
  <c r="A1156" i="1"/>
  <c r="F1156" i="1"/>
  <c r="G1156" i="1"/>
  <c r="I1156" i="1"/>
  <c r="A1157" i="1"/>
  <c r="F1157" i="1"/>
  <c r="G1157" i="1"/>
  <c r="I1157" i="1"/>
  <c r="A1158" i="1"/>
  <c r="F1158" i="1"/>
  <c r="G1158" i="1"/>
  <c r="I1158" i="1"/>
  <c r="A1159" i="1"/>
  <c r="F1159" i="1"/>
  <c r="G1159" i="1"/>
  <c r="I1159" i="1"/>
  <c r="A1160" i="1"/>
  <c r="F1160" i="1"/>
  <c r="G1160" i="1"/>
  <c r="I1160" i="1"/>
  <c r="A1161" i="1"/>
  <c r="F1161" i="1"/>
  <c r="G1161" i="1"/>
  <c r="I1161" i="1"/>
  <c r="A1162" i="1"/>
  <c r="F1162" i="1"/>
  <c r="G1162" i="1"/>
  <c r="I1162" i="1"/>
  <c r="A1163" i="1"/>
  <c r="F1163" i="1"/>
  <c r="G1163" i="1"/>
  <c r="I1163" i="1"/>
  <c r="A1164" i="1"/>
  <c r="F1164" i="1"/>
  <c r="G1164" i="1"/>
  <c r="I1164" i="1"/>
  <c r="A1165" i="1"/>
  <c r="F1165" i="1"/>
  <c r="G1165" i="1"/>
  <c r="I1165" i="1"/>
  <c r="A1166" i="1"/>
  <c r="F1166" i="1"/>
  <c r="G1166" i="1"/>
  <c r="I1166" i="1"/>
  <c r="A1167" i="1"/>
  <c r="F1167" i="1"/>
  <c r="G1167" i="1"/>
  <c r="I1167" i="1"/>
  <c r="A1168" i="1"/>
  <c r="F1168" i="1"/>
  <c r="G1168" i="1"/>
  <c r="I1168" i="1"/>
  <c r="A1169" i="1"/>
  <c r="F1169" i="1"/>
  <c r="G1169" i="1"/>
  <c r="I1169" i="1"/>
  <c r="A1170" i="1"/>
  <c r="F1170" i="1"/>
  <c r="G1170" i="1"/>
  <c r="I1170" i="1"/>
  <c r="A1171" i="1"/>
  <c r="F1171" i="1"/>
  <c r="G1171" i="1"/>
  <c r="I1171" i="1"/>
  <c r="A1172" i="1"/>
  <c r="F1172" i="1"/>
  <c r="G1172" i="1"/>
  <c r="I1172" i="1"/>
  <c r="A1173" i="1"/>
  <c r="F1173" i="1"/>
  <c r="G1173" i="1"/>
  <c r="I1173" i="1"/>
  <c r="A1174" i="1"/>
  <c r="F1174" i="1"/>
  <c r="G1174" i="1"/>
  <c r="I1174" i="1"/>
  <c r="A1175" i="1"/>
  <c r="F1175" i="1"/>
  <c r="G1175" i="1"/>
  <c r="I1175" i="1"/>
  <c r="A1176" i="1"/>
  <c r="F1176" i="1"/>
  <c r="G1176" i="1"/>
  <c r="I1176" i="1"/>
  <c r="A1177" i="1"/>
  <c r="F1177" i="1"/>
  <c r="G1177" i="1"/>
  <c r="I1177" i="1"/>
  <c r="A1178" i="1"/>
  <c r="F1178" i="1"/>
  <c r="G1178" i="1"/>
  <c r="I1178" i="1"/>
  <c r="A1179" i="1"/>
  <c r="F1179" i="1"/>
  <c r="G1179" i="1"/>
  <c r="I1179" i="1"/>
  <c r="A1180" i="1"/>
  <c r="F1180" i="1"/>
  <c r="G1180" i="1"/>
  <c r="I1180" i="1"/>
  <c r="A1181" i="1"/>
  <c r="F1181" i="1"/>
  <c r="G1181" i="1"/>
  <c r="I1181" i="1"/>
  <c r="A1182" i="1"/>
  <c r="F1182" i="1"/>
  <c r="G1182" i="1"/>
  <c r="I1182" i="1"/>
  <c r="A1183" i="1"/>
  <c r="F1183" i="1"/>
  <c r="G1183" i="1"/>
  <c r="I1183" i="1"/>
  <c r="A1184" i="1"/>
  <c r="F1184" i="1"/>
  <c r="G1184" i="1"/>
  <c r="I1184" i="1"/>
  <c r="A1185" i="1"/>
  <c r="F1185" i="1"/>
  <c r="G1185" i="1"/>
  <c r="I1185" i="1"/>
  <c r="A1186" i="1"/>
  <c r="F1186" i="1"/>
  <c r="G1186" i="1"/>
  <c r="I1186" i="1"/>
  <c r="A1187" i="1"/>
  <c r="F1187" i="1"/>
  <c r="G1187" i="1"/>
  <c r="I1187" i="1"/>
  <c r="A1188" i="1"/>
  <c r="F1188" i="1"/>
  <c r="G1188" i="1"/>
  <c r="I1188" i="1"/>
  <c r="A1189" i="1"/>
  <c r="F1189" i="1"/>
  <c r="G1189" i="1"/>
  <c r="I1189" i="1"/>
  <c r="A1190" i="1"/>
  <c r="F1190" i="1"/>
  <c r="G1190" i="1"/>
  <c r="I1190" i="1"/>
  <c r="A1191" i="1"/>
  <c r="F1191" i="1"/>
  <c r="G1191" i="1"/>
  <c r="I1191" i="1"/>
  <c r="A1192" i="1"/>
  <c r="F1192" i="1"/>
  <c r="G1192" i="1"/>
  <c r="I1192" i="1"/>
  <c r="A1193" i="1"/>
  <c r="F1193" i="1"/>
  <c r="G1193" i="1"/>
  <c r="I1193" i="1"/>
  <c r="A1194" i="1"/>
  <c r="F1194" i="1"/>
  <c r="G1194" i="1"/>
  <c r="I1194" i="1"/>
  <c r="A1195" i="1"/>
  <c r="F1195" i="1"/>
  <c r="G1195" i="1"/>
  <c r="I1195" i="1"/>
  <c r="A1196" i="1"/>
  <c r="F1196" i="1"/>
  <c r="G1196" i="1"/>
  <c r="I1196" i="1"/>
  <c r="A1197" i="1"/>
  <c r="F1197" i="1"/>
  <c r="G1197" i="1"/>
  <c r="I1197" i="1"/>
  <c r="A1198" i="1"/>
  <c r="F1198" i="1"/>
  <c r="G1198" i="1"/>
  <c r="I1198" i="1"/>
  <c r="A1199" i="1"/>
  <c r="F1199" i="1"/>
  <c r="G1199" i="1"/>
  <c r="I1199" i="1"/>
  <c r="A1200" i="1"/>
  <c r="F1200" i="1"/>
  <c r="G1200" i="1"/>
  <c r="I1200" i="1"/>
  <c r="A1201" i="1"/>
  <c r="F1201" i="1"/>
  <c r="G1201" i="1"/>
  <c r="I1201" i="1"/>
  <c r="A1202" i="1"/>
  <c r="F1202" i="1"/>
  <c r="G1202" i="1"/>
  <c r="I1202" i="1"/>
  <c r="A1203" i="1"/>
  <c r="F1203" i="1"/>
  <c r="G1203" i="1"/>
  <c r="I1203" i="1"/>
  <c r="A1204" i="1"/>
  <c r="F1204" i="1"/>
  <c r="G1204" i="1"/>
  <c r="I1204" i="1"/>
  <c r="A1205" i="1"/>
  <c r="F1205" i="1"/>
  <c r="G1205" i="1"/>
  <c r="I1205" i="1"/>
  <c r="A1206" i="1"/>
  <c r="F1206" i="1"/>
  <c r="G1206" i="1"/>
  <c r="I1206" i="1"/>
  <c r="A1207" i="1"/>
  <c r="F1207" i="1"/>
  <c r="G1207" i="1"/>
  <c r="I1207" i="1"/>
  <c r="A1208" i="1"/>
  <c r="F1208" i="1"/>
  <c r="G1208" i="1"/>
  <c r="I1208" i="1"/>
  <c r="A1209" i="1"/>
  <c r="F1209" i="1"/>
  <c r="G1209" i="1"/>
  <c r="I1209" i="1"/>
  <c r="A1210" i="1"/>
  <c r="F1210" i="1"/>
  <c r="G1210" i="1"/>
  <c r="I1210" i="1"/>
  <c r="A1211" i="1"/>
  <c r="F1211" i="1"/>
  <c r="G1211" i="1"/>
  <c r="I1211" i="1"/>
  <c r="A1212" i="1"/>
  <c r="F1212" i="1"/>
  <c r="G1212" i="1"/>
  <c r="I1212" i="1"/>
  <c r="A1213" i="1"/>
  <c r="F1213" i="1"/>
  <c r="G1213" i="1"/>
  <c r="I1213" i="1"/>
  <c r="A1214" i="1"/>
  <c r="F1214" i="1"/>
  <c r="G1214" i="1"/>
  <c r="I1214" i="1"/>
  <c r="A1215" i="1"/>
  <c r="F1215" i="1"/>
  <c r="G1215" i="1"/>
  <c r="I1215" i="1"/>
  <c r="A1216" i="1"/>
  <c r="F1216" i="1"/>
  <c r="G1216" i="1"/>
  <c r="I1216" i="1"/>
  <c r="A1217" i="1"/>
  <c r="F1217" i="1"/>
  <c r="G1217" i="1"/>
  <c r="I1217" i="1"/>
  <c r="A1218" i="1"/>
  <c r="F1218" i="1"/>
  <c r="G1218" i="1"/>
  <c r="I1218" i="1"/>
  <c r="A1219" i="1"/>
  <c r="F1219" i="1"/>
  <c r="G1219" i="1"/>
  <c r="I1219" i="1"/>
  <c r="A1220" i="1"/>
  <c r="F1220" i="1"/>
  <c r="G1220" i="1"/>
  <c r="I1220" i="1"/>
  <c r="A1221" i="1"/>
  <c r="F1221" i="1"/>
  <c r="G1221" i="1"/>
  <c r="I1221" i="1"/>
  <c r="A1222" i="1"/>
  <c r="F1222" i="1"/>
  <c r="G1222" i="1"/>
  <c r="I1222" i="1"/>
  <c r="A1223" i="1"/>
  <c r="F1223" i="1"/>
  <c r="G1223" i="1"/>
  <c r="I1223" i="1"/>
  <c r="A1224" i="1"/>
  <c r="F1224" i="1"/>
  <c r="G1224" i="1"/>
  <c r="I1224" i="1"/>
  <c r="A1225" i="1"/>
  <c r="F1225" i="1"/>
  <c r="G1225" i="1"/>
  <c r="I1225" i="1"/>
  <c r="A1226" i="1"/>
  <c r="F1226" i="1"/>
  <c r="G1226" i="1"/>
  <c r="I1226" i="1"/>
  <c r="A1227" i="1"/>
  <c r="F1227" i="1"/>
  <c r="G1227" i="1"/>
  <c r="I1227" i="1"/>
  <c r="A1228" i="1"/>
  <c r="F1228" i="1"/>
  <c r="G1228" i="1"/>
  <c r="I1228" i="1"/>
  <c r="A1229" i="1"/>
  <c r="F1229" i="1"/>
  <c r="G1229" i="1"/>
  <c r="I1229" i="1"/>
  <c r="A1230" i="1"/>
  <c r="F1230" i="1"/>
  <c r="G1230" i="1"/>
  <c r="I1230" i="1"/>
  <c r="A1231" i="1"/>
  <c r="F1231" i="1"/>
  <c r="G1231" i="1"/>
  <c r="I1231" i="1"/>
  <c r="A1232" i="1"/>
  <c r="F1232" i="1"/>
  <c r="G1232" i="1"/>
  <c r="I1232" i="1"/>
  <c r="A1233" i="1"/>
  <c r="F1233" i="1"/>
  <c r="G1233" i="1"/>
  <c r="I1233" i="1"/>
  <c r="A1234" i="1"/>
  <c r="F1234" i="1"/>
  <c r="G1234" i="1"/>
  <c r="I1234" i="1"/>
  <c r="A1235" i="1"/>
  <c r="F1235" i="1"/>
  <c r="G1235" i="1"/>
  <c r="I1235" i="1"/>
  <c r="A1236" i="1"/>
  <c r="F1236" i="1"/>
  <c r="G1236" i="1"/>
  <c r="I1236" i="1"/>
  <c r="A1237" i="1"/>
  <c r="F1237" i="1"/>
  <c r="G1237" i="1"/>
  <c r="I1237" i="1"/>
  <c r="A1238" i="1"/>
  <c r="F1238" i="1"/>
  <c r="G1238" i="1"/>
  <c r="I1238" i="1"/>
  <c r="A1239" i="1"/>
  <c r="F1239" i="1"/>
  <c r="G1239" i="1"/>
  <c r="I1239" i="1"/>
  <c r="A1240" i="1"/>
  <c r="F1240" i="1"/>
  <c r="G1240" i="1"/>
  <c r="I1240" i="1"/>
  <c r="A1241" i="1"/>
  <c r="F1241" i="1"/>
  <c r="G1241" i="1"/>
  <c r="I1241" i="1"/>
  <c r="A1242" i="1"/>
  <c r="F1242" i="1"/>
  <c r="G1242" i="1"/>
  <c r="I1242" i="1"/>
  <c r="A1243" i="1"/>
  <c r="F1243" i="1"/>
  <c r="G1243" i="1"/>
  <c r="I1243" i="1"/>
  <c r="A1244" i="1"/>
  <c r="F1244" i="1"/>
  <c r="G1244" i="1"/>
  <c r="I1244" i="1"/>
  <c r="A1245" i="1"/>
  <c r="F1245" i="1"/>
  <c r="G1245" i="1"/>
  <c r="I1245" i="1"/>
  <c r="A1246" i="1"/>
  <c r="F1246" i="1"/>
  <c r="G1246" i="1"/>
  <c r="I1246" i="1"/>
  <c r="A1247" i="1"/>
  <c r="F1247" i="1"/>
  <c r="G1247" i="1"/>
  <c r="I1247" i="1"/>
  <c r="A1248" i="1"/>
  <c r="F1248" i="1"/>
  <c r="G1248" i="1"/>
  <c r="I1248" i="1"/>
  <c r="A1249" i="1"/>
  <c r="F1249" i="1"/>
  <c r="G1249" i="1"/>
  <c r="I1249" i="1"/>
  <c r="A1250" i="1"/>
  <c r="F1250" i="1"/>
  <c r="G1250" i="1"/>
  <c r="I1250" i="1"/>
  <c r="A1251" i="1"/>
  <c r="F1251" i="1"/>
  <c r="G1251" i="1"/>
  <c r="I1251" i="1"/>
  <c r="A1252" i="1"/>
  <c r="F1252" i="1"/>
  <c r="G1252" i="1"/>
  <c r="I1252" i="1"/>
  <c r="A1253" i="1"/>
  <c r="F1253" i="1"/>
  <c r="G1253" i="1"/>
  <c r="I1253" i="1"/>
  <c r="A1254" i="1"/>
  <c r="F1254" i="1"/>
  <c r="G1254" i="1"/>
  <c r="I1254" i="1"/>
  <c r="A1255" i="1"/>
  <c r="F1255" i="1"/>
  <c r="G1255" i="1"/>
  <c r="I1255" i="1"/>
  <c r="A1256" i="1"/>
  <c r="F1256" i="1"/>
  <c r="G1256" i="1"/>
  <c r="I1256" i="1"/>
  <c r="A1257" i="1"/>
  <c r="F1257" i="1"/>
  <c r="G1257" i="1"/>
  <c r="I1257" i="1"/>
  <c r="A1258" i="1"/>
  <c r="F1258" i="1"/>
  <c r="G1258" i="1"/>
  <c r="I1258" i="1"/>
  <c r="A1259" i="1"/>
  <c r="F1259" i="1"/>
  <c r="G1259" i="1"/>
  <c r="I1259" i="1"/>
  <c r="A1260" i="1"/>
  <c r="F1260" i="1"/>
  <c r="G1260" i="1"/>
  <c r="I1260" i="1"/>
  <c r="A1261" i="1"/>
  <c r="F1261" i="1"/>
  <c r="G1261" i="1"/>
  <c r="I1261" i="1"/>
  <c r="A1262" i="1"/>
  <c r="F1262" i="1"/>
  <c r="G1262" i="1"/>
  <c r="I1262" i="1"/>
  <c r="A1263" i="1"/>
  <c r="F1263" i="1"/>
  <c r="G1263" i="1"/>
  <c r="I1263" i="1"/>
  <c r="A1264" i="1"/>
  <c r="F1264" i="1"/>
  <c r="G1264" i="1"/>
  <c r="I1264" i="1"/>
  <c r="A1265" i="1"/>
  <c r="F1265" i="1"/>
  <c r="G1265" i="1"/>
  <c r="I1265" i="1"/>
  <c r="A1266" i="1"/>
  <c r="F1266" i="1"/>
  <c r="G1266" i="1"/>
  <c r="I1266" i="1"/>
  <c r="A1267" i="1"/>
  <c r="F1267" i="1"/>
  <c r="G1267" i="1"/>
  <c r="I1267" i="1"/>
  <c r="A1268" i="1"/>
  <c r="F1268" i="1"/>
  <c r="G1268" i="1"/>
  <c r="I1268" i="1"/>
  <c r="A1269" i="1"/>
  <c r="F1269" i="1"/>
  <c r="G1269" i="1"/>
  <c r="I1269" i="1"/>
  <c r="A1270" i="1"/>
  <c r="F1270" i="1"/>
  <c r="G1270" i="1"/>
  <c r="I1270" i="1"/>
  <c r="A1271" i="1"/>
  <c r="F1271" i="1"/>
  <c r="G1271" i="1"/>
  <c r="I1271" i="1"/>
  <c r="A1272" i="1"/>
  <c r="F1272" i="1"/>
  <c r="G1272" i="1"/>
  <c r="I1272" i="1"/>
  <c r="A1273" i="1"/>
  <c r="F1273" i="1"/>
  <c r="G1273" i="1"/>
  <c r="I1273" i="1"/>
  <c r="A1274" i="1"/>
  <c r="F1274" i="1"/>
  <c r="G1274" i="1"/>
  <c r="I1274" i="1"/>
  <c r="A1275" i="1"/>
  <c r="F1275" i="1"/>
  <c r="G1275" i="1"/>
  <c r="I1275" i="1"/>
  <c r="A1276" i="1"/>
  <c r="F1276" i="1"/>
  <c r="G1276" i="1"/>
  <c r="I1276" i="1"/>
  <c r="A1277" i="1"/>
  <c r="F1277" i="1"/>
  <c r="G1277" i="1"/>
  <c r="I1277" i="1"/>
  <c r="A1278" i="1"/>
  <c r="F1278" i="1"/>
  <c r="G1278" i="1"/>
  <c r="I1278" i="1"/>
  <c r="A1279" i="1"/>
  <c r="F1279" i="1"/>
  <c r="G1279" i="1"/>
  <c r="I1279" i="1"/>
  <c r="A1280" i="1"/>
  <c r="F1280" i="1"/>
  <c r="G1280" i="1"/>
  <c r="I1280" i="1"/>
  <c r="A1281" i="1"/>
  <c r="F1281" i="1"/>
  <c r="G1281" i="1"/>
  <c r="I1281" i="1"/>
  <c r="A1282" i="1"/>
  <c r="F1282" i="1"/>
  <c r="G1282" i="1"/>
  <c r="I1282" i="1"/>
  <c r="A1283" i="1"/>
  <c r="F1283" i="1"/>
  <c r="G1283" i="1"/>
  <c r="I1283" i="1"/>
  <c r="A1284" i="1"/>
  <c r="F1284" i="1"/>
  <c r="G1284" i="1"/>
  <c r="I1284" i="1"/>
  <c r="A1285" i="1"/>
  <c r="F1285" i="1"/>
  <c r="G1285" i="1"/>
  <c r="I1285" i="1"/>
  <c r="A1286" i="1"/>
  <c r="F1286" i="1"/>
  <c r="G1286" i="1"/>
  <c r="I1286" i="1"/>
  <c r="A1287" i="1"/>
  <c r="F1287" i="1"/>
  <c r="G1287" i="1"/>
  <c r="I1287" i="1"/>
  <c r="A1288" i="1"/>
  <c r="F1288" i="1"/>
  <c r="G1288" i="1"/>
  <c r="I1288" i="1"/>
  <c r="A1289" i="1"/>
  <c r="F1289" i="1"/>
  <c r="G1289" i="1"/>
  <c r="I1289" i="1"/>
  <c r="A1290" i="1"/>
  <c r="F1290" i="1"/>
  <c r="G1290" i="1"/>
  <c r="I1290" i="1"/>
  <c r="A1291" i="1"/>
  <c r="F1291" i="1"/>
  <c r="G1291" i="1"/>
  <c r="I1291" i="1"/>
  <c r="A1292" i="1"/>
  <c r="F1292" i="1"/>
  <c r="G1292" i="1"/>
  <c r="I1292" i="1"/>
  <c r="A1293" i="1"/>
  <c r="F1293" i="1"/>
  <c r="G1293" i="1"/>
  <c r="I1293" i="1"/>
  <c r="A1294" i="1"/>
  <c r="F1294" i="1"/>
  <c r="G1294" i="1"/>
  <c r="I1294" i="1"/>
  <c r="A1295" i="1"/>
  <c r="F1295" i="1"/>
  <c r="G1295" i="1"/>
  <c r="I1295" i="1"/>
  <c r="A1296" i="1"/>
  <c r="F1296" i="1"/>
  <c r="G1296" i="1"/>
  <c r="I1296" i="1"/>
  <c r="A1297" i="1"/>
  <c r="F1297" i="1"/>
  <c r="G1297" i="1"/>
  <c r="I1297" i="1"/>
  <c r="A1298" i="1"/>
  <c r="F1298" i="1"/>
  <c r="G1298" i="1"/>
  <c r="I1298" i="1"/>
  <c r="A1299" i="1"/>
  <c r="F1299" i="1"/>
  <c r="G1299" i="1"/>
  <c r="I1299" i="1"/>
  <c r="A1300" i="1"/>
  <c r="F1300" i="1"/>
  <c r="G1300" i="1"/>
  <c r="I1300" i="1"/>
  <c r="A1301" i="1"/>
  <c r="F1301" i="1"/>
  <c r="G1301" i="1"/>
  <c r="I1301" i="1"/>
  <c r="A1302" i="1"/>
  <c r="F1302" i="1"/>
  <c r="G1302" i="1"/>
  <c r="I1302" i="1"/>
  <c r="A1303" i="1"/>
  <c r="F1303" i="1"/>
  <c r="G1303" i="1"/>
  <c r="I1303" i="1"/>
  <c r="A1304" i="1"/>
  <c r="F1304" i="1"/>
  <c r="G1304" i="1"/>
  <c r="I1304" i="1"/>
  <c r="A1305" i="1"/>
  <c r="F1305" i="1"/>
  <c r="G1305" i="1"/>
  <c r="I1305" i="1"/>
  <c r="A1306" i="1"/>
  <c r="F1306" i="1"/>
  <c r="G1306" i="1"/>
  <c r="I1306" i="1"/>
  <c r="A1307" i="1"/>
  <c r="F1307" i="1"/>
  <c r="G1307" i="1"/>
  <c r="I1307" i="1"/>
  <c r="A1308" i="1"/>
  <c r="F1308" i="1"/>
  <c r="G1308" i="1"/>
  <c r="I1308" i="1"/>
  <c r="A1309" i="1"/>
  <c r="F1309" i="1"/>
  <c r="G1309" i="1"/>
  <c r="I1309" i="1"/>
  <c r="A1310" i="1"/>
  <c r="F1310" i="1"/>
  <c r="G1310" i="1"/>
  <c r="I1310" i="1"/>
  <c r="A1311" i="1"/>
  <c r="F1311" i="1"/>
  <c r="G1311" i="1"/>
  <c r="I1311" i="1"/>
  <c r="A1312" i="1"/>
  <c r="F1312" i="1"/>
  <c r="G1312" i="1"/>
  <c r="I1312" i="1"/>
  <c r="A1313" i="1"/>
  <c r="F1313" i="1"/>
  <c r="G1313" i="1"/>
  <c r="I1313" i="1"/>
  <c r="A1314" i="1"/>
  <c r="F1314" i="1"/>
  <c r="G1314" i="1"/>
  <c r="I1314" i="1"/>
  <c r="A1315" i="1"/>
  <c r="F1315" i="1"/>
  <c r="G1315" i="1"/>
  <c r="I1315" i="1"/>
  <c r="A1316" i="1"/>
  <c r="F1316" i="1"/>
  <c r="G1316" i="1"/>
  <c r="I1316" i="1"/>
  <c r="A1317" i="1"/>
  <c r="F1317" i="1"/>
  <c r="G1317" i="1"/>
  <c r="I1317" i="1"/>
  <c r="A1318" i="1"/>
  <c r="F1318" i="1"/>
  <c r="G1318" i="1"/>
  <c r="I1318" i="1"/>
  <c r="A1319" i="1"/>
  <c r="F1319" i="1"/>
  <c r="G1319" i="1"/>
  <c r="I1319" i="1"/>
  <c r="A1320" i="1"/>
  <c r="F1320" i="1"/>
  <c r="G1320" i="1"/>
  <c r="I1320" i="1"/>
  <c r="A1321" i="1"/>
  <c r="F1321" i="1"/>
  <c r="G1321" i="1"/>
  <c r="I1321" i="1"/>
  <c r="A1322" i="1"/>
  <c r="F1322" i="1"/>
  <c r="G1322" i="1"/>
  <c r="I1322" i="1"/>
  <c r="A1323" i="1"/>
  <c r="F1323" i="1"/>
  <c r="G1323" i="1"/>
  <c r="I1323" i="1"/>
  <c r="A1324" i="1"/>
  <c r="F1324" i="1"/>
  <c r="G1324" i="1"/>
  <c r="I1324" i="1"/>
  <c r="A1325" i="1"/>
  <c r="F1325" i="1"/>
  <c r="G1325" i="1"/>
  <c r="I1325" i="1"/>
  <c r="A1326" i="1"/>
  <c r="F1326" i="1"/>
  <c r="G1326" i="1"/>
  <c r="I1326" i="1"/>
  <c r="A1327" i="1"/>
  <c r="F1327" i="1"/>
  <c r="G1327" i="1"/>
  <c r="I1327" i="1"/>
  <c r="A1328" i="1"/>
  <c r="F1328" i="1"/>
  <c r="G1328" i="1"/>
  <c r="I1328" i="1"/>
  <c r="A1329" i="1"/>
  <c r="F1329" i="1"/>
  <c r="G1329" i="1"/>
  <c r="I1329" i="1"/>
  <c r="A1330" i="1"/>
  <c r="F1330" i="1"/>
  <c r="G1330" i="1"/>
  <c r="I1330" i="1"/>
  <c r="A1331" i="1"/>
  <c r="F1331" i="1"/>
  <c r="G1331" i="1"/>
  <c r="I1331" i="1"/>
  <c r="A1332" i="1"/>
  <c r="F1332" i="1"/>
  <c r="G1332" i="1"/>
  <c r="I1332" i="1"/>
  <c r="A1333" i="1"/>
  <c r="F1333" i="1"/>
  <c r="G1333" i="1"/>
  <c r="I1333" i="1"/>
  <c r="A1334" i="1"/>
  <c r="F1334" i="1"/>
  <c r="G1334" i="1"/>
  <c r="I1334" i="1"/>
  <c r="A1335" i="1"/>
  <c r="F1335" i="1"/>
  <c r="G1335" i="1"/>
  <c r="I1335" i="1"/>
  <c r="A1336" i="1"/>
  <c r="F1336" i="1"/>
  <c r="G1336" i="1"/>
  <c r="I1336" i="1"/>
  <c r="A1337" i="1"/>
  <c r="F1337" i="1"/>
  <c r="G1337" i="1"/>
  <c r="I1337" i="1"/>
  <c r="A1338" i="1"/>
  <c r="F1338" i="1"/>
  <c r="G1338" i="1"/>
  <c r="I1338" i="1"/>
  <c r="A1339" i="1"/>
  <c r="F1339" i="1"/>
  <c r="G1339" i="1"/>
  <c r="I1339" i="1"/>
  <c r="A1340" i="1"/>
  <c r="A1341" i="1"/>
  <c r="F1341" i="1"/>
  <c r="G1341" i="1"/>
  <c r="A1342" i="1"/>
  <c r="F1342" i="1"/>
  <c r="A1343" i="1"/>
  <c r="F1343" i="1"/>
  <c r="G1343" i="1"/>
  <c r="I1343" i="1"/>
  <c r="A1344" i="1"/>
  <c r="F1344" i="1"/>
  <c r="G1344" i="1"/>
  <c r="I1344" i="1"/>
  <c r="A1345" i="1"/>
  <c r="F1345" i="1"/>
  <c r="G1345" i="1"/>
  <c r="I1345" i="1"/>
  <c r="A1346" i="1"/>
  <c r="F1346" i="1"/>
  <c r="G1346" i="1"/>
  <c r="I1346" i="1"/>
  <c r="A1347" i="1"/>
  <c r="F1347" i="1"/>
  <c r="G1347" i="1"/>
  <c r="I1347" i="1"/>
  <c r="A1348" i="1"/>
  <c r="F1348" i="1"/>
  <c r="G1348" i="1"/>
  <c r="I1348" i="1"/>
  <c r="A1349" i="1"/>
  <c r="F1349" i="1"/>
  <c r="G1349" i="1"/>
  <c r="I1349" i="1"/>
  <c r="A1350" i="1"/>
  <c r="F1350" i="1"/>
  <c r="G1350" i="1"/>
  <c r="I1350" i="1"/>
  <c r="A1351" i="1"/>
  <c r="F1351" i="1"/>
  <c r="G1351" i="1"/>
  <c r="I1351" i="1"/>
  <c r="A1352" i="1"/>
  <c r="F1352" i="1"/>
  <c r="G1352" i="1"/>
  <c r="I1352" i="1"/>
  <c r="A1353" i="1"/>
  <c r="F1353" i="1"/>
  <c r="G1353" i="1"/>
  <c r="I1353" i="1"/>
  <c r="A1354" i="1"/>
  <c r="F1354" i="1"/>
  <c r="G1354" i="1"/>
  <c r="I1354" i="1"/>
  <c r="A1355" i="1"/>
  <c r="F1355" i="1"/>
  <c r="G1355" i="1"/>
  <c r="I1355" i="1"/>
  <c r="A1356" i="1"/>
  <c r="F1356" i="1"/>
  <c r="G1356" i="1"/>
  <c r="I1356" i="1"/>
  <c r="A1357" i="1"/>
  <c r="F1357" i="1"/>
  <c r="G1357" i="1"/>
  <c r="I1357" i="1"/>
  <c r="A1358" i="1"/>
  <c r="F1358" i="1"/>
  <c r="G1358" i="1"/>
  <c r="I1358" i="1"/>
  <c r="A1359" i="1"/>
  <c r="F1359" i="1"/>
  <c r="G1359" i="1"/>
  <c r="I1359" i="1"/>
  <c r="A1360" i="1"/>
  <c r="F1360" i="1"/>
  <c r="G1360" i="1"/>
  <c r="I1360" i="1"/>
  <c r="A1361" i="1"/>
  <c r="F1361" i="1"/>
  <c r="G1361" i="1"/>
  <c r="I1361" i="1"/>
  <c r="A1362" i="1"/>
  <c r="F1362" i="1"/>
  <c r="G1362" i="1"/>
  <c r="I1362" i="1"/>
  <c r="A1363" i="1"/>
  <c r="F1363" i="1"/>
  <c r="G1363" i="1"/>
  <c r="I1363" i="1"/>
  <c r="A1364" i="1"/>
  <c r="F1364" i="1"/>
  <c r="G1364" i="1"/>
  <c r="I1364" i="1"/>
  <c r="A1365" i="1"/>
  <c r="F1365" i="1"/>
  <c r="G1365" i="1"/>
  <c r="I1365" i="1"/>
  <c r="A1366" i="1"/>
  <c r="F1366" i="1"/>
  <c r="G1366" i="1"/>
  <c r="I1366" i="1"/>
  <c r="A1367" i="1"/>
  <c r="F1367" i="1"/>
  <c r="G1367" i="1"/>
  <c r="I1367" i="1"/>
  <c r="A1368" i="1"/>
  <c r="F1368" i="1"/>
  <c r="G1368" i="1"/>
  <c r="I1368" i="1"/>
  <c r="A1369" i="1"/>
  <c r="F1369" i="1"/>
  <c r="G1369" i="1"/>
  <c r="I1369" i="1"/>
  <c r="A1370" i="1"/>
  <c r="F1370" i="1"/>
  <c r="G1370" i="1"/>
  <c r="I1370" i="1"/>
  <c r="A1371" i="1"/>
  <c r="F1371" i="1"/>
  <c r="G1371" i="1"/>
  <c r="I1371" i="1"/>
  <c r="A1372" i="1"/>
  <c r="F1372" i="1"/>
  <c r="G1372" i="1"/>
  <c r="I1372" i="1"/>
  <c r="A1373" i="1"/>
  <c r="F1373" i="1"/>
  <c r="G1373" i="1"/>
  <c r="I1373" i="1"/>
  <c r="A1374" i="1"/>
  <c r="F1374" i="1"/>
  <c r="G1374" i="1"/>
  <c r="I1374" i="1"/>
  <c r="A1375" i="1"/>
  <c r="F1375" i="1"/>
  <c r="G1375" i="1"/>
  <c r="I1375" i="1"/>
  <c r="A1376" i="1"/>
  <c r="F1376" i="1"/>
  <c r="G1376" i="1"/>
  <c r="I1376" i="1"/>
  <c r="A1377" i="1"/>
  <c r="F1377" i="1"/>
  <c r="G1377" i="1"/>
  <c r="I1377" i="1"/>
  <c r="A1378" i="1"/>
  <c r="F1378" i="1"/>
  <c r="G1378" i="1"/>
  <c r="I1378" i="1"/>
  <c r="A1379" i="1"/>
  <c r="F1379" i="1"/>
  <c r="G1379" i="1"/>
  <c r="I1379" i="1"/>
  <c r="A1380" i="1"/>
  <c r="F1380" i="1"/>
  <c r="G1380" i="1"/>
  <c r="I1380" i="1"/>
  <c r="A1381" i="1"/>
  <c r="F1381" i="1"/>
  <c r="G1381" i="1"/>
  <c r="I1381" i="1"/>
  <c r="A1382" i="1"/>
  <c r="F1382" i="1"/>
  <c r="G1382" i="1"/>
  <c r="I1382" i="1"/>
  <c r="A1383" i="1"/>
  <c r="F1383" i="1"/>
  <c r="G1383" i="1"/>
  <c r="I1383" i="1"/>
  <c r="A1384" i="1"/>
  <c r="F1384" i="1"/>
  <c r="G1384" i="1"/>
  <c r="I1384" i="1"/>
  <c r="A1385" i="1"/>
  <c r="F1385" i="1"/>
  <c r="G1385" i="1"/>
  <c r="I1385" i="1"/>
  <c r="A1386" i="1"/>
  <c r="F1386" i="1"/>
  <c r="G1386" i="1"/>
  <c r="I1386" i="1"/>
  <c r="A1387" i="1"/>
  <c r="F1387" i="1"/>
  <c r="G1387" i="1"/>
  <c r="I1387" i="1"/>
  <c r="A1388" i="1"/>
  <c r="F1388" i="1"/>
  <c r="G1388" i="1"/>
  <c r="I1388" i="1"/>
  <c r="A1389" i="1"/>
  <c r="F1389" i="1"/>
  <c r="G1389" i="1"/>
  <c r="I1389" i="1"/>
  <c r="A1390" i="1"/>
  <c r="F1390" i="1"/>
  <c r="G1390" i="1"/>
  <c r="I1390" i="1"/>
  <c r="A1391" i="1"/>
  <c r="F1391" i="1"/>
  <c r="G1391" i="1"/>
  <c r="I1391" i="1"/>
  <c r="A1392" i="1"/>
  <c r="F1392" i="1"/>
  <c r="G1392" i="1"/>
  <c r="I1392" i="1"/>
  <c r="A1393" i="1"/>
  <c r="F1393" i="1"/>
  <c r="G1393" i="1"/>
  <c r="I1393" i="1"/>
  <c r="A1394" i="1"/>
  <c r="F1394" i="1"/>
  <c r="G1394" i="1"/>
  <c r="I1394" i="1"/>
  <c r="A1395" i="1"/>
  <c r="F1395" i="1"/>
  <c r="G1395" i="1"/>
  <c r="I1395" i="1"/>
  <c r="A1396" i="1"/>
  <c r="F1396" i="1"/>
  <c r="G1396" i="1"/>
  <c r="I1396" i="1"/>
  <c r="A1397" i="1"/>
  <c r="F1397" i="1"/>
  <c r="G1397" i="1"/>
  <c r="I1397" i="1"/>
  <c r="A1398" i="1"/>
  <c r="F1398" i="1"/>
  <c r="G1398" i="1"/>
  <c r="I1398" i="1"/>
  <c r="A1399" i="1"/>
  <c r="F1399" i="1"/>
  <c r="G1399" i="1"/>
  <c r="I1399" i="1"/>
  <c r="A1400" i="1"/>
  <c r="F1400" i="1"/>
  <c r="G1400" i="1"/>
  <c r="I1400" i="1"/>
  <c r="A1401" i="1"/>
  <c r="F1401" i="1"/>
  <c r="G1401" i="1"/>
  <c r="I1401" i="1"/>
  <c r="A1402" i="1"/>
  <c r="F1402" i="1"/>
  <c r="G1402" i="1"/>
  <c r="I1402" i="1"/>
  <c r="A1403" i="1"/>
  <c r="F1403" i="1"/>
  <c r="G1403" i="1"/>
  <c r="I1403" i="1"/>
  <c r="A1404" i="1"/>
  <c r="F1404" i="1"/>
  <c r="G1404" i="1"/>
  <c r="I1404" i="1"/>
  <c r="A1405" i="1"/>
  <c r="F1405" i="1"/>
  <c r="G1405" i="1"/>
  <c r="I1405" i="1"/>
  <c r="A1406" i="1"/>
  <c r="F1406" i="1"/>
  <c r="G1406" i="1"/>
  <c r="I1406" i="1"/>
  <c r="A1407" i="1"/>
  <c r="F1407" i="1"/>
  <c r="G1407" i="1"/>
  <c r="I1407" i="1"/>
  <c r="A1408" i="1"/>
  <c r="F1408" i="1"/>
  <c r="G1408" i="1"/>
  <c r="I1408" i="1"/>
  <c r="A1409" i="1"/>
  <c r="F1409" i="1"/>
  <c r="G1409" i="1"/>
  <c r="I1409" i="1"/>
  <c r="A1410" i="1"/>
  <c r="F1410" i="1"/>
  <c r="G1410" i="1"/>
  <c r="I1410" i="1"/>
  <c r="A1411" i="1"/>
  <c r="F1411" i="1"/>
  <c r="G1411" i="1"/>
  <c r="I1411" i="1"/>
  <c r="A1412" i="1"/>
  <c r="F1412" i="1"/>
  <c r="G1412" i="1"/>
  <c r="I1412" i="1"/>
  <c r="A1413" i="1"/>
  <c r="F1413" i="1"/>
  <c r="G1413" i="1"/>
  <c r="I1413" i="1"/>
  <c r="A1414" i="1"/>
  <c r="F1414" i="1"/>
  <c r="G1414" i="1"/>
  <c r="I1414" i="1"/>
  <c r="A1415" i="1"/>
  <c r="F1415" i="1"/>
  <c r="G1415" i="1"/>
  <c r="I1415" i="1"/>
  <c r="A1416" i="1"/>
  <c r="F1416" i="1"/>
  <c r="G1416" i="1"/>
  <c r="I1416" i="1"/>
  <c r="A1417" i="1"/>
  <c r="F1417" i="1"/>
  <c r="G1417" i="1"/>
  <c r="I1417" i="1"/>
  <c r="A1418" i="1"/>
  <c r="F1418" i="1"/>
  <c r="G1418" i="1"/>
  <c r="I1418" i="1"/>
  <c r="A1419" i="1"/>
  <c r="F1419" i="1"/>
  <c r="G1419" i="1"/>
  <c r="I1419" i="1"/>
  <c r="A1420" i="1"/>
  <c r="F1420" i="1"/>
  <c r="G1420" i="1"/>
  <c r="I1420" i="1"/>
  <c r="A1421" i="1"/>
  <c r="F1421" i="1"/>
  <c r="G1421" i="1"/>
  <c r="I1421" i="1"/>
  <c r="A1422" i="1"/>
  <c r="F1422" i="1"/>
  <c r="G1422" i="1"/>
  <c r="I1422" i="1"/>
  <c r="A1423" i="1"/>
  <c r="F1423" i="1"/>
  <c r="G1423" i="1"/>
  <c r="I1423" i="1"/>
  <c r="A1424" i="1"/>
  <c r="F1424" i="1"/>
  <c r="G1424" i="1"/>
  <c r="I1424" i="1"/>
  <c r="A1425" i="1"/>
  <c r="F1425" i="1"/>
  <c r="G1425" i="1"/>
  <c r="I1425" i="1"/>
  <c r="A1426" i="1"/>
  <c r="F1426" i="1"/>
  <c r="G1426" i="1"/>
  <c r="I1426" i="1"/>
  <c r="A1427" i="1"/>
  <c r="F1427" i="1"/>
  <c r="G1427" i="1"/>
  <c r="I1427" i="1"/>
  <c r="A1428" i="1"/>
  <c r="F1428" i="1"/>
  <c r="G1428" i="1"/>
  <c r="I1428" i="1"/>
  <c r="A1429" i="1"/>
  <c r="F1429" i="1"/>
  <c r="G1429" i="1"/>
  <c r="I1429" i="1"/>
  <c r="A1430" i="1"/>
  <c r="F1430" i="1"/>
  <c r="G1430" i="1"/>
  <c r="I1430" i="1"/>
  <c r="A1431" i="1"/>
  <c r="F1431" i="1"/>
  <c r="G1431" i="1"/>
  <c r="I1431" i="1"/>
  <c r="A1432" i="1"/>
  <c r="F1432" i="1"/>
  <c r="G1432" i="1"/>
  <c r="I1432" i="1"/>
  <c r="A1433" i="1"/>
  <c r="F1433" i="1"/>
  <c r="G1433" i="1"/>
  <c r="I1433" i="1"/>
  <c r="A1434" i="1"/>
  <c r="F1434" i="1"/>
  <c r="G1434" i="1"/>
  <c r="I1434" i="1"/>
  <c r="A1435" i="1"/>
  <c r="F1435" i="1"/>
  <c r="G1435" i="1"/>
  <c r="I1435" i="1"/>
  <c r="A1436" i="1"/>
  <c r="F1436" i="1"/>
  <c r="G1436" i="1"/>
  <c r="I1436" i="1"/>
  <c r="A1437" i="1"/>
  <c r="F1437" i="1"/>
  <c r="G1437" i="1"/>
  <c r="I1437" i="1"/>
  <c r="A1438" i="1"/>
  <c r="F1438" i="1"/>
  <c r="G1438" i="1"/>
  <c r="I1438" i="1"/>
  <c r="A1439" i="1"/>
  <c r="F1439" i="1"/>
  <c r="G1439" i="1"/>
  <c r="I1439" i="1"/>
  <c r="A1440" i="1"/>
  <c r="F1440" i="1"/>
  <c r="G1440" i="1"/>
  <c r="I1440" i="1"/>
  <c r="A1441" i="1"/>
  <c r="F1441" i="1"/>
  <c r="G1441" i="1"/>
  <c r="I1441" i="1"/>
  <c r="A1442" i="1"/>
  <c r="F1442" i="1"/>
  <c r="G1442" i="1"/>
  <c r="I1442" i="1"/>
  <c r="A1443" i="1"/>
  <c r="F1443" i="1"/>
  <c r="G1443" i="1"/>
  <c r="I1443" i="1"/>
  <c r="A1444" i="1"/>
  <c r="F1444" i="1"/>
  <c r="G1444" i="1"/>
  <c r="I1444" i="1"/>
  <c r="A1445" i="1"/>
  <c r="F1445" i="1"/>
  <c r="G1445" i="1"/>
  <c r="I1445" i="1"/>
  <c r="A1446" i="1"/>
  <c r="F1446" i="1"/>
  <c r="G1446" i="1"/>
  <c r="I1446" i="1"/>
  <c r="A1447" i="1"/>
  <c r="F1447" i="1"/>
  <c r="G1447" i="1"/>
  <c r="I1447" i="1"/>
  <c r="A1448" i="1"/>
  <c r="F1448" i="1"/>
  <c r="G1448" i="1"/>
  <c r="I1448" i="1"/>
  <c r="A1449" i="1"/>
  <c r="F1449" i="1"/>
  <c r="G1449" i="1"/>
  <c r="I1449" i="1"/>
  <c r="A1450" i="1"/>
  <c r="F1450" i="1"/>
  <c r="G1450" i="1"/>
  <c r="I1450" i="1"/>
  <c r="A1451" i="1"/>
  <c r="F1451" i="1"/>
  <c r="G1451" i="1"/>
  <c r="I1451" i="1"/>
  <c r="A1452" i="1"/>
  <c r="F1452" i="1"/>
  <c r="G1452" i="1"/>
  <c r="I1452" i="1"/>
  <c r="A1453" i="1"/>
  <c r="F1453" i="1"/>
  <c r="G1453" i="1"/>
  <c r="I1453" i="1"/>
  <c r="A1454" i="1"/>
  <c r="F1454" i="1"/>
  <c r="G1454" i="1"/>
  <c r="I1454" i="1"/>
  <c r="A1455" i="1"/>
  <c r="F1455" i="1"/>
  <c r="G1455" i="1"/>
  <c r="I1455" i="1"/>
  <c r="A1456" i="1"/>
  <c r="F1456" i="1"/>
  <c r="G1456" i="1"/>
  <c r="I1456" i="1"/>
  <c r="A1457" i="1"/>
  <c r="F1457" i="1"/>
  <c r="G1457" i="1"/>
  <c r="I1457" i="1"/>
  <c r="A1458" i="1"/>
  <c r="F1458" i="1"/>
  <c r="G1458" i="1"/>
  <c r="I1458" i="1"/>
  <c r="A1459" i="1"/>
  <c r="F1459" i="1"/>
  <c r="G1459" i="1"/>
  <c r="I1459" i="1"/>
  <c r="A1460" i="1"/>
  <c r="F1460" i="1"/>
  <c r="G1460" i="1"/>
  <c r="I1460" i="1"/>
  <c r="A1461" i="1"/>
  <c r="F1461" i="1"/>
  <c r="G1461" i="1"/>
  <c r="I1461" i="1"/>
  <c r="A1462" i="1"/>
  <c r="F1462" i="1"/>
  <c r="G1462" i="1"/>
  <c r="I1462" i="1"/>
  <c r="A1463" i="1"/>
  <c r="F1463" i="1"/>
  <c r="G1463" i="1"/>
  <c r="I1463" i="1"/>
  <c r="A1464" i="1"/>
  <c r="F1464" i="1"/>
  <c r="G1464" i="1"/>
  <c r="I1464" i="1"/>
  <c r="A1465" i="1"/>
  <c r="F1465" i="1"/>
  <c r="G1465" i="1"/>
  <c r="I1465" i="1"/>
  <c r="A1466" i="1"/>
  <c r="F1466" i="1"/>
  <c r="G1466" i="1"/>
  <c r="I1466" i="1"/>
  <c r="A1467" i="1"/>
  <c r="F1467" i="1"/>
  <c r="G1467" i="1"/>
  <c r="I1467" i="1"/>
  <c r="A1468" i="1"/>
  <c r="F1468" i="1"/>
  <c r="G1468" i="1"/>
  <c r="I1468" i="1"/>
  <c r="A1469" i="1"/>
  <c r="F1469" i="1"/>
  <c r="G1469" i="1"/>
  <c r="I1469" i="1"/>
  <c r="A1470" i="1"/>
  <c r="F1470" i="1"/>
  <c r="G1470" i="1"/>
  <c r="I1470" i="1"/>
  <c r="A1471" i="1"/>
  <c r="F1471" i="1"/>
  <c r="G1471" i="1"/>
  <c r="I1471" i="1"/>
  <c r="A1472" i="1"/>
  <c r="F1472" i="1"/>
  <c r="G1472" i="1"/>
  <c r="I1472" i="1"/>
  <c r="A1473" i="1"/>
  <c r="F1473" i="1"/>
  <c r="G1473" i="1"/>
  <c r="I1473" i="1"/>
  <c r="A1474" i="1"/>
  <c r="F1474" i="1"/>
  <c r="G1474" i="1"/>
  <c r="I1474" i="1"/>
  <c r="A1475" i="1"/>
  <c r="F1475" i="1"/>
  <c r="G1475" i="1"/>
  <c r="I1475" i="1"/>
  <c r="A1476" i="1"/>
  <c r="F1476" i="1"/>
  <c r="G1476" i="1"/>
  <c r="I1476" i="1"/>
  <c r="A1477" i="1"/>
  <c r="F1477" i="1"/>
  <c r="G1477" i="1"/>
  <c r="I1477" i="1"/>
  <c r="A1478" i="1"/>
  <c r="F1478" i="1"/>
  <c r="G1478" i="1"/>
  <c r="I1478" i="1"/>
  <c r="A1479" i="1"/>
  <c r="F1479" i="1"/>
  <c r="G1479" i="1"/>
  <c r="I1479" i="1"/>
  <c r="A1480" i="1"/>
  <c r="F1480" i="1"/>
  <c r="G1480" i="1"/>
  <c r="I1480" i="1"/>
  <c r="A1481" i="1"/>
  <c r="F1481" i="1"/>
  <c r="G1481" i="1"/>
  <c r="I1481" i="1"/>
  <c r="A1482" i="1"/>
  <c r="F1482" i="1"/>
  <c r="G1482" i="1"/>
  <c r="I1482" i="1"/>
  <c r="A1483" i="1"/>
  <c r="F1483" i="1"/>
  <c r="G1483" i="1"/>
  <c r="I1483" i="1"/>
  <c r="A1484" i="1"/>
  <c r="F1484" i="1"/>
  <c r="G1484" i="1"/>
  <c r="I1484" i="1"/>
  <c r="A1485" i="1"/>
  <c r="F1485" i="1"/>
  <c r="G1485" i="1"/>
  <c r="I1485" i="1"/>
  <c r="A1486" i="1"/>
  <c r="F1486" i="1"/>
  <c r="G1486" i="1"/>
  <c r="I1486" i="1"/>
  <c r="A1487" i="1"/>
  <c r="F1487" i="1"/>
  <c r="G1487" i="1"/>
  <c r="I1487" i="1"/>
  <c r="A1488" i="1"/>
  <c r="F1488" i="1"/>
  <c r="G1488" i="1"/>
  <c r="I1488" i="1"/>
  <c r="A1489" i="1"/>
  <c r="F1489" i="1"/>
  <c r="G1489" i="1"/>
  <c r="I1489" i="1"/>
  <c r="A1490" i="1"/>
  <c r="F1490" i="1"/>
  <c r="G1490" i="1"/>
  <c r="I1490" i="1"/>
  <c r="A1491" i="1"/>
  <c r="F1491" i="1"/>
  <c r="G1491" i="1"/>
  <c r="I1491" i="1"/>
  <c r="A1492" i="1"/>
  <c r="F1492" i="1"/>
  <c r="G1492" i="1"/>
  <c r="I1492" i="1"/>
  <c r="A1493" i="1"/>
  <c r="F1493" i="1"/>
  <c r="G1493" i="1"/>
  <c r="I1493" i="1"/>
  <c r="A1494" i="1"/>
  <c r="F1494" i="1"/>
  <c r="G1494" i="1"/>
  <c r="I1494" i="1"/>
  <c r="A1495" i="1"/>
  <c r="F1495" i="1"/>
  <c r="G1495" i="1"/>
  <c r="I1495" i="1"/>
  <c r="A1496" i="1"/>
  <c r="F1496" i="1"/>
  <c r="G1496" i="1"/>
  <c r="I1496" i="1"/>
  <c r="A1497" i="1"/>
  <c r="F1497" i="1"/>
  <c r="G1497" i="1"/>
  <c r="I1497" i="1"/>
  <c r="A1498" i="1"/>
  <c r="F1498" i="1"/>
  <c r="G1498" i="1"/>
  <c r="I1498" i="1"/>
  <c r="A1499" i="1"/>
  <c r="F1499" i="1"/>
  <c r="G1499" i="1"/>
  <c r="I1499" i="1"/>
  <c r="A1500" i="1"/>
  <c r="F1500" i="1"/>
  <c r="G1500" i="1"/>
  <c r="I1500" i="1"/>
  <c r="A1501" i="1"/>
  <c r="F1501" i="1"/>
  <c r="G1501" i="1"/>
  <c r="I1501" i="1"/>
  <c r="A1502" i="1"/>
  <c r="F1502" i="1"/>
  <c r="G1502" i="1"/>
  <c r="I1502" i="1"/>
  <c r="A1503" i="1"/>
  <c r="F1503" i="1"/>
  <c r="G1503" i="1"/>
  <c r="I1503" i="1"/>
  <c r="A1504" i="1"/>
  <c r="F1504" i="1"/>
  <c r="G1504" i="1"/>
  <c r="I1504" i="1"/>
  <c r="A1505" i="1"/>
  <c r="F1505" i="1"/>
  <c r="G1505" i="1"/>
  <c r="I1505" i="1"/>
  <c r="A1506" i="1"/>
  <c r="F1506" i="1"/>
  <c r="G1506" i="1"/>
  <c r="I1506" i="1"/>
  <c r="A1507" i="1"/>
  <c r="F1507" i="1"/>
  <c r="G1507" i="1"/>
  <c r="I1507" i="1"/>
  <c r="A1508" i="1"/>
  <c r="F1508" i="1"/>
  <c r="G1508" i="1"/>
  <c r="I1508" i="1"/>
  <c r="A1509" i="1"/>
  <c r="F1509" i="1"/>
  <c r="G1509" i="1"/>
  <c r="I1509" i="1"/>
  <c r="A1510" i="1"/>
  <c r="F1510" i="1"/>
  <c r="G1510" i="1"/>
  <c r="I1510" i="1"/>
  <c r="A1511" i="1"/>
  <c r="F1511" i="1"/>
  <c r="G1511" i="1"/>
  <c r="I1511" i="1"/>
  <c r="A1512" i="1"/>
  <c r="F1512" i="1"/>
  <c r="G1512" i="1"/>
  <c r="I1512" i="1"/>
  <c r="A1513" i="1"/>
  <c r="F1513" i="1"/>
  <c r="G1513" i="1"/>
  <c r="I1513" i="1"/>
  <c r="A1514" i="1"/>
  <c r="F1514" i="1"/>
  <c r="G1514" i="1"/>
  <c r="I1514" i="1"/>
  <c r="A1515" i="1"/>
  <c r="F1515" i="1"/>
  <c r="G1515" i="1"/>
  <c r="I1515" i="1"/>
  <c r="A1516" i="1"/>
  <c r="F1516" i="1"/>
  <c r="G1516" i="1"/>
  <c r="I1516" i="1"/>
  <c r="A1517" i="1"/>
  <c r="F1517" i="1"/>
  <c r="G1517" i="1"/>
  <c r="I1517" i="1"/>
  <c r="A1518" i="1"/>
  <c r="F1518" i="1"/>
  <c r="G1518" i="1"/>
  <c r="A1519" i="1"/>
  <c r="F1519" i="1"/>
  <c r="G1519" i="1"/>
  <c r="A1520" i="1"/>
  <c r="F1520" i="1"/>
  <c r="G1520" i="1"/>
  <c r="I1520" i="1"/>
  <c r="A1521" i="1"/>
  <c r="F1521" i="1"/>
  <c r="G1521" i="1"/>
  <c r="I1521" i="1"/>
  <c r="A1522" i="1"/>
  <c r="F1522" i="1"/>
  <c r="G1522" i="1"/>
  <c r="I1522" i="1"/>
  <c r="A1523" i="1"/>
  <c r="I1523" i="1"/>
  <c r="A1524" i="1"/>
  <c r="F1524" i="1"/>
  <c r="G1524" i="1"/>
  <c r="I1524" i="1"/>
  <c r="A1525" i="1"/>
  <c r="F1525" i="1"/>
  <c r="G1525" i="1"/>
  <c r="I1525" i="1"/>
  <c r="A1526" i="1"/>
  <c r="F1526" i="1"/>
  <c r="G1526" i="1"/>
  <c r="I1526" i="1"/>
  <c r="A1527" i="1"/>
  <c r="F1527" i="1"/>
  <c r="G1527" i="1"/>
  <c r="I1527" i="1"/>
  <c r="A1528" i="1"/>
  <c r="F1528" i="1"/>
  <c r="G1528" i="1"/>
  <c r="I1528" i="1"/>
  <c r="A1529" i="1"/>
  <c r="F1529" i="1"/>
  <c r="G1529" i="1"/>
  <c r="I1529" i="1"/>
  <c r="A1530" i="1"/>
  <c r="F1530" i="1"/>
  <c r="G1530" i="1"/>
  <c r="I1530" i="1"/>
  <c r="A1531" i="1"/>
  <c r="F1531" i="1"/>
  <c r="G1531" i="1"/>
  <c r="I1531" i="1"/>
  <c r="A1532" i="1"/>
  <c r="F1532" i="1"/>
  <c r="G1532" i="1"/>
  <c r="I1532" i="1"/>
  <c r="A1533" i="1"/>
  <c r="F1533" i="1"/>
  <c r="G1533" i="1"/>
  <c r="I1533" i="1"/>
  <c r="A1534" i="1"/>
  <c r="F1534" i="1"/>
  <c r="G1534" i="1"/>
  <c r="I1534" i="1"/>
  <c r="A1535" i="1"/>
  <c r="F1535" i="1"/>
  <c r="G1535" i="1"/>
  <c r="I1535" i="1"/>
  <c r="A1536" i="1"/>
  <c r="F1536" i="1"/>
  <c r="G1536" i="1"/>
  <c r="I1536" i="1"/>
  <c r="A1537" i="1"/>
  <c r="F1537" i="1"/>
  <c r="G1537" i="1"/>
  <c r="I1537" i="1"/>
  <c r="A1538" i="1"/>
  <c r="F1538" i="1"/>
  <c r="G1538" i="1"/>
  <c r="I1538" i="1"/>
  <c r="A1539" i="1"/>
  <c r="F1539" i="1"/>
  <c r="G1539" i="1"/>
  <c r="I1539" i="1"/>
  <c r="A1540" i="1"/>
  <c r="F1540" i="1"/>
  <c r="G1540" i="1"/>
  <c r="I1540" i="1"/>
  <c r="A1541" i="1"/>
  <c r="F1541" i="1"/>
  <c r="G1541" i="1"/>
  <c r="I1541" i="1"/>
  <c r="A1542" i="1"/>
  <c r="F1542" i="1"/>
  <c r="G1542" i="1"/>
  <c r="I1542" i="1"/>
  <c r="A1543" i="1"/>
  <c r="F1543" i="1"/>
  <c r="G1543" i="1"/>
  <c r="I1543" i="1"/>
  <c r="A1544" i="1"/>
  <c r="F1544" i="1"/>
  <c r="G1544" i="1"/>
  <c r="I1544" i="1"/>
  <c r="A1545" i="1"/>
  <c r="F1545" i="1"/>
  <c r="G1545" i="1"/>
  <c r="I1545" i="1"/>
  <c r="A1546" i="1"/>
  <c r="F1546" i="1"/>
  <c r="G1546" i="1"/>
  <c r="I1546" i="1"/>
  <c r="A1547" i="1"/>
  <c r="F1547" i="1"/>
  <c r="G1547" i="1"/>
  <c r="I1547" i="1"/>
  <c r="A1548" i="1"/>
  <c r="F1548" i="1"/>
  <c r="G1548" i="1"/>
  <c r="I1548" i="1"/>
  <c r="A1549" i="1"/>
  <c r="F1549" i="1"/>
  <c r="G1549" i="1"/>
  <c r="I1549" i="1"/>
  <c r="A1550" i="1"/>
  <c r="F1550" i="1"/>
  <c r="G1550" i="1"/>
  <c r="I1550" i="1"/>
  <c r="A1551" i="1"/>
  <c r="F1551" i="1"/>
  <c r="G1551" i="1"/>
  <c r="I1551" i="1"/>
  <c r="A1552" i="1"/>
  <c r="F1552" i="1"/>
  <c r="G1552" i="1"/>
  <c r="I1552" i="1"/>
  <c r="A1553" i="1"/>
  <c r="F1553" i="1"/>
  <c r="G1553" i="1"/>
  <c r="I1553" i="1"/>
  <c r="A1554" i="1"/>
  <c r="F1554" i="1"/>
  <c r="G1554" i="1"/>
  <c r="I1554" i="1"/>
  <c r="A1555" i="1"/>
  <c r="F1555" i="1"/>
  <c r="G1555" i="1"/>
  <c r="I1555" i="1"/>
  <c r="A1556" i="1"/>
  <c r="F1556" i="1"/>
  <c r="G1556" i="1"/>
  <c r="I1556" i="1"/>
  <c r="A1557" i="1"/>
  <c r="F1557" i="1"/>
  <c r="G1557" i="1"/>
  <c r="I1557" i="1"/>
  <c r="A1558" i="1"/>
  <c r="F1558" i="1"/>
  <c r="G1558" i="1"/>
  <c r="I1558" i="1"/>
  <c r="A1559" i="1"/>
  <c r="F1559" i="1"/>
  <c r="G1559" i="1"/>
  <c r="I1559" i="1"/>
  <c r="A1560" i="1"/>
  <c r="F1560" i="1"/>
  <c r="G1560" i="1"/>
  <c r="I1560" i="1"/>
  <c r="A1561" i="1"/>
  <c r="F1561" i="1"/>
  <c r="G1561" i="1"/>
  <c r="I1561" i="1"/>
  <c r="A1562" i="1"/>
  <c r="F1562" i="1"/>
  <c r="G1562" i="1"/>
  <c r="I1562" i="1"/>
  <c r="A1563" i="1"/>
  <c r="F1563" i="1"/>
  <c r="G1563" i="1"/>
  <c r="I1563" i="1"/>
  <c r="A1564" i="1"/>
  <c r="F1564" i="1"/>
  <c r="G1564" i="1"/>
  <c r="I1564" i="1"/>
  <c r="A1565" i="1"/>
  <c r="F1565" i="1"/>
  <c r="G1565" i="1"/>
  <c r="I1565" i="1"/>
  <c r="A1566" i="1"/>
  <c r="F1566" i="1"/>
  <c r="G1566" i="1"/>
  <c r="I1566" i="1"/>
  <c r="A1567" i="1"/>
  <c r="F1567" i="1"/>
  <c r="G1567" i="1"/>
  <c r="I1567" i="1"/>
  <c r="A1568" i="1"/>
  <c r="F1568" i="1"/>
  <c r="G1568" i="1"/>
  <c r="I1568" i="1"/>
  <c r="A1569" i="1"/>
  <c r="F1569" i="1"/>
  <c r="G1569" i="1"/>
  <c r="I1569" i="1"/>
  <c r="A1570" i="1"/>
  <c r="F1570" i="1"/>
  <c r="G1570" i="1"/>
  <c r="I1570" i="1"/>
  <c r="A1571" i="1"/>
  <c r="F1571" i="1"/>
  <c r="G1571" i="1"/>
  <c r="I1571" i="1"/>
  <c r="A1572" i="1"/>
  <c r="F1572" i="1"/>
  <c r="G1572" i="1"/>
  <c r="I1572" i="1"/>
  <c r="A1573" i="1"/>
  <c r="F1573" i="1"/>
  <c r="G1573" i="1"/>
  <c r="I1573" i="1"/>
  <c r="A1574" i="1"/>
  <c r="F1574" i="1"/>
  <c r="G1574" i="1"/>
  <c r="I1574" i="1"/>
  <c r="A1575" i="1"/>
  <c r="F1575" i="1"/>
  <c r="G1575" i="1"/>
  <c r="I1575" i="1"/>
  <c r="A1576" i="1"/>
  <c r="F1576" i="1"/>
  <c r="G1576" i="1"/>
  <c r="I1576" i="1"/>
  <c r="A1577" i="1"/>
  <c r="F1577" i="1"/>
  <c r="G1577" i="1"/>
  <c r="I1577" i="1"/>
  <c r="A1578" i="1"/>
  <c r="F1578" i="1"/>
  <c r="G1578" i="1"/>
  <c r="I1578" i="1"/>
  <c r="A1579" i="1"/>
  <c r="F1579" i="1"/>
  <c r="G1579" i="1"/>
  <c r="I1579" i="1"/>
  <c r="A1580" i="1"/>
  <c r="F1580" i="1"/>
  <c r="G1580" i="1"/>
  <c r="I1580" i="1"/>
  <c r="A1581" i="1"/>
  <c r="F1581" i="1"/>
  <c r="G1581" i="1"/>
  <c r="I1581" i="1"/>
  <c r="A1582" i="1"/>
  <c r="F1582" i="1"/>
  <c r="G1582" i="1"/>
  <c r="I1582" i="1"/>
  <c r="A1583" i="1"/>
  <c r="F1583" i="1"/>
  <c r="G1583" i="1"/>
  <c r="I1583" i="1"/>
  <c r="A1584" i="1"/>
  <c r="F1584" i="1"/>
  <c r="G1584" i="1"/>
  <c r="I1584" i="1"/>
  <c r="A1585" i="1"/>
  <c r="F1585" i="1"/>
  <c r="G1585" i="1"/>
  <c r="I1585" i="1"/>
  <c r="A1586" i="1"/>
  <c r="F1586" i="1"/>
  <c r="G1586" i="1"/>
  <c r="I1586" i="1"/>
  <c r="A1587" i="1"/>
  <c r="F1587" i="1"/>
  <c r="G1587" i="1"/>
  <c r="I1587" i="1"/>
  <c r="A1588" i="1"/>
  <c r="F1588" i="1"/>
  <c r="G1588" i="1"/>
  <c r="I1588" i="1"/>
  <c r="A1589" i="1"/>
  <c r="F1589" i="1"/>
  <c r="G1589" i="1"/>
  <c r="I1589" i="1"/>
  <c r="A1590" i="1"/>
  <c r="F1590" i="1"/>
  <c r="G1590" i="1"/>
  <c r="I1590" i="1"/>
  <c r="A1591" i="1"/>
  <c r="F1591" i="1"/>
  <c r="G1591" i="1"/>
  <c r="I1591" i="1"/>
  <c r="A1592" i="1"/>
  <c r="F1592" i="1"/>
  <c r="G1592" i="1"/>
  <c r="I1592" i="1"/>
  <c r="A1593" i="1"/>
  <c r="F1593" i="1"/>
  <c r="G1593" i="1"/>
  <c r="I1593" i="1"/>
  <c r="A1594" i="1"/>
  <c r="F1594" i="1"/>
  <c r="G1594" i="1"/>
  <c r="I1594" i="1"/>
  <c r="A1595" i="1"/>
  <c r="F1595" i="1"/>
  <c r="G1595" i="1"/>
  <c r="I1595" i="1"/>
  <c r="A1596" i="1"/>
  <c r="F1596" i="1"/>
  <c r="G1596" i="1"/>
  <c r="I1596" i="1"/>
  <c r="A1597" i="1"/>
  <c r="F1597" i="1"/>
  <c r="G1597" i="1"/>
  <c r="I1597" i="1"/>
  <c r="A1598" i="1"/>
  <c r="F1598" i="1"/>
  <c r="G1598" i="1"/>
  <c r="I1598" i="1"/>
  <c r="A1599" i="1"/>
  <c r="F1599" i="1"/>
  <c r="G1599" i="1"/>
  <c r="I1599" i="1"/>
  <c r="A1600" i="1"/>
  <c r="F1600" i="1"/>
  <c r="G1600" i="1"/>
  <c r="I1600" i="1"/>
  <c r="A1601" i="1"/>
  <c r="F1601" i="1"/>
  <c r="G1601" i="1"/>
  <c r="I1601" i="1"/>
  <c r="A1602" i="1"/>
  <c r="F1602" i="1"/>
  <c r="G1602" i="1"/>
  <c r="I1602" i="1"/>
  <c r="A1603" i="1"/>
  <c r="F1603" i="1"/>
  <c r="G1603" i="1"/>
  <c r="I1603" i="1"/>
  <c r="A1604" i="1"/>
  <c r="F1604" i="1"/>
  <c r="G1604" i="1"/>
  <c r="I1604" i="1"/>
  <c r="A1605" i="1"/>
  <c r="F1605" i="1"/>
  <c r="G1605" i="1"/>
  <c r="I1605" i="1"/>
  <c r="A1606" i="1"/>
  <c r="F1606" i="1"/>
  <c r="G1606" i="1"/>
  <c r="I1606" i="1"/>
  <c r="A1607" i="1"/>
  <c r="F1607" i="1"/>
  <c r="G1607" i="1"/>
  <c r="I1607" i="1"/>
  <c r="A1608" i="1"/>
  <c r="F1608" i="1"/>
  <c r="G1608" i="1"/>
  <c r="I1608" i="1"/>
  <c r="A1609" i="1"/>
  <c r="F1609" i="1"/>
  <c r="G1609" i="1"/>
  <c r="I1609" i="1"/>
  <c r="A1610" i="1"/>
  <c r="F1610" i="1"/>
  <c r="G1610" i="1"/>
  <c r="I1610" i="1"/>
  <c r="A1611" i="1"/>
  <c r="F1611" i="1"/>
  <c r="G1611" i="1"/>
  <c r="I1611" i="1"/>
  <c r="A1612" i="1"/>
  <c r="F1612" i="1"/>
  <c r="G1612" i="1"/>
  <c r="I1612" i="1"/>
  <c r="A1613" i="1"/>
  <c r="I1613" i="1"/>
  <c r="A1614" i="1"/>
  <c r="F1614" i="1"/>
  <c r="G1614" i="1"/>
  <c r="I1614" i="1"/>
  <c r="A1615" i="1"/>
  <c r="F1615" i="1"/>
  <c r="G1615" i="1"/>
  <c r="I1615" i="1"/>
  <c r="A1616" i="1"/>
  <c r="F1616" i="1"/>
  <c r="G1616" i="1"/>
  <c r="I1616" i="1"/>
  <c r="A1617" i="1"/>
  <c r="F1617" i="1"/>
  <c r="G1617" i="1"/>
  <c r="I1617" i="1"/>
  <c r="A1618" i="1"/>
  <c r="F1618" i="1"/>
  <c r="G1618" i="1"/>
  <c r="I1618" i="1"/>
  <c r="A1619" i="1"/>
  <c r="F1619" i="1"/>
  <c r="G1619" i="1"/>
  <c r="I1619" i="1"/>
  <c r="A1620" i="1"/>
  <c r="F1620" i="1"/>
  <c r="G1620" i="1"/>
  <c r="I1620" i="1"/>
  <c r="A1621" i="1"/>
  <c r="F1621" i="1"/>
  <c r="G1621" i="1"/>
  <c r="I1621" i="1"/>
  <c r="A1622" i="1"/>
  <c r="F1622" i="1"/>
  <c r="G1622" i="1"/>
  <c r="I1622" i="1"/>
  <c r="A1623" i="1"/>
  <c r="F1623" i="1"/>
  <c r="G1623" i="1"/>
  <c r="I1623" i="1"/>
  <c r="A1624" i="1"/>
  <c r="F1624" i="1"/>
  <c r="G1624" i="1"/>
  <c r="I1624" i="1"/>
  <c r="A1625" i="1"/>
  <c r="F1625" i="1"/>
  <c r="G1625" i="1"/>
  <c r="I1625" i="1"/>
  <c r="A1626" i="1"/>
  <c r="F1626" i="1"/>
  <c r="G1626" i="1"/>
  <c r="I1626" i="1"/>
  <c r="A1627" i="1"/>
  <c r="F1627" i="1"/>
  <c r="G1627" i="1"/>
  <c r="I1627" i="1"/>
  <c r="A1628" i="1"/>
  <c r="F1628" i="1"/>
  <c r="G1628" i="1"/>
  <c r="I1628" i="1"/>
  <c r="A1629" i="1"/>
  <c r="F1629" i="1"/>
  <c r="G1629" i="1"/>
  <c r="I1629" i="1"/>
  <c r="A1630" i="1"/>
  <c r="F1630" i="1"/>
  <c r="G1630" i="1"/>
  <c r="I1630" i="1"/>
  <c r="A1631" i="1"/>
  <c r="F1631" i="1"/>
  <c r="G1631" i="1"/>
  <c r="I1631" i="1"/>
  <c r="A1632" i="1"/>
  <c r="F1632" i="1"/>
  <c r="G1632" i="1"/>
  <c r="I1632" i="1"/>
  <c r="A1633" i="1"/>
  <c r="F1633" i="1"/>
  <c r="G1633" i="1"/>
  <c r="I1633" i="1"/>
  <c r="A1634" i="1"/>
  <c r="F1634" i="1"/>
  <c r="G1634" i="1"/>
  <c r="I1634" i="1"/>
  <c r="A1635" i="1"/>
  <c r="F1635" i="1"/>
  <c r="G1635" i="1"/>
  <c r="I1635" i="1"/>
  <c r="A1636" i="1"/>
  <c r="F1636" i="1"/>
  <c r="G1636" i="1"/>
  <c r="I1636" i="1"/>
  <c r="A1637" i="1"/>
  <c r="F1637" i="1"/>
  <c r="G1637" i="1"/>
  <c r="I1637" i="1"/>
  <c r="A1638" i="1"/>
  <c r="F1638" i="1"/>
  <c r="G1638" i="1"/>
  <c r="I1638" i="1"/>
  <c r="A1639" i="1"/>
  <c r="F1639" i="1"/>
  <c r="G1639" i="1"/>
  <c r="I1639" i="1"/>
  <c r="A1640" i="1"/>
  <c r="F1640" i="1"/>
  <c r="G1640" i="1"/>
  <c r="I1640" i="1"/>
  <c r="A1641" i="1"/>
  <c r="F1641" i="1"/>
  <c r="G1641" i="1"/>
  <c r="I1641" i="1"/>
  <c r="A1642" i="1"/>
  <c r="F1642" i="1"/>
  <c r="G1642" i="1"/>
  <c r="I1642" i="1"/>
  <c r="A1643" i="1"/>
  <c r="I1643" i="1"/>
  <c r="A1644" i="1"/>
  <c r="F1644" i="1"/>
  <c r="G1644" i="1"/>
  <c r="I1644" i="1"/>
  <c r="A1645" i="1"/>
  <c r="F1645" i="1"/>
  <c r="G1645" i="1"/>
  <c r="I1645" i="1"/>
  <c r="A1646" i="1"/>
  <c r="F1646" i="1"/>
  <c r="G1646" i="1"/>
  <c r="I1646" i="1"/>
  <c r="A1647" i="1"/>
  <c r="F1647" i="1"/>
  <c r="G1647" i="1"/>
  <c r="I1647" i="1"/>
  <c r="A1648" i="1"/>
  <c r="F1648" i="1"/>
  <c r="G1648" i="1"/>
  <c r="I1648" i="1"/>
  <c r="A1649" i="1"/>
  <c r="F1649" i="1"/>
  <c r="G1649" i="1"/>
  <c r="I1649" i="1"/>
  <c r="A1650" i="1"/>
  <c r="F1650" i="1"/>
  <c r="G1650" i="1"/>
  <c r="I1650" i="1"/>
  <c r="A1651" i="1"/>
  <c r="F1651" i="1"/>
  <c r="G1651" i="1"/>
  <c r="I1651" i="1"/>
  <c r="A1652" i="1"/>
  <c r="F1652" i="1"/>
  <c r="G1652" i="1"/>
  <c r="I1652" i="1"/>
  <c r="A1653" i="1"/>
  <c r="F1653" i="1"/>
  <c r="G1653" i="1"/>
  <c r="I1653" i="1"/>
  <c r="A1654" i="1"/>
  <c r="F1654" i="1"/>
  <c r="G1654" i="1"/>
  <c r="I1654" i="1"/>
  <c r="A1655" i="1"/>
  <c r="F1655" i="1"/>
  <c r="G1655" i="1"/>
  <c r="I1655" i="1"/>
  <c r="A1656" i="1"/>
  <c r="F1656" i="1"/>
  <c r="G1656" i="1"/>
  <c r="I1656" i="1"/>
  <c r="A1657" i="1"/>
  <c r="F1657" i="1"/>
  <c r="G1657" i="1"/>
  <c r="I1657" i="1"/>
  <c r="A1658" i="1"/>
  <c r="F1658" i="1"/>
  <c r="G1658" i="1"/>
  <c r="I1658" i="1"/>
  <c r="A1659" i="1"/>
  <c r="F1659" i="1"/>
  <c r="G1659" i="1"/>
  <c r="I1659" i="1"/>
  <c r="A1660" i="1"/>
  <c r="F1660" i="1"/>
  <c r="G1660" i="1"/>
  <c r="I1660" i="1"/>
  <c r="A1661" i="1"/>
  <c r="F1661" i="1"/>
  <c r="G1661" i="1"/>
  <c r="I1661" i="1"/>
  <c r="A1662" i="1"/>
  <c r="F1662" i="1"/>
  <c r="G1662" i="1"/>
  <c r="I1662" i="1"/>
  <c r="A1663" i="1"/>
  <c r="F1663" i="1"/>
  <c r="G1663" i="1"/>
  <c r="I1663" i="1"/>
  <c r="A1664" i="1"/>
  <c r="F1664" i="1"/>
  <c r="G1664" i="1"/>
  <c r="I1664" i="1"/>
  <c r="A1665" i="1"/>
  <c r="F1665" i="1"/>
  <c r="G1665" i="1"/>
  <c r="I1665" i="1"/>
  <c r="A1666" i="1"/>
  <c r="F1666" i="1"/>
  <c r="G1666" i="1"/>
  <c r="I1666" i="1"/>
  <c r="A1667" i="1"/>
  <c r="F1667" i="1"/>
  <c r="G1667" i="1"/>
  <c r="I1667" i="1"/>
  <c r="A1668" i="1"/>
  <c r="F1668" i="1"/>
  <c r="G1668" i="1"/>
  <c r="I1668" i="1"/>
  <c r="A1669" i="1"/>
  <c r="F1669" i="1"/>
  <c r="G1669" i="1"/>
  <c r="I1669" i="1"/>
  <c r="A1670" i="1"/>
  <c r="F1670" i="1"/>
  <c r="G1670" i="1"/>
  <c r="I1670" i="1"/>
  <c r="A1671" i="1"/>
  <c r="F1671" i="1"/>
  <c r="G1671" i="1"/>
  <c r="I1671" i="1"/>
  <c r="A1672" i="1"/>
  <c r="F1672" i="1"/>
  <c r="G1672" i="1"/>
  <c r="I1672" i="1"/>
  <c r="A1673" i="1"/>
  <c r="F1673" i="1"/>
  <c r="G1673" i="1"/>
  <c r="I1673" i="1"/>
  <c r="A1674" i="1"/>
  <c r="F1674" i="1"/>
  <c r="G1674" i="1"/>
  <c r="I1674" i="1"/>
  <c r="A1675" i="1"/>
  <c r="F1675" i="1"/>
  <c r="G1675" i="1"/>
  <c r="I1675" i="1"/>
  <c r="A1676" i="1"/>
  <c r="F1676" i="1"/>
  <c r="G1676" i="1"/>
  <c r="I1676" i="1"/>
  <c r="A1677" i="1"/>
  <c r="F1677" i="1"/>
  <c r="G1677" i="1"/>
  <c r="I1677" i="1"/>
  <c r="A1678" i="1"/>
  <c r="F1678" i="1"/>
  <c r="G1678" i="1"/>
  <c r="I1678" i="1"/>
  <c r="A1679" i="1"/>
  <c r="F1679" i="1"/>
  <c r="G1679" i="1"/>
  <c r="I1679" i="1"/>
  <c r="A1680" i="1"/>
  <c r="F1680" i="1"/>
  <c r="G1680" i="1"/>
  <c r="I1680" i="1"/>
  <c r="A1681" i="1"/>
  <c r="F1681" i="1"/>
  <c r="G1681" i="1"/>
  <c r="I1681" i="1"/>
  <c r="A1682" i="1"/>
  <c r="F1682" i="1"/>
  <c r="G1682" i="1"/>
  <c r="I1682" i="1"/>
  <c r="A1683" i="1"/>
  <c r="F1683" i="1"/>
  <c r="G1683" i="1"/>
  <c r="I1683" i="1"/>
  <c r="A1684" i="1"/>
  <c r="F1684" i="1"/>
  <c r="G1684" i="1"/>
  <c r="I1684" i="1"/>
  <c r="A1685" i="1"/>
  <c r="F1685" i="1"/>
  <c r="G1685" i="1"/>
  <c r="I1685" i="1"/>
  <c r="A1686" i="1"/>
  <c r="F1686" i="1"/>
  <c r="G1686" i="1"/>
  <c r="I1686" i="1"/>
  <c r="A1687" i="1"/>
  <c r="F1687" i="1"/>
  <c r="G1687" i="1"/>
  <c r="I1687" i="1"/>
  <c r="A1688" i="1"/>
  <c r="F1688" i="1"/>
  <c r="G1688" i="1"/>
  <c r="I1688" i="1"/>
  <c r="A1689" i="1"/>
  <c r="F1689" i="1"/>
  <c r="G1689" i="1"/>
  <c r="I1689" i="1"/>
  <c r="A1690" i="1"/>
  <c r="F1690" i="1"/>
  <c r="G1690" i="1"/>
  <c r="I1690" i="1"/>
  <c r="A1691" i="1"/>
  <c r="F1691" i="1"/>
  <c r="G1691" i="1"/>
  <c r="I1691" i="1"/>
  <c r="A1692" i="1"/>
  <c r="F1692" i="1"/>
  <c r="G1692" i="1"/>
  <c r="I1692" i="1"/>
  <c r="A1693" i="1"/>
  <c r="F1693" i="1"/>
  <c r="G1693" i="1"/>
  <c r="I1693" i="1"/>
  <c r="A1694" i="1"/>
  <c r="F1694" i="1"/>
  <c r="G1694" i="1"/>
  <c r="I1694" i="1"/>
  <c r="A1695" i="1"/>
  <c r="F1695" i="1"/>
  <c r="G1695" i="1"/>
  <c r="I1695" i="1"/>
  <c r="A1696" i="1"/>
  <c r="F1696" i="1"/>
  <c r="G1696" i="1"/>
  <c r="I1696" i="1"/>
  <c r="A1697" i="1"/>
  <c r="F1697" i="1"/>
  <c r="G1697" i="1"/>
  <c r="I1697" i="1"/>
  <c r="A1698" i="1"/>
  <c r="F1698" i="1"/>
  <c r="G1698" i="1"/>
  <c r="I1698" i="1"/>
  <c r="A1699" i="1"/>
  <c r="F1699" i="1"/>
  <c r="G1699" i="1"/>
  <c r="I1699" i="1"/>
  <c r="A1700" i="1"/>
  <c r="F1700" i="1"/>
  <c r="G1700" i="1"/>
  <c r="I1700" i="1"/>
  <c r="A1701" i="1"/>
  <c r="F1701" i="1"/>
  <c r="G1701" i="1"/>
  <c r="I1701" i="1"/>
  <c r="A1702" i="1"/>
  <c r="F1702" i="1"/>
  <c r="G1702" i="1"/>
  <c r="I1702" i="1"/>
  <c r="A1703" i="1"/>
  <c r="F1703" i="1"/>
  <c r="G1703" i="1"/>
  <c r="I1703" i="1"/>
  <c r="A1704" i="1"/>
  <c r="F1704" i="1"/>
  <c r="G1704" i="1"/>
  <c r="I1704" i="1"/>
  <c r="A1705" i="1"/>
  <c r="F1705" i="1"/>
  <c r="G1705" i="1"/>
  <c r="I1705" i="1"/>
  <c r="A1706" i="1"/>
  <c r="F1706" i="1"/>
  <c r="G1706" i="1"/>
  <c r="I1706" i="1"/>
  <c r="A1707" i="1"/>
  <c r="F1707" i="1"/>
  <c r="G1707" i="1"/>
  <c r="I1707" i="1"/>
  <c r="A1708" i="1"/>
  <c r="F1708" i="1"/>
  <c r="G1708" i="1"/>
  <c r="I1708" i="1"/>
  <c r="A1709" i="1"/>
  <c r="F1709" i="1"/>
  <c r="G1709" i="1"/>
  <c r="I1709" i="1"/>
  <c r="A1710" i="1"/>
  <c r="I1710" i="1"/>
  <c r="A1711" i="1"/>
  <c r="I1711" i="1"/>
  <c r="A1712" i="1"/>
  <c r="F1712" i="1"/>
  <c r="G1712" i="1"/>
  <c r="I1712" i="1"/>
  <c r="A1713" i="1"/>
  <c r="F1713" i="1"/>
  <c r="G1713" i="1"/>
  <c r="I1713" i="1"/>
  <c r="A1714" i="1"/>
  <c r="F1714" i="1"/>
  <c r="G1714" i="1"/>
  <c r="I1714" i="1"/>
  <c r="A1715" i="1"/>
  <c r="F1715" i="1"/>
  <c r="G1715" i="1"/>
  <c r="I1715" i="1"/>
  <c r="A1716" i="1"/>
  <c r="F1716" i="1"/>
  <c r="G1716" i="1"/>
  <c r="I1716" i="1"/>
  <c r="A1717" i="1"/>
  <c r="F1717" i="1"/>
  <c r="G1717" i="1"/>
  <c r="I1717" i="1"/>
  <c r="A1718" i="1"/>
  <c r="F1718" i="1"/>
  <c r="G1718" i="1"/>
  <c r="I1718" i="1"/>
  <c r="A1719" i="1"/>
  <c r="F1719" i="1"/>
  <c r="G1719" i="1"/>
  <c r="I1719" i="1"/>
  <c r="A1720" i="1"/>
  <c r="F1720" i="1"/>
  <c r="G1720" i="1"/>
  <c r="I1720" i="1"/>
  <c r="A1721" i="1"/>
  <c r="F1721" i="1"/>
  <c r="G1721" i="1"/>
  <c r="I1721" i="1"/>
  <c r="A1722" i="1"/>
  <c r="F1722" i="1"/>
  <c r="G1722" i="1"/>
  <c r="I1722" i="1"/>
  <c r="A1723" i="1"/>
  <c r="F1723" i="1"/>
  <c r="G1723" i="1"/>
  <c r="I1723" i="1"/>
  <c r="A1724" i="1"/>
  <c r="F1724" i="1"/>
  <c r="G1724" i="1"/>
  <c r="I1724" i="1"/>
  <c r="A1725" i="1"/>
  <c r="F1725" i="1"/>
  <c r="G1725" i="1"/>
  <c r="I1725" i="1"/>
  <c r="A1726" i="1"/>
  <c r="F1726" i="1"/>
  <c r="G1726" i="1"/>
  <c r="I1726" i="1"/>
  <c r="A1727" i="1"/>
  <c r="F1727" i="1"/>
  <c r="G1727" i="1"/>
  <c r="I1727" i="1"/>
  <c r="A1728" i="1"/>
  <c r="F1728" i="1"/>
  <c r="G1728" i="1"/>
  <c r="I1728" i="1"/>
  <c r="A1729" i="1"/>
  <c r="F1729" i="1"/>
  <c r="G1729" i="1"/>
  <c r="I1729" i="1"/>
  <c r="A1730" i="1"/>
  <c r="F1730" i="1"/>
  <c r="G1730" i="1"/>
  <c r="I1730" i="1"/>
  <c r="A1731" i="1"/>
  <c r="F1731" i="1"/>
  <c r="G1731" i="1"/>
  <c r="I1731" i="1"/>
  <c r="A1732" i="1"/>
  <c r="F1732" i="1"/>
  <c r="G1732" i="1"/>
  <c r="I1732" i="1"/>
  <c r="A1733" i="1"/>
  <c r="F1733" i="1"/>
  <c r="G1733" i="1"/>
  <c r="I1733" i="1"/>
  <c r="A1734" i="1"/>
  <c r="F1734" i="1"/>
  <c r="G1734" i="1"/>
  <c r="I1734" i="1"/>
  <c r="A1735" i="1"/>
  <c r="F1735" i="1"/>
  <c r="G1735" i="1"/>
  <c r="I1735" i="1"/>
  <c r="A1736" i="1"/>
  <c r="F1736" i="1"/>
  <c r="G1736" i="1"/>
  <c r="I1736" i="1"/>
  <c r="A1737" i="1"/>
  <c r="F1737" i="1"/>
  <c r="G1737" i="1"/>
  <c r="I1737" i="1"/>
  <c r="A1738" i="1"/>
  <c r="F1738" i="1"/>
  <c r="G1738" i="1"/>
  <c r="I1738" i="1"/>
  <c r="A1739" i="1"/>
  <c r="F1739" i="1"/>
  <c r="G1739" i="1"/>
  <c r="I1739" i="1"/>
  <c r="A1740" i="1"/>
  <c r="F1740" i="1"/>
  <c r="G1740" i="1"/>
  <c r="I1740" i="1"/>
  <c r="A1741" i="1"/>
  <c r="F1741" i="1"/>
  <c r="G1741" i="1"/>
  <c r="I1741" i="1"/>
  <c r="A1742" i="1"/>
  <c r="F1742" i="1"/>
  <c r="G1742" i="1"/>
  <c r="I1742" i="1"/>
  <c r="A1743" i="1"/>
  <c r="F1743" i="1"/>
  <c r="G1743" i="1"/>
  <c r="I1743" i="1"/>
  <c r="A1744" i="1"/>
  <c r="F1744" i="1"/>
  <c r="G1744" i="1"/>
  <c r="I1744" i="1"/>
  <c r="A1745" i="1"/>
  <c r="F1745" i="1"/>
  <c r="G1745" i="1"/>
  <c r="I1745" i="1"/>
  <c r="A1746" i="1"/>
  <c r="F1746" i="1"/>
  <c r="G1746" i="1"/>
  <c r="I1746" i="1"/>
  <c r="A1747" i="1"/>
  <c r="F1747" i="1"/>
  <c r="G1747" i="1"/>
  <c r="I1747" i="1"/>
  <c r="A1748" i="1"/>
  <c r="F1748" i="1"/>
  <c r="G1748" i="1"/>
  <c r="I1748" i="1"/>
  <c r="A1749" i="1"/>
  <c r="F1749" i="1"/>
  <c r="G1749" i="1"/>
  <c r="I1749" i="1"/>
  <c r="A1750" i="1"/>
  <c r="F1750" i="1"/>
  <c r="G1750" i="1"/>
  <c r="I1750" i="1"/>
  <c r="A1751" i="1"/>
  <c r="F1751" i="1"/>
  <c r="G1751" i="1"/>
  <c r="I1751" i="1"/>
  <c r="A1752" i="1"/>
  <c r="F1752" i="1"/>
  <c r="G1752" i="1"/>
  <c r="I1752" i="1"/>
  <c r="A1753" i="1"/>
  <c r="F1753" i="1"/>
  <c r="G1753" i="1"/>
  <c r="I1753" i="1"/>
  <c r="A1754" i="1"/>
  <c r="F1754" i="1"/>
  <c r="G1754" i="1"/>
  <c r="I1754" i="1"/>
  <c r="A1755" i="1"/>
  <c r="F1755" i="1"/>
  <c r="G1755" i="1"/>
  <c r="I1755" i="1"/>
  <c r="A1756" i="1"/>
  <c r="F1756" i="1"/>
  <c r="G1756" i="1"/>
  <c r="I1756" i="1"/>
  <c r="A1757" i="1"/>
  <c r="F1757" i="1"/>
  <c r="G1757" i="1"/>
  <c r="I1757" i="1"/>
  <c r="A1758" i="1"/>
  <c r="F1758" i="1"/>
  <c r="G1758" i="1"/>
  <c r="I1758" i="1"/>
  <c r="A1759" i="1"/>
  <c r="F1759" i="1"/>
  <c r="G1759" i="1"/>
  <c r="I1759" i="1"/>
  <c r="A1760" i="1"/>
  <c r="F1760" i="1"/>
  <c r="G1760" i="1"/>
  <c r="I1760" i="1"/>
  <c r="A1761" i="1"/>
  <c r="F1761" i="1"/>
  <c r="G1761" i="1"/>
  <c r="I1761" i="1"/>
  <c r="A1762" i="1"/>
  <c r="F1762" i="1"/>
  <c r="G1762" i="1"/>
  <c r="I1762" i="1"/>
  <c r="A1763" i="1"/>
  <c r="I1763" i="1"/>
  <c r="A1764" i="1"/>
  <c r="F1764" i="1"/>
  <c r="G1764" i="1"/>
  <c r="I1764" i="1"/>
  <c r="A1765" i="1"/>
  <c r="F1765" i="1"/>
  <c r="G1765" i="1"/>
  <c r="I1765" i="1"/>
  <c r="A1766" i="1"/>
  <c r="F1766" i="1"/>
  <c r="G1766" i="1"/>
  <c r="I1766" i="1"/>
  <c r="A1767" i="1"/>
  <c r="F1767" i="1"/>
  <c r="G1767" i="1"/>
  <c r="I1767" i="1"/>
  <c r="A1768" i="1"/>
  <c r="I1768" i="1"/>
  <c r="A1769" i="1"/>
  <c r="I1769" i="1"/>
  <c r="A1770" i="1"/>
  <c r="F1770" i="1"/>
  <c r="G1770" i="1"/>
  <c r="I1770" i="1"/>
  <c r="A1771" i="1"/>
  <c r="F1771" i="1"/>
  <c r="G1771" i="1"/>
  <c r="I1771" i="1"/>
  <c r="A1772" i="1"/>
  <c r="F1772" i="1"/>
  <c r="G1772" i="1"/>
  <c r="I1772" i="1"/>
  <c r="A1773" i="1"/>
  <c r="F1773" i="1"/>
  <c r="G1773" i="1"/>
  <c r="I1773" i="1"/>
  <c r="A1774" i="1"/>
  <c r="F1774" i="1"/>
  <c r="G1774" i="1"/>
  <c r="I1774" i="1"/>
  <c r="A1775" i="1"/>
  <c r="F1775" i="1"/>
  <c r="G1775" i="1"/>
  <c r="I1775" i="1"/>
  <c r="A1776" i="1"/>
  <c r="F1776" i="1"/>
  <c r="G1776" i="1"/>
  <c r="I1776" i="1"/>
  <c r="A1777" i="1"/>
  <c r="F1777" i="1"/>
  <c r="G1777" i="1"/>
  <c r="I1777" i="1"/>
  <c r="A1778" i="1"/>
  <c r="F1778" i="1"/>
  <c r="G1778" i="1"/>
  <c r="I1778" i="1"/>
  <c r="A1779" i="1"/>
  <c r="F1779" i="1"/>
  <c r="G1779" i="1"/>
  <c r="I1779" i="1"/>
  <c r="A1780" i="1"/>
  <c r="F1780" i="1"/>
  <c r="G1780" i="1"/>
  <c r="I1780" i="1"/>
  <c r="A1781" i="1"/>
  <c r="F1781" i="1"/>
  <c r="G1781" i="1"/>
  <c r="I1781" i="1"/>
  <c r="A1782" i="1"/>
  <c r="F1782" i="1"/>
  <c r="G1782" i="1"/>
  <c r="A1783" i="1"/>
  <c r="F1783" i="1"/>
  <c r="G1783" i="1"/>
  <c r="I1783" i="1"/>
  <c r="A1784" i="1"/>
  <c r="F1784" i="1"/>
  <c r="G1784" i="1"/>
  <c r="I1784" i="1"/>
  <c r="A1785" i="1"/>
  <c r="F1785" i="1"/>
  <c r="G1785" i="1"/>
  <c r="I1785" i="1"/>
  <c r="A1786" i="1"/>
  <c r="F1786" i="1"/>
  <c r="G1786" i="1"/>
  <c r="I1786" i="1"/>
  <c r="A1787" i="1"/>
  <c r="F1787" i="1"/>
  <c r="G1787" i="1"/>
  <c r="I1787" i="1"/>
  <c r="A1788" i="1"/>
  <c r="F1788" i="1"/>
  <c r="G1788" i="1"/>
  <c r="I1788" i="1"/>
  <c r="A1789" i="1"/>
  <c r="F1789" i="1"/>
  <c r="G1789" i="1"/>
  <c r="I1789" i="1"/>
  <c r="A1790" i="1"/>
  <c r="F1790" i="1"/>
  <c r="G1790" i="1"/>
  <c r="I1790" i="1"/>
  <c r="A1791" i="1"/>
  <c r="F1791" i="1"/>
  <c r="G1791" i="1"/>
  <c r="I1791" i="1"/>
  <c r="A1792" i="1"/>
  <c r="F1792" i="1"/>
  <c r="G1792" i="1"/>
  <c r="I1792" i="1"/>
  <c r="A1793" i="1"/>
  <c r="F1793" i="1"/>
  <c r="G1793" i="1"/>
  <c r="I1793" i="1"/>
  <c r="A1794" i="1"/>
  <c r="F1794" i="1"/>
  <c r="G1794" i="1"/>
  <c r="I1794" i="1"/>
  <c r="A1795" i="1"/>
  <c r="F1795" i="1"/>
  <c r="G1795" i="1"/>
  <c r="I1795" i="1"/>
  <c r="A1796" i="1"/>
  <c r="F1796" i="1"/>
  <c r="G1796" i="1"/>
  <c r="I1796" i="1"/>
  <c r="A1797" i="1"/>
  <c r="F1797" i="1"/>
  <c r="G1797" i="1"/>
  <c r="I1797" i="1"/>
  <c r="A1798" i="1"/>
  <c r="F1798" i="1"/>
  <c r="G1798" i="1"/>
  <c r="I1798" i="1"/>
  <c r="A1799" i="1"/>
  <c r="F1799" i="1"/>
  <c r="G1799" i="1"/>
  <c r="I1799" i="1"/>
  <c r="A1800" i="1"/>
  <c r="F1800" i="1"/>
  <c r="G1800" i="1"/>
  <c r="I1800" i="1"/>
  <c r="A1801" i="1"/>
  <c r="F1801" i="1"/>
  <c r="G1801" i="1"/>
  <c r="I1801" i="1"/>
  <c r="A1802" i="1"/>
  <c r="F1802" i="1"/>
  <c r="G1802" i="1"/>
  <c r="I1802" i="1"/>
  <c r="A1803" i="1"/>
  <c r="F1803" i="1"/>
  <c r="G1803" i="1"/>
  <c r="I1803" i="1"/>
  <c r="A1804" i="1"/>
  <c r="F1804" i="1"/>
  <c r="G1804" i="1"/>
  <c r="I1804" i="1"/>
  <c r="A1805" i="1"/>
  <c r="F1805" i="1"/>
  <c r="G1805" i="1"/>
  <c r="I1805" i="1"/>
  <c r="A1806" i="1"/>
  <c r="F1806" i="1"/>
  <c r="G1806" i="1"/>
  <c r="I1806" i="1"/>
  <c r="A1807" i="1"/>
  <c r="F1807" i="1"/>
  <c r="G1807" i="1"/>
  <c r="I1807" i="1"/>
  <c r="A1808" i="1"/>
  <c r="F1808" i="1"/>
  <c r="G1808" i="1"/>
  <c r="I1808" i="1"/>
  <c r="A1809" i="1"/>
  <c r="F1809" i="1"/>
  <c r="G1809" i="1"/>
  <c r="I1809" i="1"/>
  <c r="A1810" i="1"/>
  <c r="F1810" i="1"/>
  <c r="G1810" i="1"/>
  <c r="I1810" i="1"/>
  <c r="A1811" i="1"/>
  <c r="F1811" i="1"/>
  <c r="G1811" i="1"/>
  <c r="I1811" i="1"/>
  <c r="A1812" i="1"/>
  <c r="F1812" i="1"/>
  <c r="G1812" i="1"/>
  <c r="I1812" i="1"/>
  <c r="A1813" i="1"/>
  <c r="F1813" i="1"/>
  <c r="G1813" i="1"/>
  <c r="I1813" i="1"/>
  <c r="A1814" i="1"/>
  <c r="F1814" i="1"/>
  <c r="G1814" i="1"/>
  <c r="I1814" i="1"/>
  <c r="A1815" i="1"/>
  <c r="F1815" i="1"/>
  <c r="G1815" i="1"/>
  <c r="I1815" i="1"/>
  <c r="A1816" i="1"/>
  <c r="F1816" i="1"/>
  <c r="G1816" i="1"/>
  <c r="I1816" i="1"/>
  <c r="A1817" i="1"/>
  <c r="F1817" i="1"/>
  <c r="G1817" i="1"/>
  <c r="I1817" i="1"/>
  <c r="A1818" i="1"/>
  <c r="F1818" i="1"/>
  <c r="G1818" i="1"/>
  <c r="I1818" i="1"/>
  <c r="A1819" i="1"/>
  <c r="F1819" i="1"/>
  <c r="G1819" i="1"/>
  <c r="I1819" i="1"/>
  <c r="A1820" i="1"/>
  <c r="F1820" i="1"/>
  <c r="G1820" i="1"/>
  <c r="I1820" i="1"/>
  <c r="A1821" i="1"/>
  <c r="F1821" i="1"/>
  <c r="G1821" i="1"/>
  <c r="I1821" i="1"/>
  <c r="A1822" i="1"/>
  <c r="F1822" i="1"/>
  <c r="G1822" i="1"/>
  <c r="I1822" i="1"/>
  <c r="A1823" i="1"/>
  <c r="F1823" i="1"/>
  <c r="G1823" i="1"/>
  <c r="I1823" i="1"/>
  <c r="A1824" i="1"/>
  <c r="F1824" i="1"/>
  <c r="G1824" i="1"/>
  <c r="I1824" i="1"/>
  <c r="A1825" i="1"/>
  <c r="F1825" i="1"/>
  <c r="G1825" i="1"/>
  <c r="I1825" i="1"/>
  <c r="A1826" i="1"/>
  <c r="F1826" i="1"/>
  <c r="G1826" i="1"/>
  <c r="I1826" i="1"/>
  <c r="A1827" i="1"/>
  <c r="F1827" i="1"/>
  <c r="G1827" i="1"/>
  <c r="I1827" i="1"/>
  <c r="A1828" i="1"/>
  <c r="F1828" i="1"/>
  <c r="G1828" i="1"/>
  <c r="I1828" i="1"/>
  <c r="A1829" i="1"/>
  <c r="F1829" i="1"/>
  <c r="G1829" i="1"/>
  <c r="I1829" i="1"/>
  <c r="A1830" i="1"/>
  <c r="F1830" i="1"/>
  <c r="G1830" i="1"/>
  <c r="I1830" i="1"/>
  <c r="A1831" i="1"/>
  <c r="F1831" i="1"/>
  <c r="G1831" i="1"/>
  <c r="I1831" i="1"/>
  <c r="A1832" i="1"/>
  <c r="F1832" i="1"/>
  <c r="G1832" i="1"/>
  <c r="I1832" i="1"/>
  <c r="A1833" i="1"/>
  <c r="F1833" i="1"/>
  <c r="G1833" i="1"/>
  <c r="I1833" i="1"/>
  <c r="A1834" i="1"/>
  <c r="F1834" i="1"/>
  <c r="G1834" i="1"/>
  <c r="I1834" i="1"/>
  <c r="A1835" i="1"/>
  <c r="F1835" i="1"/>
  <c r="G1835" i="1"/>
  <c r="I1835" i="1"/>
  <c r="A1836" i="1"/>
  <c r="F1836" i="1"/>
  <c r="G1836" i="1"/>
  <c r="I1836" i="1"/>
  <c r="A1837" i="1"/>
  <c r="F1837" i="1"/>
  <c r="G1837" i="1"/>
  <c r="I1837" i="1"/>
  <c r="A1838" i="1"/>
  <c r="F1838" i="1"/>
  <c r="G1838" i="1"/>
  <c r="I1838" i="1"/>
  <c r="A1839" i="1"/>
  <c r="F1839" i="1"/>
  <c r="G1839" i="1"/>
  <c r="I1839" i="1"/>
  <c r="A1840" i="1"/>
  <c r="F1840" i="1"/>
  <c r="G1840" i="1"/>
  <c r="I1840" i="1"/>
  <c r="A1841" i="1"/>
  <c r="F1841" i="1"/>
  <c r="G1841" i="1"/>
  <c r="I1841" i="1"/>
  <c r="A1842" i="1"/>
  <c r="F1842" i="1"/>
  <c r="G1842" i="1"/>
  <c r="I1842" i="1"/>
  <c r="A1843" i="1"/>
  <c r="F1843" i="1"/>
  <c r="G1843" i="1"/>
  <c r="I1843" i="1"/>
  <c r="A1844" i="1"/>
  <c r="F1844" i="1"/>
  <c r="G1844" i="1"/>
  <c r="I1844" i="1"/>
  <c r="A1845" i="1"/>
  <c r="F1845" i="1"/>
  <c r="G1845" i="1"/>
  <c r="I1845" i="1"/>
  <c r="A1846" i="1"/>
  <c r="F1846" i="1"/>
  <c r="G1846" i="1"/>
  <c r="I1846" i="1"/>
  <c r="A1847" i="1"/>
  <c r="F1847" i="1"/>
  <c r="G1847" i="1"/>
  <c r="I1847" i="1"/>
  <c r="A1848" i="1"/>
  <c r="F1848" i="1"/>
  <c r="G1848" i="1"/>
  <c r="I1848" i="1"/>
  <c r="A1849" i="1"/>
  <c r="F1849" i="1"/>
  <c r="G1849" i="1"/>
  <c r="I1849" i="1"/>
  <c r="A1850" i="1"/>
  <c r="F1850" i="1"/>
  <c r="G1850" i="1"/>
  <c r="I1850" i="1"/>
  <c r="A1851" i="1"/>
  <c r="F1851" i="1"/>
  <c r="G1851" i="1"/>
  <c r="I1851" i="1"/>
  <c r="A1852" i="1"/>
  <c r="F1852" i="1"/>
  <c r="G1852" i="1"/>
  <c r="I1852" i="1"/>
  <c r="A1853" i="1"/>
  <c r="F1853" i="1"/>
  <c r="G1853" i="1"/>
  <c r="I1853" i="1"/>
  <c r="A1854" i="1"/>
  <c r="F1854" i="1"/>
  <c r="G1854" i="1"/>
  <c r="I1854" i="1"/>
  <c r="A1855" i="1"/>
  <c r="F1855" i="1"/>
  <c r="G1855" i="1"/>
  <c r="I1855" i="1"/>
  <c r="A1856" i="1"/>
  <c r="F1856" i="1"/>
  <c r="G1856" i="1"/>
  <c r="I1856" i="1"/>
  <c r="A1857" i="1"/>
  <c r="F1857" i="1"/>
  <c r="G1857" i="1"/>
  <c r="I1857" i="1"/>
  <c r="A1858" i="1"/>
  <c r="F1858" i="1"/>
  <c r="G1858" i="1"/>
  <c r="I1858" i="1"/>
  <c r="A1859" i="1"/>
  <c r="F1859" i="1"/>
  <c r="G1859" i="1"/>
  <c r="I1859" i="1"/>
  <c r="A1860" i="1"/>
  <c r="F1860" i="1"/>
  <c r="G1860" i="1"/>
  <c r="I1860" i="1"/>
  <c r="A1861" i="1"/>
  <c r="F1861" i="1"/>
  <c r="G1861" i="1"/>
  <c r="I1861" i="1"/>
  <c r="A1862" i="1"/>
  <c r="F1862" i="1"/>
  <c r="G1862" i="1"/>
  <c r="I1862" i="1"/>
  <c r="A1863" i="1"/>
  <c r="F1863" i="1"/>
  <c r="G1863" i="1"/>
  <c r="I1863" i="1"/>
  <c r="A1864" i="1"/>
  <c r="F1864" i="1"/>
  <c r="G1864" i="1"/>
  <c r="I1864" i="1"/>
  <c r="A1865" i="1"/>
  <c r="F1865" i="1"/>
  <c r="G1865" i="1"/>
  <c r="I1865" i="1"/>
  <c r="A1866" i="1"/>
  <c r="F1866" i="1"/>
  <c r="G1866" i="1"/>
  <c r="I1866" i="1"/>
  <c r="A1867" i="1"/>
  <c r="F1867" i="1"/>
  <c r="G1867" i="1"/>
  <c r="I1867" i="1"/>
  <c r="A1868" i="1"/>
  <c r="F1868" i="1"/>
  <c r="G1868" i="1"/>
  <c r="I1868" i="1"/>
  <c r="A1869" i="1"/>
  <c r="F1869" i="1"/>
  <c r="G1869" i="1"/>
  <c r="I1869" i="1"/>
  <c r="A1870" i="1"/>
  <c r="F1870" i="1"/>
  <c r="G1870" i="1"/>
  <c r="I1870" i="1"/>
  <c r="A1871" i="1"/>
  <c r="F1871" i="1"/>
  <c r="G1871" i="1"/>
  <c r="I1871" i="1"/>
  <c r="A1872" i="1"/>
  <c r="F1872" i="1"/>
  <c r="G1872" i="1"/>
  <c r="I1872" i="1"/>
  <c r="A1873" i="1"/>
  <c r="F1873" i="1"/>
  <c r="G1873" i="1"/>
  <c r="I1873" i="1"/>
  <c r="A1874" i="1"/>
  <c r="F1874" i="1"/>
  <c r="G1874" i="1"/>
  <c r="I1874" i="1"/>
  <c r="A1875" i="1"/>
  <c r="F1875" i="1"/>
  <c r="G1875" i="1"/>
  <c r="I1875" i="1"/>
  <c r="A1876" i="1"/>
  <c r="F1876" i="1"/>
  <c r="G1876" i="1"/>
  <c r="I1876" i="1"/>
  <c r="A1877" i="1"/>
  <c r="F1877" i="1"/>
  <c r="G1877" i="1"/>
  <c r="I1877" i="1"/>
  <c r="A1878" i="1"/>
  <c r="F1878" i="1"/>
  <c r="G1878" i="1"/>
  <c r="I1878" i="1"/>
  <c r="A1879" i="1"/>
  <c r="F1879" i="1"/>
  <c r="G1879" i="1"/>
  <c r="I1879" i="1"/>
  <c r="A1880" i="1"/>
  <c r="F1880" i="1"/>
  <c r="G1880" i="1"/>
  <c r="I1880" i="1"/>
  <c r="A1881" i="1"/>
  <c r="F1881" i="1"/>
  <c r="G1881" i="1"/>
  <c r="I1881" i="1"/>
  <c r="A1882" i="1"/>
  <c r="F1882" i="1"/>
  <c r="G1882" i="1"/>
  <c r="I1882" i="1"/>
  <c r="A1883" i="1"/>
  <c r="F1883" i="1"/>
  <c r="G1883" i="1"/>
  <c r="I1883" i="1"/>
  <c r="A1884" i="1"/>
  <c r="F1884" i="1"/>
  <c r="G1884" i="1"/>
  <c r="I1884" i="1"/>
  <c r="A1885" i="1"/>
  <c r="F1885" i="1"/>
  <c r="G1885" i="1"/>
  <c r="I1885" i="1"/>
  <c r="A1886" i="1"/>
  <c r="F1886" i="1"/>
  <c r="G1886" i="1"/>
  <c r="I1886" i="1"/>
  <c r="A1887" i="1"/>
  <c r="F1887" i="1"/>
  <c r="G1887" i="1"/>
  <c r="I1887" i="1"/>
  <c r="A1888" i="1"/>
  <c r="F1888" i="1"/>
  <c r="G1888" i="1"/>
  <c r="I1888" i="1"/>
  <c r="A1889" i="1"/>
  <c r="F1889" i="1"/>
  <c r="G1889" i="1"/>
  <c r="I1889" i="1"/>
  <c r="A1890" i="1"/>
  <c r="F1890" i="1"/>
  <c r="G1890" i="1"/>
  <c r="I1890" i="1"/>
  <c r="A1891" i="1"/>
  <c r="F1891" i="1"/>
  <c r="G1891" i="1"/>
  <c r="I1891" i="1"/>
  <c r="A1892" i="1"/>
  <c r="F1892" i="1"/>
  <c r="G1892" i="1"/>
  <c r="I1892" i="1"/>
  <c r="A1893" i="1"/>
  <c r="F1893" i="1"/>
  <c r="G1893" i="1"/>
  <c r="I1893" i="1"/>
  <c r="A1894" i="1"/>
  <c r="F1894" i="1"/>
  <c r="G1894" i="1"/>
  <c r="I1894" i="1"/>
  <c r="A1895" i="1"/>
  <c r="F1895" i="1"/>
  <c r="G1895" i="1"/>
  <c r="I1895" i="1"/>
  <c r="A1896" i="1"/>
  <c r="F1896" i="1"/>
  <c r="G1896" i="1"/>
  <c r="I1896" i="1"/>
  <c r="A1897" i="1"/>
  <c r="F1897" i="1"/>
  <c r="G1897" i="1"/>
  <c r="I1897" i="1"/>
  <c r="A1898" i="1"/>
  <c r="F1898" i="1"/>
  <c r="G1898" i="1"/>
  <c r="I1898" i="1"/>
  <c r="A1899" i="1"/>
  <c r="F1899" i="1"/>
  <c r="G1899" i="1"/>
  <c r="I1899" i="1"/>
  <c r="A1900" i="1"/>
  <c r="F1900" i="1"/>
  <c r="G1900" i="1"/>
  <c r="I1900" i="1"/>
  <c r="A1901" i="1"/>
  <c r="F1901" i="1"/>
  <c r="G1901" i="1"/>
  <c r="I1901" i="1"/>
  <c r="A1902" i="1"/>
  <c r="F1902" i="1"/>
  <c r="G1902" i="1"/>
  <c r="I1902" i="1"/>
  <c r="A1903" i="1"/>
  <c r="F1903" i="1"/>
  <c r="G1903" i="1"/>
  <c r="I1903" i="1"/>
  <c r="A1904" i="1"/>
  <c r="F1904" i="1"/>
  <c r="G1904" i="1"/>
  <c r="I1904" i="1"/>
  <c r="A1905" i="1"/>
  <c r="F1905" i="1"/>
  <c r="G1905" i="1"/>
  <c r="I1905" i="1"/>
  <c r="A1906" i="1"/>
  <c r="F1906" i="1"/>
  <c r="G1906" i="1"/>
  <c r="I1906" i="1"/>
  <c r="A1907" i="1"/>
  <c r="F1907" i="1"/>
  <c r="G1907" i="1"/>
  <c r="I1907" i="1"/>
  <c r="A1908" i="1"/>
  <c r="F1908" i="1"/>
  <c r="G1908" i="1"/>
  <c r="I1908" i="1"/>
  <c r="A1909" i="1"/>
  <c r="F1909" i="1"/>
  <c r="G1909" i="1"/>
  <c r="I1909" i="1"/>
  <c r="A1910" i="1"/>
  <c r="F1910" i="1"/>
  <c r="G1910" i="1"/>
  <c r="I1910" i="1"/>
  <c r="A1911" i="1"/>
  <c r="F1911" i="1"/>
  <c r="G1911" i="1"/>
  <c r="I1911" i="1"/>
  <c r="A1912" i="1"/>
  <c r="F1912" i="1"/>
  <c r="G1912" i="1"/>
  <c r="I1912" i="1"/>
  <c r="A1913" i="1"/>
  <c r="F1913" i="1"/>
  <c r="G1913" i="1"/>
  <c r="I1913" i="1"/>
  <c r="A1914" i="1"/>
  <c r="F1914" i="1"/>
  <c r="G1914" i="1"/>
  <c r="I1914" i="1"/>
  <c r="A1915" i="1"/>
  <c r="F1915" i="1"/>
  <c r="G1915" i="1"/>
  <c r="I1915" i="1"/>
  <c r="A1916" i="1"/>
  <c r="F1916" i="1"/>
  <c r="G1916" i="1"/>
  <c r="I1916" i="1"/>
  <c r="A1917" i="1"/>
  <c r="F1917" i="1"/>
  <c r="G1917" i="1"/>
  <c r="I1917" i="1"/>
  <c r="A1918" i="1"/>
  <c r="F1918" i="1"/>
  <c r="G1918" i="1"/>
  <c r="I1918" i="1"/>
  <c r="A1919" i="1"/>
  <c r="F1919" i="1"/>
  <c r="G1919" i="1"/>
  <c r="I1919" i="1"/>
  <c r="A1920" i="1"/>
  <c r="F1920" i="1"/>
  <c r="G1920" i="1"/>
  <c r="I1920" i="1"/>
  <c r="A1921" i="1"/>
  <c r="F1921" i="1"/>
  <c r="G1921" i="1"/>
  <c r="I1921" i="1"/>
  <c r="A1922" i="1"/>
  <c r="F1922" i="1"/>
  <c r="G1922" i="1"/>
  <c r="I1922" i="1"/>
  <c r="A1923" i="1"/>
  <c r="F1923" i="1"/>
  <c r="G1923" i="1"/>
  <c r="I1923" i="1"/>
  <c r="A1924" i="1"/>
  <c r="F1924" i="1"/>
  <c r="G1924" i="1"/>
  <c r="I1924" i="1"/>
  <c r="A1925" i="1"/>
  <c r="F1925" i="1"/>
  <c r="G1925" i="1"/>
  <c r="I1925" i="1"/>
  <c r="A1926" i="1"/>
  <c r="F1926" i="1"/>
  <c r="G1926" i="1"/>
  <c r="I1926" i="1"/>
  <c r="A1927" i="1"/>
  <c r="F1927" i="1"/>
  <c r="G1927" i="1"/>
  <c r="I1927" i="1"/>
  <c r="A1928" i="1"/>
  <c r="F1928" i="1"/>
  <c r="G1928" i="1"/>
  <c r="I1928" i="1"/>
  <c r="A1929" i="1"/>
  <c r="F1929" i="1"/>
  <c r="G1929" i="1"/>
  <c r="I1929" i="1"/>
  <c r="A1930" i="1"/>
  <c r="F1930" i="1"/>
  <c r="G1930" i="1"/>
  <c r="I1930" i="1"/>
  <c r="A1931" i="1"/>
  <c r="F1931" i="1"/>
  <c r="G1931" i="1"/>
  <c r="I1931" i="1"/>
  <c r="A1932" i="1"/>
  <c r="F1932" i="1"/>
  <c r="G1932" i="1"/>
  <c r="I1932" i="1"/>
  <c r="A1933" i="1"/>
  <c r="F1933" i="1"/>
  <c r="G1933" i="1"/>
  <c r="I1933" i="1"/>
  <c r="A1934" i="1"/>
  <c r="F1934" i="1"/>
  <c r="G1934" i="1"/>
  <c r="I1934" i="1"/>
  <c r="A1935" i="1"/>
  <c r="F1935" i="1"/>
  <c r="G1935" i="1"/>
  <c r="I1935" i="1"/>
  <c r="A1936" i="1"/>
  <c r="F1936" i="1"/>
  <c r="G1936" i="1"/>
  <c r="I1936" i="1"/>
  <c r="A1937" i="1"/>
  <c r="F1937" i="1"/>
  <c r="G1937" i="1"/>
  <c r="I1937" i="1"/>
  <c r="A1938" i="1"/>
  <c r="F1938" i="1"/>
  <c r="G1938" i="1"/>
  <c r="I1938" i="1"/>
  <c r="A1939" i="1"/>
  <c r="F1939" i="1"/>
  <c r="G1939" i="1"/>
  <c r="I1939" i="1"/>
  <c r="A1940" i="1"/>
  <c r="F1940" i="1"/>
  <c r="G1940" i="1"/>
  <c r="I1940" i="1"/>
  <c r="A1941" i="1"/>
  <c r="F1941" i="1"/>
  <c r="G1941" i="1"/>
  <c r="I1941" i="1"/>
  <c r="A1942" i="1"/>
  <c r="F1942" i="1"/>
  <c r="G1942" i="1"/>
  <c r="I1942" i="1"/>
  <c r="A1943" i="1"/>
  <c r="F1943" i="1"/>
  <c r="G1943" i="1"/>
  <c r="I1943" i="1"/>
  <c r="A1944" i="1"/>
  <c r="F1944" i="1"/>
  <c r="G1944" i="1"/>
  <c r="I1944" i="1"/>
  <c r="A1945" i="1"/>
  <c r="F1945" i="1"/>
  <c r="G1945" i="1"/>
  <c r="I1945" i="1"/>
  <c r="A1946" i="1"/>
  <c r="F1946" i="1"/>
  <c r="G1946" i="1"/>
  <c r="I1946" i="1"/>
  <c r="A1947" i="1"/>
  <c r="F1947" i="1"/>
  <c r="G1947" i="1"/>
  <c r="I1947" i="1"/>
  <c r="A1948" i="1"/>
  <c r="F1948" i="1"/>
  <c r="G1948" i="1"/>
  <c r="I1948" i="1"/>
  <c r="A1949" i="1"/>
  <c r="F1949" i="1"/>
  <c r="G1949" i="1"/>
  <c r="I1949" i="1"/>
  <c r="A1950" i="1"/>
  <c r="F1950" i="1"/>
  <c r="G1950" i="1"/>
  <c r="I1950" i="1"/>
  <c r="A1951" i="1"/>
  <c r="F1951" i="1"/>
  <c r="G1951" i="1"/>
  <c r="I1951" i="1"/>
  <c r="A1952" i="1"/>
  <c r="F1952" i="1"/>
  <c r="G1952" i="1"/>
  <c r="I1952" i="1"/>
  <c r="A1953" i="1"/>
  <c r="F1953" i="1"/>
  <c r="G1953" i="1"/>
  <c r="I1953" i="1"/>
  <c r="A1954" i="1"/>
  <c r="F1954" i="1"/>
  <c r="G1954" i="1"/>
  <c r="I1954" i="1"/>
  <c r="A1955" i="1"/>
  <c r="F1955" i="1"/>
  <c r="G1955" i="1"/>
  <c r="I1955" i="1"/>
  <c r="A1956" i="1"/>
  <c r="F1956" i="1"/>
  <c r="G1956" i="1"/>
  <c r="I1956" i="1"/>
  <c r="A1957" i="1"/>
  <c r="F1957" i="1"/>
  <c r="G1957" i="1"/>
  <c r="I1957" i="1"/>
  <c r="A1958" i="1"/>
  <c r="F1958" i="1"/>
  <c r="G1958" i="1"/>
  <c r="I1958" i="1"/>
  <c r="A1959" i="1"/>
  <c r="F1959" i="1"/>
  <c r="G1959" i="1"/>
  <c r="I1959" i="1"/>
  <c r="A1960" i="1"/>
  <c r="F1960" i="1"/>
  <c r="G1960" i="1"/>
  <c r="I1960" i="1"/>
  <c r="A1961" i="1"/>
  <c r="F1961" i="1"/>
  <c r="G1961" i="1"/>
  <c r="I1961" i="1"/>
  <c r="A1962" i="1"/>
  <c r="F1962" i="1"/>
  <c r="G1962" i="1"/>
  <c r="I1962" i="1"/>
  <c r="A1963" i="1"/>
  <c r="F1963" i="1"/>
  <c r="G1963" i="1"/>
  <c r="I1963" i="1"/>
  <c r="A1964" i="1"/>
  <c r="F1964" i="1"/>
  <c r="G1964" i="1"/>
  <c r="I1964" i="1"/>
  <c r="A1965" i="1"/>
  <c r="F1965" i="1"/>
  <c r="G1965" i="1"/>
  <c r="I1965" i="1"/>
  <c r="A1966" i="1"/>
  <c r="F1966" i="1"/>
  <c r="G1966" i="1"/>
  <c r="I1966" i="1"/>
  <c r="A1967" i="1"/>
  <c r="F1967" i="1"/>
  <c r="G1967" i="1"/>
  <c r="I1967" i="1"/>
  <c r="A1968" i="1"/>
  <c r="F1968" i="1"/>
  <c r="G1968" i="1"/>
  <c r="I1968" i="1"/>
  <c r="A1969" i="1"/>
  <c r="F1969" i="1"/>
  <c r="G1969" i="1"/>
  <c r="I1969" i="1"/>
  <c r="A1970" i="1"/>
  <c r="F1970" i="1"/>
  <c r="G1970" i="1"/>
  <c r="I1970" i="1"/>
  <c r="A1971" i="1"/>
  <c r="F1971" i="1"/>
  <c r="G1971" i="1"/>
  <c r="I1971" i="1"/>
  <c r="A1972" i="1"/>
  <c r="F1972" i="1"/>
  <c r="G1972" i="1"/>
  <c r="I1972" i="1"/>
  <c r="A1973" i="1"/>
  <c r="F1973" i="1"/>
  <c r="G1973" i="1"/>
  <c r="I1973" i="1"/>
  <c r="A1974" i="1"/>
  <c r="F1974" i="1"/>
  <c r="G1974" i="1"/>
  <c r="I1974" i="1"/>
  <c r="A1975" i="1"/>
  <c r="F1975" i="1"/>
  <c r="G1975" i="1"/>
  <c r="I1975" i="1"/>
  <c r="A1976" i="1"/>
  <c r="F1976" i="1"/>
  <c r="G1976" i="1"/>
  <c r="I1976" i="1"/>
  <c r="A1977" i="1"/>
  <c r="F1977" i="1"/>
  <c r="G1977" i="1"/>
  <c r="I1977" i="1"/>
  <c r="A1978" i="1"/>
  <c r="F1978" i="1"/>
  <c r="G1978" i="1"/>
  <c r="I1978" i="1"/>
  <c r="A1979" i="1"/>
  <c r="F1979" i="1"/>
  <c r="G1979" i="1"/>
  <c r="I1979" i="1"/>
  <c r="A1980" i="1"/>
  <c r="F1980" i="1"/>
  <c r="G1980" i="1"/>
  <c r="I1980" i="1"/>
  <c r="A1981" i="1"/>
  <c r="F1981" i="1"/>
  <c r="G1981" i="1"/>
  <c r="I1981" i="1"/>
  <c r="A1982" i="1"/>
  <c r="F1982" i="1"/>
  <c r="G1982" i="1"/>
  <c r="I1982" i="1"/>
  <c r="A1983" i="1"/>
  <c r="F1983" i="1"/>
  <c r="G1983" i="1"/>
  <c r="I1983" i="1"/>
  <c r="A1984" i="1"/>
  <c r="F1984" i="1"/>
  <c r="G1984" i="1"/>
  <c r="I1984" i="1"/>
  <c r="A1985" i="1"/>
  <c r="F1985" i="1"/>
  <c r="G1985" i="1"/>
  <c r="I1985" i="1"/>
  <c r="A1986" i="1"/>
  <c r="F1986" i="1"/>
  <c r="G1986" i="1"/>
  <c r="I1986" i="1"/>
  <c r="A1987" i="1"/>
  <c r="F1987" i="1"/>
  <c r="G1987" i="1"/>
  <c r="I1987" i="1"/>
  <c r="A1988" i="1"/>
  <c r="F1988" i="1"/>
  <c r="G1988" i="1"/>
  <c r="I1988" i="1"/>
  <c r="A1989" i="1"/>
  <c r="F1989" i="1"/>
  <c r="G1989" i="1"/>
  <c r="I1989" i="1"/>
  <c r="A1990" i="1"/>
  <c r="F1990" i="1"/>
  <c r="G1990" i="1"/>
  <c r="I1990" i="1"/>
  <c r="A1991" i="1"/>
  <c r="F1991" i="1"/>
  <c r="G1991" i="1"/>
  <c r="I1991" i="1"/>
  <c r="A1992" i="1"/>
  <c r="F1992" i="1"/>
  <c r="G1992" i="1"/>
  <c r="I1992" i="1"/>
  <c r="A1993" i="1"/>
  <c r="F1993" i="1"/>
  <c r="G1993" i="1"/>
  <c r="I1993" i="1"/>
  <c r="A1994" i="1"/>
  <c r="F1994" i="1"/>
  <c r="G1994" i="1"/>
  <c r="I1994" i="1"/>
  <c r="A1995" i="1"/>
  <c r="F1995" i="1"/>
  <c r="G1995" i="1"/>
  <c r="I1995" i="1"/>
  <c r="A1996" i="1"/>
  <c r="F1996" i="1"/>
  <c r="G1996" i="1"/>
  <c r="I1996" i="1"/>
  <c r="A1997" i="1"/>
  <c r="F1997" i="1"/>
  <c r="G1997" i="1"/>
  <c r="I1997" i="1"/>
  <c r="A1998" i="1"/>
  <c r="F1998" i="1"/>
  <c r="G1998" i="1"/>
  <c r="I1998" i="1"/>
  <c r="A1999" i="1"/>
  <c r="F1999" i="1"/>
  <c r="G1999" i="1"/>
  <c r="I1999" i="1"/>
  <c r="A2000" i="1"/>
  <c r="F2000" i="1"/>
  <c r="G2000" i="1"/>
  <c r="I2000" i="1"/>
  <c r="A2001" i="1"/>
  <c r="F2001" i="1"/>
  <c r="G2001" i="1"/>
  <c r="I2001" i="1"/>
  <c r="A2002" i="1"/>
  <c r="F2002" i="1"/>
  <c r="G2002" i="1"/>
  <c r="I2002" i="1"/>
  <c r="A2003" i="1"/>
  <c r="F2003" i="1"/>
  <c r="G2003" i="1"/>
  <c r="I2003" i="1"/>
  <c r="A2004" i="1"/>
  <c r="F2004" i="1"/>
  <c r="G2004" i="1"/>
  <c r="I2004" i="1"/>
  <c r="A2005" i="1"/>
  <c r="F2005" i="1"/>
  <c r="G2005" i="1"/>
  <c r="I2005" i="1"/>
  <c r="A2006" i="1"/>
  <c r="F2006" i="1"/>
  <c r="G2006" i="1"/>
  <c r="I2006" i="1"/>
  <c r="A2007" i="1"/>
  <c r="F2007" i="1"/>
  <c r="G2007" i="1"/>
  <c r="I2007" i="1"/>
  <c r="A2008" i="1"/>
  <c r="F2008" i="1"/>
  <c r="G2008" i="1"/>
  <c r="I2008" i="1"/>
  <c r="A2009" i="1"/>
  <c r="F2009" i="1"/>
  <c r="G2009" i="1"/>
  <c r="I2009" i="1"/>
  <c r="A2010" i="1"/>
  <c r="F2010" i="1"/>
  <c r="G2010" i="1"/>
  <c r="I2010" i="1"/>
  <c r="A2011" i="1"/>
  <c r="F2011" i="1"/>
  <c r="G2011" i="1"/>
  <c r="I2011" i="1"/>
  <c r="A2012" i="1"/>
  <c r="F2012" i="1"/>
  <c r="G2012" i="1"/>
  <c r="I2012" i="1"/>
  <c r="A2013" i="1"/>
  <c r="F2013" i="1"/>
  <c r="G2013" i="1"/>
  <c r="I2013" i="1"/>
  <c r="A2014" i="1"/>
  <c r="F2014" i="1"/>
  <c r="G2014" i="1"/>
  <c r="I2014" i="1"/>
  <c r="A2015" i="1"/>
  <c r="F2015" i="1"/>
  <c r="G2015" i="1"/>
  <c r="I2015" i="1"/>
  <c r="A2016" i="1"/>
  <c r="F2016" i="1"/>
  <c r="G2016" i="1"/>
  <c r="I2016" i="1"/>
  <c r="A2017" i="1"/>
  <c r="F2017" i="1"/>
  <c r="G2017" i="1"/>
  <c r="I2017" i="1"/>
  <c r="A2018" i="1"/>
  <c r="F2018" i="1"/>
  <c r="G2018" i="1"/>
  <c r="I2018" i="1"/>
  <c r="A2019" i="1"/>
  <c r="F2019" i="1"/>
  <c r="G2019" i="1"/>
  <c r="I2019" i="1"/>
  <c r="A2020" i="1"/>
  <c r="F2020" i="1"/>
  <c r="G2020" i="1"/>
  <c r="I2020" i="1"/>
  <c r="A2021" i="1"/>
  <c r="F2021" i="1"/>
  <c r="G2021" i="1"/>
  <c r="I2021" i="1"/>
  <c r="A2022" i="1"/>
  <c r="F2022" i="1"/>
  <c r="G2022" i="1"/>
  <c r="I2022" i="1"/>
  <c r="A2023" i="1"/>
  <c r="F2023" i="1"/>
  <c r="G2023" i="1"/>
  <c r="I2023" i="1"/>
  <c r="A2024" i="1"/>
  <c r="F2024" i="1"/>
  <c r="G2024" i="1"/>
  <c r="I2024" i="1"/>
  <c r="A2025" i="1"/>
  <c r="F2025" i="1"/>
  <c r="G2025" i="1"/>
  <c r="I2025" i="1"/>
  <c r="A2026" i="1"/>
  <c r="F2026" i="1"/>
  <c r="G2026" i="1"/>
  <c r="I2026" i="1"/>
  <c r="A2027" i="1"/>
  <c r="F2027" i="1"/>
  <c r="G2027" i="1"/>
  <c r="I2027" i="1"/>
  <c r="A2028" i="1"/>
  <c r="F2028" i="1"/>
  <c r="G2028" i="1"/>
  <c r="I2028" i="1"/>
  <c r="A2029" i="1"/>
  <c r="F2029" i="1"/>
  <c r="G2029" i="1"/>
  <c r="I2029" i="1"/>
  <c r="A2030" i="1"/>
  <c r="F2030" i="1"/>
  <c r="G2030" i="1"/>
  <c r="I2030" i="1"/>
  <c r="A2031" i="1"/>
  <c r="F2031" i="1"/>
  <c r="G2031" i="1"/>
  <c r="I2031" i="1"/>
  <c r="A2032" i="1"/>
  <c r="F2032" i="1"/>
  <c r="G2032" i="1"/>
  <c r="I2032" i="1"/>
  <c r="A2033" i="1"/>
  <c r="F2033" i="1"/>
  <c r="G2033" i="1"/>
  <c r="I2033" i="1"/>
  <c r="A2034" i="1"/>
  <c r="F2034" i="1"/>
  <c r="G2034" i="1"/>
  <c r="I2034" i="1"/>
  <c r="A2035" i="1"/>
  <c r="F2035" i="1"/>
  <c r="G2035" i="1"/>
  <c r="I2035" i="1"/>
  <c r="A2036" i="1"/>
  <c r="F2036" i="1"/>
  <c r="G2036" i="1"/>
  <c r="I2036" i="1"/>
  <c r="A2037" i="1"/>
  <c r="F2037" i="1"/>
  <c r="G2037" i="1"/>
  <c r="I2037" i="1"/>
  <c r="A2038" i="1"/>
  <c r="F2038" i="1"/>
  <c r="G2038" i="1"/>
  <c r="I2038" i="1"/>
  <c r="A2039" i="1"/>
  <c r="F2039" i="1"/>
  <c r="G2039" i="1"/>
  <c r="I2039" i="1"/>
  <c r="A2040" i="1"/>
  <c r="F2040" i="1"/>
  <c r="G2040" i="1"/>
  <c r="I2040" i="1"/>
  <c r="A2041" i="1"/>
  <c r="F2041" i="1"/>
  <c r="G2041" i="1"/>
  <c r="I2041" i="1"/>
  <c r="A2042" i="1"/>
  <c r="F2042" i="1"/>
  <c r="G2042" i="1"/>
  <c r="I2042" i="1"/>
  <c r="A2043" i="1"/>
  <c r="F2043" i="1"/>
  <c r="G2043" i="1"/>
  <c r="I2043" i="1"/>
  <c r="A2044" i="1"/>
  <c r="F2044" i="1"/>
  <c r="G2044" i="1"/>
  <c r="I2044" i="1"/>
  <c r="A2045" i="1"/>
  <c r="F2045" i="1"/>
  <c r="G2045" i="1"/>
  <c r="I2045" i="1"/>
  <c r="A2046" i="1"/>
  <c r="F2046" i="1"/>
  <c r="G2046" i="1"/>
  <c r="I2046" i="1"/>
  <c r="A2047" i="1"/>
  <c r="F2047" i="1"/>
  <c r="G2047" i="1"/>
  <c r="I2047" i="1"/>
  <c r="A2048" i="1"/>
  <c r="F2048" i="1"/>
  <c r="G2048" i="1"/>
  <c r="I2048" i="1"/>
  <c r="A2049" i="1"/>
  <c r="F2049" i="1"/>
  <c r="G2049" i="1"/>
  <c r="I2049" i="1"/>
  <c r="A2050" i="1"/>
  <c r="F2050" i="1"/>
  <c r="G2050" i="1"/>
  <c r="I2050" i="1"/>
  <c r="A2051" i="1"/>
  <c r="F2051" i="1"/>
  <c r="G2051" i="1"/>
  <c r="I2051" i="1"/>
  <c r="A2052" i="1"/>
  <c r="F2052" i="1"/>
  <c r="G2052" i="1"/>
  <c r="I2052" i="1"/>
  <c r="A2053" i="1"/>
  <c r="F2053" i="1"/>
  <c r="G2053" i="1"/>
  <c r="I2053" i="1"/>
  <c r="A2054" i="1"/>
  <c r="F2054" i="1"/>
  <c r="G2054" i="1"/>
  <c r="I2054" i="1"/>
  <c r="A2055" i="1"/>
  <c r="F2055" i="1"/>
  <c r="G2055" i="1"/>
  <c r="I2055" i="1"/>
  <c r="A2056" i="1"/>
  <c r="F2056" i="1"/>
  <c r="G2056" i="1"/>
  <c r="I2056" i="1"/>
  <c r="A2057" i="1"/>
  <c r="F2057" i="1"/>
  <c r="G2057" i="1"/>
  <c r="I2057" i="1"/>
  <c r="A2058" i="1"/>
  <c r="F2058" i="1"/>
  <c r="G2058" i="1"/>
  <c r="I2058" i="1"/>
  <c r="A2059" i="1"/>
  <c r="F2059" i="1"/>
  <c r="G2059" i="1"/>
  <c r="I2059" i="1"/>
  <c r="A2060" i="1"/>
  <c r="F2060" i="1"/>
  <c r="G2060" i="1"/>
  <c r="I2060" i="1"/>
  <c r="A2061" i="1"/>
  <c r="F2061" i="1"/>
  <c r="G2061" i="1"/>
  <c r="I2061" i="1"/>
  <c r="A2062" i="1"/>
  <c r="F2062" i="1"/>
  <c r="G2062" i="1"/>
  <c r="I2062" i="1"/>
  <c r="A2063" i="1"/>
  <c r="F2063" i="1"/>
  <c r="G2063" i="1"/>
  <c r="I2063" i="1"/>
  <c r="A2064" i="1"/>
  <c r="F2064" i="1"/>
  <c r="G2064" i="1"/>
  <c r="I2064" i="1"/>
  <c r="A2065" i="1"/>
  <c r="F2065" i="1"/>
  <c r="G2065" i="1"/>
  <c r="I2065" i="1"/>
  <c r="A2066" i="1"/>
  <c r="F2066" i="1"/>
  <c r="G2066" i="1"/>
  <c r="I2066" i="1"/>
  <c r="A2067" i="1"/>
  <c r="F2067" i="1"/>
  <c r="G2067" i="1"/>
  <c r="I2067" i="1"/>
  <c r="A2068" i="1"/>
  <c r="F2068" i="1"/>
  <c r="G2068" i="1"/>
  <c r="I2068" i="1"/>
  <c r="A2069" i="1"/>
  <c r="F2069" i="1"/>
  <c r="G2069" i="1"/>
  <c r="I2069" i="1"/>
  <c r="A2070" i="1"/>
  <c r="F2070" i="1"/>
  <c r="G2070" i="1"/>
  <c r="I2070" i="1"/>
  <c r="A2071" i="1"/>
  <c r="F2071" i="1"/>
  <c r="G2071" i="1"/>
  <c r="I2071" i="1"/>
  <c r="A2072" i="1"/>
  <c r="F2072" i="1"/>
  <c r="G2072" i="1"/>
  <c r="I2072" i="1"/>
  <c r="A2073" i="1"/>
  <c r="F2073" i="1"/>
  <c r="G2073" i="1"/>
  <c r="I2073" i="1"/>
  <c r="A2074" i="1"/>
  <c r="F2074" i="1"/>
  <c r="G2074" i="1"/>
  <c r="I2074" i="1"/>
  <c r="A2075" i="1"/>
  <c r="F2075" i="1"/>
  <c r="G2075" i="1"/>
  <c r="I2075" i="1"/>
  <c r="A2076" i="1"/>
  <c r="F2076" i="1"/>
  <c r="G2076" i="1"/>
  <c r="I2076" i="1"/>
  <c r="A2077" i="1"/>
  <c r="F2077" i="1"/>
  <c r="G2077" i="1"/>
  <c r="I2077" i="1"/>
  <c r="A2078" i="1"/>
  <c r="F2078" i="1"/>
  <c r="G2078" i="1"/>
  <c r="I2078" i="1"/>
  <c r="A2079" i="1"/>
  <c r="F2079" i="1"/>
  <c r="G2079" i="1"/>
  <c r="I2079" i="1"/>
  <c r="A2080" i="1"/>
  <c r="F2080" i="1"/>
  <c r="G2080" i="1"/>
  <c r="I2080" i="1"/>
  <c r="A2081" i="1"/>
  <c r="F2081" i="1"/>
  <c r="G2081" i="1"/>
  <c r="I2081" i="1"/>
  <c r="A2082" i="1"/>
  <c r="F2082" i="1"/>
  <c r="G2082" i="1"/>
  <c r="I2082" i="1"/>
  <c r="A2083" i="1"/>
  <c r="F2083" i="1"/>
  <c r="G2083" i="1"/>
  <c r="I2083" i="1"/>
  <c r="A2084" i="1"/>
  <c r="F2084" i="1"/>
  <c r="G2084" i="1"/>
  <c r="I2084" i="1"/>
  <c r="A2085" i="1"/>
  <c r="F2085" i="1"/>
  <c r="G2085" i="1"/>
  <c r="I2085" i="1"/>
  <c r="A2086" i="1"/>
  <c r="F2086" i="1"/>
  <c r="G2086" i="1"/>
  <c r="I2086" i="1"/>
  <c r="A2087" i="1"/>
  <c r="F2087" i="1"/>
  <c r="G2087" i="1"/>
  <c r="I2087" i="1"/>
  <c r="A2088" i="1"/>
  <c r="F2088" i="1"/>
  <c r="G2088" i="1"/>
  <c r="I2088" i="1"/>
  <c r="A2089" i="1"/>
  <c r="F2089" i="1"/>
  <c r="G2089" i="1"/>
  <c r="I2089" i="1"/>
  <c r="A2090" i="1"/>
  <c r="F2090" i="1"/>
  <c r="G2090" i="1"/>
  <c r="I2090" i="1"/>
  <c r="A2091" i="1"/>
  <c r="F2091" i="1"/>
  <c r="G2091" i="1"/>
  <c r="I2091" i="1"/>
  <c r="A2092" i="1"/>
  <c r="F2092" i="1"/>
  <c r="G2092" i="1"/>
  <c r="I2092" i="1"/>
  <c r="A2093" i="1"/>
  <c r="F2093" i="1"/>
  <c r="G2093" i="1"/>
  <c r="I2093" i="1"/>
  <c r="A2094" i="1"/>
  <c r="F2094" i="1"/>
  <c r="G2094" i="1"/>
  <c r="I2094" i="1"/>
  <c r="A2095" i="1"/>
  <c r="F2095" i="1"/>
  <c r="G2095" i="1"/>
  <c r="I2095" i="1"/>
  <c r="A2096" i="1"/>
  <c r="F2096" i="1"/>
  <c r="G2096" i="1"/>
  <c r="I2096" i="1"/>
  <c r="A2097" i="1"/>
  <c r="F2097" i="1"/>
  <c r="G2097" i="1"/>
  <c r="I2097" i="1"/>
  <c r="A2098" i="1"/>
  <c r="F2098" i="1"/>
  <c r="G2098" i="1"/>
  <c r="I2098" i="1"/>
  <c r="A2099" i="1"/>
  <c r="F2099" i="1"/>
  <c r="G2099" i="1"/>
  <c r="I2099" i="1"/>
  <c r="A2100" i="1"/>
  <c r="F2100" i="1"/>
  <c r="G2100" i="1"/>
  <c r="I2100" i="1"/>
  <c r="A2101" i="1"/>
  <c r="F2101" i="1"/>
  <c r="G2101" i="1"/>
  <c r="I2101" i="1"/>
  <c r="A2102" i="1"/>
  <c r="F2102" i="1"/>
  <c r="G2102" i="1"/>
  <c r="I2102" i="1"/>
  <c r="A2103" i="1"/>
  <c r="F2103" i="1"/>
  <c r="G2103" i="1"/>
  <c r="I2103" i="1"/>
  <c r="A2104" i="1"/>
  <c r="F2104" i="1"/>
  <c r="G2104" i="1"/>
  <c r="I2104" i="1"/>
  <c r="A2105" i="1"/>
  <c r="F2105" i="1"/>
  <c r="G2105" i="1"/>
  <c r="I2105" i="1"/>
  <c r="A2106" i="1"/>
  <c r="F2106" i="1"/>
  <c r="G2106" i="1"/>
  <c r="I2106" i="1"/>
  <c r="A2107" i="1"/>
  <c r="F2107" i="1"/>
  <c r="G2107" i="1"/>
  <c r="I2107" i="1"/>
  <c r="A2108" i="1"/>
  <c r="F2108" i="1"/>
  <c r="G2108" i="1"/>
  <c r="I2108" i="1"/>
  <c r="A2109" i="1"/>
  <c r="F2109" i="1"/>
  <c r="G2109" i="1"/>
  <c r="I2109" i="1"/>
  <c r="A2110" i="1"/>
  <c r="F2110" i="1"/>
  <c r="G2110" i="1"/>
  <c r="I2110" i="1"/>
  <c r="A2111" i="1"/>
  <c r="F2111" i="1"/>
  <c r="G2111" i="1"/>
  <c r="I2111" i="1"/>
  <c r="A2112" i="1"/>
  <c r="F2112" i="1"/>
  <c r="G2112" i="1"/>
  <c r="I2112" i="1"/>
  <c r="A2113" i="1"/>
  <c r="F2113" i="1"/>
  <c r="G2113" i="1"/>
  <c r="I2113" i="1"/>
  <c r="A2114" i="1"/>
  <c r="F2114" i="1"/>
  <c r="G2114" i="1"/>
  <c r="I2114" i="1"/>
  <c r="A2115" i="1"/>
  <c r="F2115" i="1"/>
  <c r="G2115" i="1"/>
  <c r="I2115" i="1"/>
  <c r="A2116" i="1"/>
  <c r="F2116" i="1"/>
  <c r="G2116" i="1"/>
  <c r="I2116" i="1"/>
  <c r="A2117" i="1"/>
  <c r="F2117" i="1"/>
  <c r="G2117" i="1"/>
  <c r="I2117" i="1"/>
  <c r="A2118" i="1"/>
  <c r="F2118" i="1"/>
  <c r="G2118" i="1"/>
  <c r="I2118" i="1"/>
  <c r="A2119" i="1"/>
  <c r="F2119" i="1"/>
  <c r="G2119" i="1"/>
  <c r="I2119" i="1"/>
  <c r="A2120" i="1"/>
  <c r="F2120" i="1"/>
  <c r="G2120" i="1"/>
  <c r="I2120" i="1"/>
  <c r="A2121" i="1"/>
  <c r="F2121" i="1"/>
  <c r="G2121" i="1"/>
  <c r="I2121" i="1"/>
  <c r="A2122" i="1"/>
  <c r="F2122" i="1"/>
  <c r="G2122" i="1"/>
  <c r="I2122" i="1"/>
  <c r="A2123" i="1"/>
  <c r="F2123" i="1"/>
  <c r="G2123" i="1"/>
  <c r="I2123" i="1"/>
  <c r="A2124" i="1"/>
  <c r="F2124" i="1"/>
  <c r="G2124" i="1"/>
  <c r="I2124" i="1"/>
  <c r="A2125" i="1"/>
  <c r="F2125" i="1"/>
  <c r="G2125" i="1"/>
  <c r="I2125" i="1"/>
  <c r="A2126" i="1"/>
  <c r="F2126" i="1"/>
  <c r="G2126" i="1"/>
  <c r="I2126" i="1"/>
  <c r="A2127" i="1"/>
  <c r="F2127" i="1"/>
  <c r="G2127" i="1"/>
  <c r="I2127" i="1"/>
  <c r="A2128" i="1"/>
  <c r="F2128" i="1"/>
  <c r="G2128" i="1"/>
  <c r="I2128" i="1"/>
  <c r="A2129" i="1"/>
  <c r="F2129" i="1"/>
  <c r="G2129" i="1"/>
  <c r="I2129" i="1"/>
  <c r="A2130" i="1"/>
  <c r="F2130" i="1"/>
  <c r="G2130" i="1"/>
  <c r="I2130" i="1"/>
  <c r="A2131" i="1"/>
  <c r="F2131" i="1"/>
  <c r="G2131" i="1"/>
  <c r="I2131" i="1"/>
  <c r="A2132" i="1"/>
  <c r="F2132" i="1"/>
  <c r="G2132" i="1"/>
  <c r="I2132" i="1"/>
  <c r="A2133" i="1"/>
  <c r="F2133" i="1"/>
  <c r="G2133" i="1"/>
  <c r="I2133" i="1"/>
  <c r="A2134" i="1"/>
  <c r="F2134" i="1"/>
  <c r="G2134" i="1"/>
  <c r="I2134" i="1"/>
  <c r="A2135" i="1"/>
  <c r="F2135" i="1"/>
  <c r="G2135" i="1"/>
  <c r="I2135" i="1"/>
  <c r="A2136" i="1"/>
  <c r="F2136" i="1"/>
  <c r="G2136" i="1"/>
  <c r="I2136" i="1"/>
  <c r="A2137" i="1"/>
  <c r="F2137" i="1"/>
  <c r="G2137" i="1"/>
  <c r="I2137" i="1"/>
  <c r="A2138" i="1"/>
  <c r="F2138" i="1"/>
  <c r="G2138" i="1"/>
  <c r="I2138" i="1"/>
  <c r="A2139" i="1"/>
  <c r="F2139" i="1"/>
  <c r="G2139" i="1"/>
  <c r="I2139" i="1"/>
  <c r="A2140" i="1"/>
  <c r="F2140" i="1"/>
  <c r="G2140" i="1"/>
  <c r="I2140" i="1"/>
  <c r="A2141" i="1"/>
  <c r="F2141" i="1"/>
  <c r="G2141" i="1"/>
  <c r="I2141" i="1"/>
  <c r="A2142" i="1"/>
  <c r="F2142" i="1"/>
  <c r="G2142" i="1"/>
  <c r="I2142" i="1"/>
  <c r="A2143" i="1"/>
  <c r="F2143" i="1"/>
  <c r="G2143" i="1"/>
  <c r="I2143" i="1"/>
  <c r="A2144" i="1"/>
  <c r="F2144" i="1"/>
  <c r="G2144" i="1"/>
  <c r="I2144" i="1"/>
  <c r="A2145" i="1"/>
  <c r="F2145" i="1"/>
  <c r="G2145" i="1"/>
  <c r="I2145" i="1"/>
  <c r="A2146" i="1"/>
  <c r="F2146" i="1"/>
  <c r="G2146" i="1"/>
  <c r="I2146" i="1"/>
  <c r="A2147" i="1"/>
  <c r="F2147" i="1"/>
  <c r="G2147" i="1"/>
  <c r="I2147" i="1"/>
  <c r="A2148" i="1"/>
  <c r="F2148" i="1"/>
  <c r="G2148" i="1"/>
  <c r="I2148" i="1"/>
  <c r="A2149" i="1"/>
  <c r="F2149" i="1"/>
  <c r="G2149" i="1"/>
  <c r="I2149" i="1"/>
  <c r="A2150" i="1"/>
  <c r="F2150" i="1"/>
  <c r="G2150" i="1"/>
  <c r="I2150" i="1"/>
  <c r="A2151" i="1"/>
  <c r="F2151" i="1"/>
  <c r="G2151" i="1"/>
  <c r="I2151" i="1"/>
  <c r="A2152" i="1"/>
  <c r="F2152" i="1"/>
  <c r="G2152" i="1"/>
  <c r="I2152" i="1"/>
  <c r="A2153" i="1"/>
  <c r="F2153" i="1"/>
  <c r="G2153" i="1"/>
  <c r="I2153" i="1"/>
  <c r="A2154" i="1"/>
  <c r="F2154" i="1"/>
  <c r="G2154" i="1"/>
  <c r="I2154" i="1"/>
  <c r="A2155" i="1"/>
  <c r="F2155" i="1"/>
  <c r="G2155" i="1"/>
  <c r="I2155" i="1"/>
  <c r="A2156" i="1"/>
  <c r="F2156" i="1"/>
  <c r="G2156" i="1"/>
  <c r="I2156" i="1"/>
  <c r="A2157" i="1"/>
  <c r="F2157" i="1"/>
  <c r="G2157" i="1"/>
  <c r="I2157" i="1"/>
  <c r="A2158" i="1"/>
  <c r="F2158" i="1"/>
  <c r="G2158" i="1"/>
  <c r="I2158" i="1"/>
  <c r="A2159" i="1"/>
  <c r="F2159" i="1"/>
  <c r="G2159" i="1"/>
  <c r="I2159" i="1"/>
  <c r="A2160" i="1"/>
  <c r="F2160" i="1"/>
  <c r="G2160" i="1"/>
  <c r="I2160" i="1"/>
  <c r="A2161" i="1"/>
  <c r="F2161" i="1"/>
  <c r="G2161" i="1"/>
  <c r="I2161" i="1"/>
  <c r="A2162" i="1"/>
  <c r="F2162" i="1"/>
  <c r="G2162" i="1"/>
  <c r="I2162" i="1"/>
  <c r="A2163" i="1"/>
  <c r="F2163" i="1"/>
  <c r="G2163" i="1"/>
  <c r="I2163" i="1"/>
  <c r="A2164" i="1"/>
  <c r="F2164" i="1"/>
  <c r="G2164" i="1"/>
  <c r="I2164" i="1"/>
  <c r="A2165" i="1"/>
  <c r="F2165" i="1"/>
  <c r="G2165" i="1"/>
  <c r="I2165" i="1"/>
  <c r="A2166" i="1"/>
  <c r="F2166" i="1"/>
  <c r="G2166" i="1"/>
  <c r="I2166" i="1"/>
  <c r="A2167" i="1"/>
  <c r="F2167" i="1"/>
  <c r="G2167" i="1"/>
  <c r="I2167" i="1"/>
  <c r="A2168" i="1"/>
  <c r="F2168" i="1"/>
  <c r="G2168" i="1"/>
  <c r="I2168" i="1"/>
  <c r="A2169" i="1"/>
  <c r="F2169" i="1"/>
  <c r="G2169" i="1"/>
  <c r="I2169" i="1"/>
  <c r="A2170" i="1"/>
  <c r="F2170" i="1"/>
  <c r="G2170" i="1"/>
  <c r="I2170" i="1"/>
  <c r="A2171" i="1"/>
  <c r="F2171" i="1"/>
  <c r="G2171" i="1"/>
  <c r="I2171" i="1"/>
  <c r="A2172" i="1"/>
  <c r="F2172" i="1"/>
  <c r="G2172" i="1"/>
  <c r="I2172" i="1"/>
  <c r="A2173" i="1"/>
  <c r="F2173" i="1"/>
  <c r="G2173" i="1"/>
  <c r="I2173" i="1"/>
  <c r="A2174" i="1"/>
  <c r="F2174" i="1"/>
  <c r="G2174" i="1"/>
  <c r="I2174" i="1"/>
  <c r="A2175" i="1"/>
  <c r="F2175" i="1"/>
  <c r="G2175" i="1"/>
  <c r="I2175" i="1"/>
  <c r="A2176" i="1"/>
  <c r="F2176" i="1"/>
  <c r="G2176" i="1"/>
  <c r="I2176" i="1"/>
  <c r="A2177" i="1"/>
  <c r="F2177" i="1"/>
  <c r="G2177" i="1"/>
  <c r="I2177" i="1"/>
  <c r="A2178" i="1"/>
  <c r="F2178" i="1"/>
  <c r="G2178" i="1"/>
  <c r="I2178" i="1"/>
  <c r="A2179" i="1"/>
  <c r="F2179" i="1"/>
  <c r="G2179" i="1"/>
  <c r="I2179" i="1"/>
  <c r="A2180" i="1"/>
  <c r="F2180" i="1"/>
  <c r="G2180" i="1"/>
  <c r="I2180" i="1"/>
  <c r="A2181" i="1"/>
  <c r="F2181" i="1"/>
  <c r="G2181" i="1"/>
  <c r="I2181" i="1"/>
  <c r="A2182" i="1"/>
  <c r="F2182" i="1"/>
  <c r="G2182" i="1"/>
  <c r="I2182" i="1"/>
  <c r="A2183" i="1"/>
  <c r="F2183" i="1"/>
  <c r="G2183" i="1"/>
  <c r="I2183" i="1"/>
  <c r="A2184" i="1"/>
  <c r="F2184" i="1"/>
  <c r="G2184" i="1"/>
  <c r="I2184" i="1"/>
  <c r="A2185" i="1"/>
  <c r="F2185" i="1"/>
  <c r="G2185" i="1"/>
  <c r="I2185" i="1"/>
  <c r="A2186" i="1"/>
  <c r="F2186" i="1"/>
  <c r="G2186" i="1"/>
  <c r="I2186" i="1"/>
  <c r="A2187" i="1"/>
  <c r="F2187" i="1"/>
  <c r="G2187" i="1"/>
  <c r="I2187" i="1"/>
  <c r="A2188" i="1"/>
  <c r="F2188" i="1"/>
  <c r="G2188" i="1"/>
  <c r="I2188" i="1"/>
  <c r="A2189" i="1"/>
  <c r="F2189" i="1"/>
  <c r="G2189" i="1"/>
  <c r="I2189" i="1"/>
  <c r="A2190" i="1"/>
  <c r="F2190" i="1"/>
  <c r="G2190" i="1"/>
  <c r="I2190" i="1"/>
  <c r="A2191" i="1"/>
  <c r="F2191" i="1"/>
  <c r="G2191" i="1"/>
  <c r="I2191" i="1"/>
  <c r="A2192" i="1"/>
  <c r="F2192" i="1"/>
  <c r="G2192" i="1"/>
  <c r="I2192" i="1"/>
  <c r="A2193" i="1"/>
  <c r="F2193" i="1"/>
  <c r="G2193" i="1"/>
  <c r="I2193" i="1"/>
  <c r="A2194" i="1"/>
  <c r="F2194" i="1"/>
  <c r="G2194" i="1"/>
  <c r="I2194" i="1"/>
  <c r="A2195" i="1"/>
  <c r="F2195" i="1"/>
  <c r="G2195" i="1"/>
  <c r="I2195" i="1"/>
  <c r="A2196" i="1"/>
  <c r="F2196" i="1"/>
  <c r="G2196" i="1"/>
  <c r="I2196" i="1"/>
  <c r="A2197" i="1"/>
  <c r="F2197" i="1"/>
  <c r="G2197" i="1"/>
  <c r="I2197" i="1"/>
  <c r="A2198" i="1"/>
  <c r="F2198" i="1"/>
  <c r="G2198" i="1"/>
  <c r="I2198" i="1"/>
  <c r="A2199" i="1"/>
  <c r="F2199" i="1"/>
  <c r="G2199" i="1"/>
  <c r="I2199" i="1"/>
  <c r="A2200" i="1"/>
  <c r="F2200" i="1"/>
  <c r="G2200" i="1"/>
  <c r="I2200" i="1"/>
  <c r="A2201" i="1"/>
  <c r="F2201" i="1"/>
  <c r="G2201" i="1"/>
  <c r="I2201" i="1"/>
  <c r="A2202" i="1"/>
  <c r="F2202" i="1"/>
  <c r="G2202" i="1"/>
  <c r="I2202" i="1"/>
  <c r="A2203" i="1"/>
  <c r="F2203" i="1"/>
  <c r="G2203" i="1"/>
  <c r="I2203" i="1"/>
  <c r="A2204" i="1"/>
  <c r="F2204" i="1"/>
  <c r="G2204" i="1"/>
  <c r="I2204" i="1"/>
  <c r="A2205" i="1"/>
  <c r="F2205" i="1"/>
  <c r="G2205" i="1"/>
  <c r="I2205" i="1"/>
  <c r="A2206" i="1"/>
  <c r="F2206" i="1"/>
  <c r="G2206" i="1"/>
  <c r="I2206" i="1"/>
  <c r="A2207" i="1"/>
  <c r="F2207" i="1"/>
  <c r="G2207" i="1"/>
  <c r="I2207" i="1"/>
  <c r="A2208" i="1"/>
  <c r="F2208" i="1"/>
  <c r="G2208" i="1"/>
  <c r="I2208" i="1"/>
  <c r="A2209" i="1"/>
  <c r="F2209" i="1"/>
  <c r="G2209" i="1"/>
  <c r="I2209" i="1"/>
  <c r="A2210" i="1"/>
  <c r="F2210" i="1"/>
  <c r="G2210" i="1"/>
  <c r="I2210" i="1"/>
  <c r="A2211" i="1"/>
  <c r="F2211" i="1"/>
  <c r="G2211" i="1"/>
  <c r="I2211" i="1"/>
  <c r="A2212" i="1"/>
  <c r="F2212" i="1"/>
  <c r="G2212" i="1"/>
  <c r="I2212" i="1"/>
  <c r="A2213" i="1"/>
  <c r="F2213" i="1"/>
  <c r="G2213" i="1"/>
  <c r="I2213" i="1"/>
  <c r="A2214" i="1"/>
  <c r="F2214" i="1"/>
  <c r="G2214" i="1"/>
  <c r="I2214" i="1"/>
  <c r="A2215" i="1"/>
  <c r="F2215" i="1"/>
  <c r="G2215" i="1"/>
  <c r="I2215" i="1"/>
  <c r="A2216" i="1"/>
  <c r="F2216" i="1"/>
  <c r="G2216" i="1"/>
  <c r="I2216" i="1"/>
  <c r="A2217" i="1"/>
  <c r="F2217" i="1"/>
  <c r="G2217" i="1"/>
  <c r="I2217" i="1"/>
  <c r="A2218" i="1"/>
  <c r="F2218" i="1"/>
  <c r="G2218" i="1"/>
  <c r="I2218" i="1"/>
  <c r="A2219" i="1"/>
  <c r="F2219" i="1"/>
  <c r="G2219" i="1"/>
  <c r="I2219" i="1"/>
  <c r="A2220" i="1"/>
  <c r="F2220" i="1"/>
  <c r="G2220" i="1"/>
  <c r="I2220" i="1"/>
  <c r="A2221" i="1"/>
  <c r="F2221" i="1"/>
  <c r="G2221" i="1"/>
  <c r="I2221" i="1"/>
  <c r="A2222" i="1"/>
  <c r="F2222" i="1"/>
  <c r="G2222" i="1"/>
  <c r="I2222" i="1"/>
  <c r="A2223" i="1"/>
  <c r="F2223" i="1"/>
  <c r="G2223" i="1"/>
  <c r="I2223" i="1"/>
  <c r="A2224" i="1"/>
  <c r="F2224" i="1"/>
  <c r="G2224" i="1"/>
  <c r="I2224" i="1"/>
  <c r="A2225" i="1"/>
  <c r="F2225" i="1"/>
  <c r="G2225" i="1"/>
  <c r="I2225" i="1"/>
  <c r="A2226" i="1"/>
  <c r="F2226" i="1"/>
  <c r="G2226" i="1"/>
  <c r="I2226" i="1"/>
  <c r="A2227" i="1"/>
  <c r="F2227" i="1"/>
  <c r="G2227" i="1"/>
  <c r="I2227" i="1"/>
  <c r="A2228" i="1"/>
  <c r="F2228" i="1"/>
  <c r="G2228" i="1"/>
  <c r="I2228" i="1"/>
  <c r="A2229" i="1"/>
  <c r="F2229" i="1"/>
  <c r="G2229" i="1"/>
  <c r="I2229" i="1"/>
  <c r="A2230" i="1"/>
  <c r="F2230" i="1"/>
  <c r="G2230" i="1"/>
  <c r="I2230" i="1"/>
  <c r="A2231" i="1"/>
  <c r="F2231" i="1"/>
  <c r="G2231" i="1"/>
  <c r="I2231" i="1"/>
  <c r="A2232" i="1"/>
  <c r="F2232" i="1"/>
  <c r="G2232" i="1"/>
  <c r="I2232" i="1"/>
  <c r="A2233" i="1"/>
  <c r="F2233" i="1"/>
  <c r="G2233" i="1"/>
  <c r="I2233" i="1"/>
  <c r="A2234" i="1"/>
  <c r="F2234" i="1"/>
  <c r="G2234" i="1"/>
  <c r="I2234" i="1"/>
  <c r="A2235" i="1"/>
  <c r="F2235" i="1"/>
  <c r="G2235" i="1"/>
  <c r="I2235" i="1"/>
  <c r="A2236" i="1"/>
  <c r="F2236" i="1"/>
  <c r="G2236" i="1"/>
  <c r="I2236" i="1"/>
  <c r="A2237" i="1"/>
  <c r="F2237" i="1"/>
  <c r="G2237" i="1"/>
  <c r="I2237" i="1"/>
  <c r="A2238" i="1"/>
  <c r="F2238" i="1"/>
  <c r="G2238" i="1"/>
  <c r="I2238" i="1"/>
  <c r="A2239" i="1"/>
  <c r="F2239" i="1"/>
  <c r="G2239" i="1"/>
  <c r="I2239" i="1"/>
  <c r="A2240" i="1"/>
  <c r="F2240" i="1"/>
  <c r="G2240" i="1"/>
  <c r="I2240" i="1"/>
  <c r="A2241" i="1"/>
  <c r="F2241" i="1"/>
  <c r="G2241" i="1"/>
  <c r="I2241" i="1"/>
  <c r="A2242" i="1"/>
  <c r="F2242" i="1"/>
  <c r="G2242" i="1"/>
  <c r="I2242" i="1"/>
  <c r="A2243" i="1"/>
  <c r="F2243" i="1"/>
  <c r="G2243" i="1"/>
  <c r="I2243" i="1"/>
  <c r="A2244" i="1"/>
  <c r="F2244" i="1"/>
  <c r="G2244" i="1"/>
  <c r="I2244" i="1"/>
  <c r="A2245" i="1"/>
  <c r="F2245" i="1"/>
  <c r="G2245" i="1"/>
  <c r="I2245" i="1"/>
  <c r="A2246" i="1"/>
  <c r="F2246" i="1"/>
  <c r="G2246" i="1"/>
  <c r="I2246" i="1"/>
  <c r="A2247" i="1"/>
  <c r="F2247" i="1"/>
  <c r="G2247" i="1"/>
  <c r="I2247" i="1"/>
  <c r="A2248" i="1"/>
  <c r="F2248" i="1"/>
  <c r="G2248" i="1"/>
  <c r="I2248" i="1"/>
  <c r="A2249" i="1"/>
  <c r="F2249" i="1"/>
  <c r="G2249" i="1"/>
  <c r="I2249" i="1"/>
  <c r="A2250" i="1"/>
  <c r="F2250" i="1"/>
  <c r="G2250" i="1"/>
  <c r="I2250" i="1"/>
  <c r="A2251" i="1"/>
  <c r="F2251" i="1"/>
  <c r="G2251" i="1"/>
  <c r="I2251" i="1"/>
  <c r="A2252" i="1"/>
  <c r="F2252" i="1"/>
  <c r="G2252" i="1"/>
  <c r="I2252" i="1"/>
  <c r="A2253" i="1"/>
  <c r="F2253" i="1"/>
  <c r="G2253" i="1"/>
  <c r="I2253" i="1"/>
  <c r="A2254" i="1"/>
  <c r="F2254" i="1"/>
  <c r="G2254" i="1"/>
  <c r="I2254" i="1"/>
  <c r="A2255" i="1"/>
  <c r="F2255" i="1"/>
  <c r="G2255" i="1"/>
  <c r="I2255" i="1"/>
  <c r="A2256" i="1"/>
  <c r="F2256" i="1"/>
  <c r="G2256" i="1"/>
  <c r="I2256" i="1"/>
  <c r="A2257" i="1"/>
  <c r="F2257" i="1"/>
  <c r="G2257" i="1"/>
  <c r="I2257" i="1"/>
  <c r="A2258" i="1"/>
  <c r="F2258" i="1"/>
  <c r="G2258" i="1"/>
  <c r="I2258" i="1"/>
  <c r="A2259" i="1"/>
  <c r="F2259" i="1"/>
  <c r="G2259" i="1"/>
  <c r="I2259" i="1"/>
  <c r="A2260" i="1"/>
  <c r="F2260" i="1"/>
  <c r="G2260" i="1"/>
  <c r="I2260" i="1"/>
  <c r="A2261" i="1"/>
  <c r="F2261" i="1"/>
  <c r="G2261" i="1"/>
  <c r="I2261" i="1"/>
  <c r="A2262" i="1"/>
  <c r="F2262" i="1"/>
  <c r="G2262" i="1"/>
  <c r="I2262" i="1"/>
  <c r="A2263" i="1"/>
  <c r="F2263" i="1"/>
  <c r="G2263" i="1"/>
  <c r="I2263" i="1"/>
  <c r="A2264" i="1"/>
  <c r="F2264" i="1"/>
  <c r="G2264" i="1"/>
  <c r="I2264" i="1"/>
  <c r="A2265" i="1"/>
  <c r="F2265" i="1"/>
  <c r="G2265" i="1"/>
  <c r="I2265" i="1"/>
  <c r="A2266" i="1"/>
  <c r="F2266" i="1"/>
  <c r="G2266" i="1"/>
  <c r="I2266" i="1"/>
  <c r="A2267" i="1"/>
  <c r="F2267" i="1"/>
  <c r="G2267" i="1"/>
  <c r="I2267" i="1"/>
  <c r="A2268" i="1"/>
  <c r="F2268" i="1"/>
  <c r="G2268" i="1"/>
  <c r="I2268" i="1"/>
  <c r="A2269" i="1"/>
  <c r="F2269" i="1"/>
  <c r="G2269" i="1"/>
  <c r="I2269" i="1"/>
  <c r="A2270" i="1"/>
  <c r="F2270" i="1"/>
  <c r="G2270" i="1"/>
  <c r="I2270" i="1"/>
  <c r="A2271" i="1"/>
  <c r="F2271" i="1"/>
  <c r="G2271" i="1"/>
  <c r="I2271" i="1"/>
  <c r="A2272" i="1"/>
  <c r="F2272" i="1"/>
  <c r="G2272" i="1"/>
  <c r="I2272" i="1"/>
  <c r="A2273" i="1"/>
  <c r="F2273" i="1"/>
  <c r="G2273" i="1"/>
  <c r="I2273" i="1"/>
  <c r="A2274" i="1"/>
  <c r="F2274" i="1"/>
  <c r="G2274" i="1"/>
  <c r="I2274" i="1"/>
  <c r="A2275" i="1"/>
  <c r="F2275" i="1"/>
  <c r="G2275" i="1"/>
  <c r="I2275" i="1"/>
  <c r="A2276" i="1"/>
  <c r="F2276" i="1"/>
  <c r="G2276" i="1"/>
  <c r="I2276" i="1"/>
  <c r="A2277" i="1"/>
  <c r="F2277" i="1"/>
  <c r="G2277" i="1"/>
  <c r="I2277" i="1"/>
  <c r="A2278" i="1"/>
  <c r="F2278" i="1"/>
  <c r="G2278" i="1"/>
  <c r="I2278" i="1"/>
  <c r="A2279" i="1"/>
  <c r="F2279" i="1"/>
  <c r="G2279" i="1"/>
  <c r="I2279" i="1"/>
  <c r="A2280" i="1"/>
  <c r="F2280" i="1"/>
  <c r="G2280" i="1"/>
  <c r="I2280" i="1"/>
  <c r="A2281" i="1"/>
  <c r="F2281" i="1"/>
  <c r="G2281" i="1"/>
  <c r="I2281" i="1"/>
  <c r="A2282" i="1"/>
  <c r="F2282" i="1"/>
  <c r="G2282" i="1"/>
  <c r="I2282" i="1"/>
  <c r="A2283" i="1"/>
  <c r="F2283" i="1"/>
  <c r="G2283" i="1"/>
  <c r="I2283" i="1"/>
  <c r="A2284" i="1"/>
  <c r="F2284" i="1"/>
  <c r="G2284" i="1"/>
  <c r="I2284" i="1"/>
  <c r="A2285" i="1"/>
  <c r="F2285" i="1"/>
  <c r="G2285" i="1"/>
  <c r="I2285" i="1"/>
  <c r="A2286" i="1"/>
  <c r="F2286" i="1"/>
  <c r="G2286" i="1"/>
  <c r="I2286" i="1"/>
  <c r="A2287" i="1"/>
  <c r="F2287" i="1"/>
  <c r="G2287" i="1"/>
  <c r="I2287" i="1"/>
  <c r="A2288" i="1"/>
  <c r="F2288" i="1"/>
  <c r="G2288" i="1"/>
  <c r="I2288" i="1"/>
  <c r="A2289" i="1"/>
  <c r="F2289" i="1"/>
  <c r="G2289" i="1"/>
  <c r="I2289" i="1"/>
  <c r="A2290" i="1"/>
  <c r="F2290" i="1"/>
  <c r="G2290" i="1"/>
  <c r="I2290" i="1"/>
  <c r="A2291" i="1"/>
  <c r="F2291" i="1"/>
  <c r="G2291" i="1"/>
  <c r="I2291" i="1"/>
  <c r="A2292" i="1"/>
  <c r="F2292" i="1"/>
  <c r="G2292" i="1"/>
  <c r="I2292" i="1"/>
  <c r="A2293" i="1"/>
  <c r="F2293" i="1"/>
  <c r="G2293" i="1"/>
  <c r="I2293" i="1"/>
  <c r="A2294" i="1"/>
  <c r="F2294" i="1"/>
  <c r="G2294" i="1"/>
  <c r="I2294" i="1"/>
  <c r="A2295" i="1"/>
  <c r="F2295" i="1"/>
  <c r="G2295" i="1"/>
  <c r="I2295" i="1"/>
  <c r="A2296" i="1"/>
  <c r="F2296" i="1"/>
  <c r="G2296" i="1"/>
  <c r="I2296" i="1"/>
  <c r="A2297" i="1"/>
  <c r="F2297" i="1"/>
  <c r="G2297" i="1"/>
  <c r="I2297" i="1"/>
  <c r="A2298" i="1"/>
  <c r="F2298" i="1"/>
  <c r="G2298" i="1"/>
  <c r="I2298" i="1"/>
  <c r="A2299" i="1"/>
  <c r="F2299" i="1"/>
  <c r="G2299" i="1"/>
  <c r="I2299" i="1"/>
  <c r="A2300" i="1"/>
  <c r="F2300" i="1"/>
  <c r="G2300" i="1"/>
  <c r="I2300" i="1"/>
  <c r="A2301" i="1"/>
  <c r="F2301" i="1"/>
  <c r="G2301" i="1"/>
  <c r="I2301" i="1"/>
  <c r="A2302" i="1"/>
  <c r="F2302" i="1"/>
  <c r="G2302" i="1"/>
  <c r="I2302" i="1"/>
  <c r="A2303" i="1"/>
  <c r="F2303" i="1"/>
  <c r="G2303" i="1"/>
  <c r="I2303" i="1"/>
  <c r="A2304" i="1"/>
  <c r="F2304" i="1"/>
  <c r="G2304" i="1"/>
  <c r="I2304" i="1"/>
  <c r="A2305" i="1"/>
  <c r="F2305" i="1"/>
  <c r="G2305" i="1"/>
  <c r="I2305" i="1"/>
  <c r="A2306" i="1"/>
  <c r="F2306" i="1"/>
  <c r="G2306" i="1"/>
  <c r="I2306" i="1"/>
  <c r="A2307" i="1"/>
  <c r="F2307" i="1"/>
  <c r="G2307" i="1"/>
  <c r="I2307" i="1"/>
  <c r="A2308" i="1"/>
  <c r="F2308" i="1"/>
  <c r="G2308" i="1"/>
  <c r="I2308" i="1"/>
  <c r="A2309" i="1"/>
  <c r="F2309" i="1"/>
  <c r="G2309" i="1"/>
  <c r="I2309" i="1"/>
  <c r="A2310" i="1"/>
  <c r="F2310" i="1"/>
  <c r="G2310" i="1"/>
  <c r="I2310" i="1"/>
  <c r="A2311" i="1"/>
  <c r="F2311" i="1"/>
  <c r="G2311" i="1"/>
  <c r="I2311" i="1"/>
  <c r="A2312" i="1"/>
  <c r="F2312" i="1"/>
  <c r="G2312" i="1"/>
  <c r="I2312" i="1"/>
  <c r="A2313" i="1"/>
  <c r="F2313" i="1"/>
  <c r="G2313" i="1"/>
  <c r="I2313" i="1"/>
  <c r="A2314" i="1"/>
  <c r="F2314" i="1"/>
  <c r="G2314" i="1"/>
  <c r="I2314" i="1"/>
  <c r="A2315" i="1"/>
  <c r="F2315" i="1"/>
  <c r="G2315" i="1"/>
  <c r="I2315" i="1"/>
  <c r="A2316" i="1"/>
  <c r="F2316" i="1"/>
  <c r="G2316" i="1"/>
  <c r="I2316" i="1"/>
  <c r="A2317" i="1"/>
  <c r="F2317" i="1"/>
  <c r="G2317" i="1"/>
  <c r="I2317" i="1"/>
  <c r="A2318" i="1"/>
  <c r="F2318" i="1"/>
  <c r="G2318" i="1"/>
  <c r="I2318" i="1"/>
  <c r="A2319" i="1"/>
  <c r="F2319" i="1"/>
  <c r="G2319" i="1"/>
  <c r="I2319" i="1"/>
  <c r="A2320" i="1"/>
  <c r="F2320" i="1"/>
  <c r="G2320" i="1"/>
  <c r="I2320" i="1"/>
  <c r="A2321" i="1"/>
  <c r="F2321" i="1"/>
  <c r="G2321" i="1"/>
  <c r="I2321" i="1"/>
  <c r="A2322" i="1"/>
  <c r="F2322" i="1"/>
  <c r="G2322" i="1"/>
  <c r="I2322" i="1"/>
  <c r="A2323" i="1"/>
  <c r="F2323" i="1"/>
  <c r="G2323" i="1"/>
  <c r="I2323" i="1"/>
  <c r="A2324" i="1"/>
  <c r="F2324" i="1"/>
  <c r="G2324" i="1"/>
  <c r="I2324" i="1"/>
  <c r="A2325" i="1"/>
  <c r="F2325" i="1"/>
  <c r="G2325" i="1"/>
  <c r="I2325" i="1"/>
  <c r="A2326" i="1"/>
  <c r="F2326" i="1"/>
  <c r="G2326" i="1"/>
  <c r="I2326" i="1"/>
  <c r="A2327" i="1"/>
  <c r="F2327" i="1"/>
  <c r="G2327" i="1"/>
  <c r="I2327" i="1"/>
  <c r="A2328" i="1"/>
  <c r="F2328" i="1"/>
  <c r="G2328" i="1"/>
  <c r="I2328" i="1"/>
  <c r="A2329" i="1"/>
  <c r="F2329" i="1"/>
  <c r="G2329" i="1"/>
  <c r="I2329" i="1"/>
  <c r="A2330" i="1"/>
  <c r="F2330" i="1"/>
  <c r="G2330" i="1"/>
  <c r="I2330" i="1"/>
  <c r="A2331" i="1"/>
  <c r="F2331" i="1"/>
  <c r="G2331" i="1"/>
  <c r="I2331" i="1"/>
  <c r="A2332" i="1"/>
  <c r="F2332" i="1"/>
  <c r="G2332" i="1"/>
  <c r="I2332" i="1"/>
  <c r="A2333" i="1"/>
  <c r="F2333" i="1"/>
  <c r="G2333" i="1"/>
  <c r="I2333" i="1"/>
  <c r="A2334" i="1"/>
  <c r="F2334" i="1"/>
  <c r="G2334" i="1"/>
  <c r="I2334" i="1"/>
  <c r="A2335" i="1"/>
  <c r="F2335" i="1"/>
  <c r="G2335" i="1"/>
  <c r="I2335" i="1"/>
  <c r="A2336" i="1"/>
  <c r="F2336" i="1"/>
  <c r="G2336" i="1"/>
  <c r="I2336" i="1"/>
  <c r="A2337" i="1"/>
  <c r="F2337" i="1"/>
  <c r="G2337" i="1"/>
  <c r="I2337" i="1"/>
  <c r="A2338" i="1"/>
  <c r="F2338" i="1"/>
  <c r="G2338" i="1"/>
  <c r="I2338" i="1"/>
  <c r="A2339" i="1"/>
  <c r="F2339" i="1"/>
  <c r="G2339" i="1"/>
  <c r="I2339" i="1"/>
  <c r="A2340" i="1"/>
  <c r="F2340" i="1"/>
  <c r="G2340" i="1"/>
  <c r="I2340" i="1"/>
  <c r="A2341" i="1"/>
  <c r="F2341" i="1"/>
  <c r="G2341" i="1"/>
  <c r="I2341" i="1"/>
  <c r="A2342" i="1"/>
  <c r="F2342" i="1"/>
  <c r="G2342" i="1"/>
  <c r="I2342" i="1"/>
  <c r="A2343" i="1"/>
  <c r="F2343" i="1"/>
  <c r="G2343" i="1"/>
  <c r="I2343" i="1"/>
  <c r="A2344" i="1"/>
  <c r="F2344" i="1"/>
  <c r="G2344" i="1"/>
  <c r="I2344" i="1"/>
  <c r="A2345" i="1"/>
  <c r="F2345" i="1"/>
  <c r="G2345" i="1"/>
  <c r="I2345" i="1"/>
  <c r="A2346" i="1"/>
  <c r="F2346" i="1"/>
  <c r="G2346" i="1"/>
  <c r="I2346" i="1"/>
  <c r="A2347" i="1"/>
  <c r="F2347" i="1"/>
  <c r="G2347" i="1"/>
  <c r="I2347" i="1"/>
  <c r="A2348" i="1"/>
  <c r="F2348" i="1"/>
  <c r="G2348" i="1"/>
  <c r="I2348" i="1"/>
  <c r="A2349" i="1"/>
  <c r="F2349" i="1"/>
  <c r="G2349" i="1"/>
  <c r="I2349" i="1"/>
  <c r="A2350" i="1"/>
  <c r="F2350" i="1"/>
  <c r="G2350" i="1"/>
  <c r="I2350" i="1"/>
  <c r="A2351" i="1"/>
  <c r="F2351" i="1"/>
  <c r="G2351" i="1"/>
  <c r="I2351" i="1"/>
  <c r="A2352" i="1"/>
  <c r="F2352" i="1"/>
  <c r="G2352" i="1"/>
  <c r="I2352" i="1"/>
  <c r="A2353" i="1"/>
  <c r="F2353" i="1"/>
  <c r="G2353" i="1"/>
  <c r="I2353" i="1"/>
  <c r="A2354" i="1"/>
  <c r="F2354" i="1"/>
  <c r="G2354" i="1"/>
  <c r="I2354" i="1"/>
  <c r="A2355" i="1"/>
  <c r="F2355" i="1"/>
  <c r="G2355" i="1"/>
  <c r="I2355" i="1"/>
  <c r="A2356" i="1"/>
  <c r="F2356" i="1"/>
  <c r="G2356" i="1"/>
  <c r="I2356" i="1"/>
  <c r="A2357" i="1"/>
  <c r="F2357" i="1"/>
  <c r="G2357" i="1"/>
  <c r="I2357" i="1"/>
  <c r="A2358" i="1"/>
  <c r="F2358" i="1"/>
  <c r="G2358" i="1"/>
  <c r="I2358" i="1"/>
  <c r="A2359" i="1"/>
  <c r="F2359" i="1"/>
  <c r="G2359" i="1"/>
  <c r="I2359" i="1"/>
  <c r="A2360" i="1"/>
  <c r="F2360" i="1"/>
  <c r="G2360" i="1"/>
  <c r="I2360" i="1"/>
  <c r="A2361" i="1"/>
  <c r="F2361" i="1"/>
  <c r="G2361" i="1"/>
  <c r="I2361" i="1"/>
  <c r="A2362" i="1"/>
  <c r="F2362" i="1"/>
  <c r="G2362" i="1"/>
  <c r="I2362" i="1"/>
  <c r="A2363" i="1"/>
  <c r="F2363" i="1"/>
  <c r="G2363" i="1"/>
  <c r="I2363" i="1"/>
  <c r="A2364" i="1"/>
  <c r="F2364" i="1"/>
  <c r="G2364" i="1"/>
  <c r="I2364" i="1"/>
  <c r="A2365" i="1"/>
  <c r="F2365" i="1"/>
  <c r="G2365" i="1"/>
  <c r="I2365" i="1"/>
  <c r="A2366" i="1"/>
  <c r="F2366" i="1"/>
  <c r="G2366" i="1"/>
  <c r="I2366" i="1"/>
  <c r="A2367" i="1"/>
  <c r="F2367" i="1"/>
  <c r="G2367" i="1"/>
  <c r="I2367" i="1"/>
  <c r="A2368" i="1"/>
  <c r="F2368" i="1"/>
  <c r="G2368" i="1"/>
  <c r="I2368" i="1"/>
  <c r="A2369" i="1"/>
  <c r="F2369" i="1"/>
  <c r="G2369" i="1"/>
  <c r="I2369" i="1"/>
  <c r="A2370" i="1"/>
  <c r="F2370" i="1"/>
  <c r="G2370" i="1"/>
  <c r="I2370" i="1"/>
  <c r="A2371" i="1"/>
  <c r="F2371" i="1"/>
  <c r="G2371" i="1"/>
  <c r="I2371" i="1"/>
  <c r="A2372" i="1"/>
  <c r="F2372" i="1"/>
  <c r="G2372" i="1"/>
  <c r="I2372" i="1"/>
  <c r="A2373" i="1"/>
  <c r="F2373" i="1"/>
  <c r="G2373" i="1"/>
  <c r="I2373" i="1"/>
  <c r="A2374" i="1"/>
  <c r="F2374" i="1"/>
  <c r="G2374" i="1"/>
  <c r="I2374" i="1"/>
  <c r="A2375" i="1"/>
  <c r="F2375" i="1"/>
  <c r="G2375" i="1"/>
  <c r="I2375" i="1"/>
  <c r="A2376" i="1"/>
  <c r="F2376" i="1"/>
  <c r="G2376" i="1"/>
  <c r="I2376" i="1"/>
  <c r="A2377" i="1"/>
  <c r="F2377" i="1"/>
  <c r="G2377" i="1"/>
  <c r="I2377" i="1"/>
  <c r="A2378" i="1"/>
  <c r="F2378" i="1"/>
  <c r="G2378" i="1"/>
  <c r="I2378" i="1"/>
  <c r="A2379" i="1"/>
  <c r="F2379" i="1"/>
  <c r="G2379" i="1"/>
  <c r="I2379" i="1"/>
  <c r="A2380" i="1"/>
  <c r="F2380" i="1"/>
  <c r="G2380" i="1"/>
  <c r="I2380" i="1"/>
  <c r="A2381" i="1"/>
  <c r="F2381" i="1"/>
  <c r="G2381" i="1"/>
  <c r="I2381" i="1"/>
  <c r="A2382" i="1"/>
  <c r="F2382" i="1"/>
  <c r="G2382" i="1"/>
  <c r="I2382" i="1"/>
  <c r="A2383" i="1"/>
  <c r="F2383" i="1"/>
  <c r="G2383" i="1"/>
  <c r="I2383" i="1"/>
  <c r="A2384" i="1"/>
  <c r="F2384" i="1"/>
  <c r="G2384" i="1"/>
  <c r="I2384" i="1"/>
  <c r="A2385" i="1"/>
  <c r="F2385" i="1"/>
  <c r="G2385" i="1"/>
  <c r="I2385" i="1"/>
  <c r="A2386" i="1"/>
  <c r="F2386" i="1"/>
  <c r="G2386" i="1"/>
  <c r="I2386" i="1"/>
  <c r="A2387" i="1"/>
  <c r="F2387" i="1"/>
  <c r="G2387" i="1"/>
  <c r="I2387" i="1"/>
  <c r="A2388" i="1"/>
  <c r="F2388" i="1"/>
  <c r="G2388" i="1"/>
  <c r="I2388" i="1"/>
  <c r="A2389" i="1"/>
  <c r="F2389" i="1"/>
  <c r="G2389" i="1"/>
  <c r="I2389" i="1"/>
  <c r="A2390" i="1"/>
  <c r="F2390" i="1"/>
  <c r="G2390" i="1"/>
  <c r="I2390" i="1"/>
  <c r="A2391" i="1"/>
  <c r="F2391" i="1"/>
  <c r="G2391" i="1"/>
  <c r="I2391" i="1"/>
  <c r="A2392" i="1"/>
  <c r="F2392" i="1"/>
  <c r="G2392" i="1"/>
  <c r="I2392" i="1"/>
  <c r="A2393" i="1"/>
  <c r="F2393" i="1"/>
  <c r="G2393" i="1"/>
  <c r="I2393" i="1"/>
  <c r="A2394" i="1"/>
  <c r="F2394" i="1"/>
  <c r="G2394" i="1"/>
  <c r="I2394" i="1"/>
  <c r="A2395" i="1"/>
  <c r="F2395" i="1"/>
  <c r="G2395" i="1"/>
  <c r="I2395" i="1"/>
  <c r="A2396" i="1"/>
  <c r="F2396" i="1"/>
  <c r="G2396" i="1"/>
  <c r="I2396" i="1"/>
  <c r="A2397" i="1"/>
  <c r="F2397" i="1"/>
  <c r="G2397" i="1"/>
  <c r="I2397" i="1"/>
  <c r="A2398" i="1"/>
  <c r="F2398" i="1"/>
  <c r="G2398" i="1"/>
  <c r="I2398" i="1"/>
  <c r="A2399" i="1"/>
  <c r="F2399" i="1"/>
  <c r="G2399" i="1"/>
  <c r="I2399" i="1"/>
  <c r="A2400" i="1"/>
  <c r="F2400" i="1"/>
  <c r="G2400" i="1"/>
  <c r="I2400" i="1"/>
  <c r="A2401" i="1"/>
  <c r="F2401" i="1"/>
  <c r="G2401" i="1"/>
  <c r="I2401" i="1"/>
  <c r="A2402" i="1"/>
  <c r="F2402" i="1"/>
  <c r="G2402" i="1"/>
  <c r="I2402" i="1"/>
  <c r="A2403" i="1"/>
  <c r="F2403" i="1"/>
  <c r="G2403" i="1"/>
  <c r="I2403" i="1"/>
  <c r="A2404" i="1"/>
  <c r="F2404" i="1"/>
  <c r="G2404" i="1"/>
  <c r="I2404" i="1"/>
  <c r="A2405" i="1"/>
  <c r="F2405" i="1"/>
  <c r="G2405" i="1"/>
  <c r="I2405" i="1"/>
  <c r="A2406" i="1"/>
  <c r="F2406" i="1"/>
  <c r="G2406" i="1"/>
  <c r="I2406" i="1"/>
  <c r="A2407" i="1"/>
  <c r="F2407" i="1"/>
  <c r="G2407" i="1"/>
  <c r="I2407" i="1"/>
  <c r="A2408" i="1"/>
  <c r="F2408" i="1"/>
  <c r="G2408" i="1"/>
  <c r="I2408" i="1"/>
  <c r="A2409" i="1"/>
  <c r="F2409" i="1"/>
  <c r="G2409" i="1"/>
  <c r="I2409" i="1"/>
  <c r="A2410" i="1"/>
  <c r="F2410" i="1"/>
  <c r="G2410" i="1"/>
  <c r="I2410" i="1"/>
  <c r="A2411" i="1"/>
  <c r="F2411" i="1"/>
  <c r="G2411" i="1"/>
  <c r="I2411" i="1"/>
  <c r="A2412" i="1"/>
  <c r="F2412" i="1"/>
  <c r="G2412" i="1"/>
  <c r="I2412" i="1"/>
  <c r="A2413" i="1"/>
  <c r="F2413" i="1"/>
  <c r="G2413" i="1"/>
  <c r="I2413" i="1"/>
  <c r="A2414" i="1"/>
  <c r="F2414" i="1"/>
  <c r="G2414" i="1"/>
  <c r="I2414" i="1"/>
  <c r="A2415" i="1"/>
  <c r="F2415" i="1"/>
  <c r="G2415" i="1"/>
  <c r="I2415" i="1"/>
  <c r="A2416" i="1"/>
  <c r="F2416" i="1"/>
  <c r="G2416" i="1"/>
  <c r="I2416" i="1"/>
  <c r="A2417" i="1"/>
  <c r="F2417" i="1"/>
  <c r="G2417" i="1"/>
  <c r="I2417" i="1"/>
  <c r="A2418" i="1"/>
  <c r="F2418" i="1"/>
  <c r="G2418" i="1"/>
  <c r="I2418" i="1"/>
  <c r="A2419" i="1"/>
  <c r="F2419" i="1"/>
  <c r="G2419" i="1"/>
  <c r="I2419" i="1"/>
  <c r="A2420" i="1"/>
  <c r="F2420" i="1"/>
  <c r="G2420" i="1"/>
  <c r="I2420" i="1"/>
  <c r="A2421" i="1"/>
  <c r="F2421" i="1"/>
  <c r="G2421" i="1"/>
  <c r="I2421" i="1"/>
  <c r="A2422" i="1"/>
  <c r="F2422" i="1"/>
  <c r="G2422" i="1"/>
  <c r="I2422" i="1"/>
  <c r="A2423" i="1"/>
  <c r="F2423" i="1"/>
  <c r="G2423" i="1"/>
  <c r="I2423" i="1"/>
  <c r="A2424" i="1"/>
  <c r="F2424" i="1"/>
  <c r="G2424" i="1"/>
  <c r="I2424" i="1"/>
  <c r="A2425" i="1"/>
  <c r="F2425" i="1"/>
  <c r="G2425" i="1"/>
  <c r="I2425" i="1"/>
  <c r="A2426" i="1"/>
  <c r="F2426" i="1"/>
  <c r="G2426" i="1"/>
  <c r="I2426" i="1"/>
  <c r="A2427" i="1"/>
  <c r="F2427" i="1"/>
  <c r="G2427" i="1"/>
  <c r="I2427" i="1"/>
  <c r="A2428" i="1"/>
  <c r="F2428" i="1"/>
  <c r="G2428" i="1"/>
  <c r="I2428" i="1"/>
  <c r="A2429" i="1"/>
  <c r="F2429" i="1"/>
  <c r="G2429" i="1"/>
  <c r="I2429" i="1"/>
  <c r="A2430" i="1"/>
  <c r="F2430" i="1"/>
  <c r="G2430" i="1"/>
  <c r="I2430" i="1"/>
  <c r="A2431" i="1"/>
  <c r="F2431" i="1"/>
  <c r="G2431" i="1"/>
  <c r="I2431" i="1"/>
  <c r="A2432" i="1"/>
  <c r="F2432" i="1"/>
  <c r="G2432" i="1"/>
  <c r="I2432" i="1"/>
  <c r="A2433" i="1"/>
  <c r="F2433" i="1"/>
  <c r="G2433" i="1"/>
  <c r="I2433" i="1"/>
  <c r="A2434" i="1"/>
  <c r="F2434" i="1"/>
  <c r="G2434" i="1"/>
  <c r="I2434" i="1"/>
  <c r="A2435" i="1"/>
  <c r="F2435" i="1"/>
  <c r="G2435" i="1"/>
  <c r="I2435" i="1"/>
  <c r="A2436" i="1"/>
  <c r="F2436" i="1"/>
  <c r="G2436" i="1"/>
  <c r="I2436" i="1"/>
  <c r="A2437" i="1"/>
  <c r="F2437" i="1"/>
  <c r="G2437" i="1"/>
  <c r="I2437" i="1"/>
  <c r="A2438" i="1"/>
  <c r="F2438" i="1"/>
  <c r="G2438" i="1"/>
  <c r="I2438" i="1"/>
  <c r="A2439" i="1"/>
  <c r="F2439" i="1"/>
  <c r="G2439" i="1"/>
  <c r="I2439" i="1"/>
  <c r="A2440" i="1"/>
  <c r="F2440" i="1"/>
  <c r="G2440" i="1"/>
  <c r="I2440" i="1"/>
  <c r="A2441" i="1"/>
  <c r="F2441" i="1"/>
  <c r="G2441" i="1"/>
  <c r="I2441" i="1"/>
  <c r="A2442" i="1"/>
  <c r="F2442" i="1"/>
  <c r="G2442" i="1"/>
  <c r="I2442" i="1"/>
  <c r="A2443" i="1"/>
  <c r="F2443" i="1"/>
  <c r="G2443" i="1"/>
  <c r="I2443" i="1"/>
  <c r="A2444" i="1"/>
  <c r="F2444" i="1"/>
  <c r="G2444" i="1"/>
  <c r="I2444" i="1"/>
  <c r="A2445" i="1"/>
  <c r="F2445" i="1"/>
  <c r="G2445" i="1"/>
  <c r="I2445" i="1"/>
  <c r="A2446" i="1"/>
  <c r="F2446" i="1"/>
  <c r="G2446" i="1"/>
  <c r="I2446" i="1"/>
  <c r="A2447" i="1"/>
  <c r="F2447" i="1"/>
  <c r="G2447" i="1"/>
  <c r="I2447" i="1"/>
  <c r="A2448" i="1"/>
  <c r="F2448" i="1"/>
  <c r="G2448" i="1"/>
  <c r="I2448" i="1"/>
  <c r="A2449" i="1"/>
  <c r="F2449" i="1"/>
  <c r="G2449" i="1"/>
  <c r="I2449" i="1"/>
  <c r="A2450" i="1"/>
  <c r="F2450" i="1"/>
  <c r="G2450" i="1"/>
  <c r="I2450" i="1"/>
  <c r="A2451" i="1"/>
  <c r="F2451" i="1"/>
  <c r="G2451" i="1"/>
  <c r="I2451" i="1"/>
  <c r="A2452" i="1"/>
  <c r="F2452" i="1"/>
  <c r="G2452" i="1"/>
  <c r="I2452" i="1"/>
  <c r="A2453" i="1"/>
  <c r="F2453" i="1"/>
  <c r="G2453" i="1"/>
  <c r="I2453" i="1"/>
  <c r="A2454" i="1"/>
  <c r="F2454" i="1"/>
  <c r="G2454" i="1"/>
  <c r="I2454" i="1"/>
  <c r="A2455" i="1"/>
  <c r="F2455" i="1"/>
  <c r="G2455" i="1"/>
  <c r="I2455" i="1"/>
  <c r="A2456" i="1"/>
  <c r="F2456" i="1"/>
  <c r="G2456" i="1"/>
  <c r="I2456" i="1"/>
  <c r="A2457" i="1"/>
  <c r="F2457" i="1"/>
  <c r="G2457" i="1"/>
  <c r="I2457" i="1"/>
  <c r="A2458" i="1"/>
  <c r="F2458" i="1"/>
  <c r="G2458" i="1"/>
  <c r="I2458" i="1"/>
  <c r="A2459" i="1"/>
  <c r="F2459" i="1"/>
  <c r="G2459" i="1"/>
  <c r="I2459" i="1"/>
  <c r="A2460" i="1"/>
  <c r="F2460" i="1"/>
  <c r="G2460" i="1"/>
  <c r="I2460" i="1"/>
  <c r="A2461" i="1"/>
  <c r="F2461" i="1"/>
  <c r="G2461" i="1"/>
  <c r="I2461" i="1"/>
  <c r="A2462" i="1"/>
  <c r="F2462" i="1"/>
  <c r="G2462" i="1"/>
  <c r="I2462" i="1"/>
  <c r="A2463" i="1"/>
  <c r="F2463" i="1"/>
  <c r="G2463" i="1"/>
  <c r="I2463" i="1"/>
  <c r="A2464" i="1"/>
  <c r="F2464" i="1"/>
  <c r="G2464" i="1"/>
  <c r="I2464" i="1"/>
  <c r="A2465" i="1"/>
  <c r="F2465" i="1"/>
  <c r="G2465" i="1"/>
  <c r="I2465" i="1"/>
  <c r="A2466" i="1"/>
  <c r="F2466" i="1"/>
  <c r="G2466" i="1"/>
  <c r="I2466" i="1"/>
  <c r="A2467" i="1"/>
  <c r="F2467" i="1"/>
  <c r="G2467" i="1"/>
  <c r="I2467" i="1"/>
  <c r="A2468" i="1"/>
  <c r="F2468" i="1"/>
  <c r="G2468" i="1"/>
  <c r="I2468" i="1"/>
  <c r="A2469" i="1"/>
  <c r="F2469" i="1"/>
  <c r="G2469" i="1"/>
  <c r="I2469" i="1"/>
  <c r="A2470" i="1"/>
  <c r="F2470" i="1"/>
  <c r="G2470" i="1"/>
  <c r="I2470" i="1"/>
  <c r="A2471" i="1"/>
  <c r="F2471" i="1"/>
  <c r="G2471" i="1"/>
  <c r="I2471" i="1"/>
  <c r="A2472" i="1"/>
  <c r="F2472" i="1"/>
  <c r="G2472" i="1"/>
  <c r="I2472" i="1"/>
  <c r="A2473" i="1"/>
  <c r="F2473" i="1"/>
  <c r="G2473" i="1"/>
  <c r="I2473" i="1"/>
  <c r="A2474" i="1"/>
  <c r="F2474" i="1"/>
  <c r="G2474" i="1"/>
  <c r="I2474" i="1"/>
  <c r="A2475" i="1"/>
  <c r="F2475" i="1"/>
  <c r="G2475" i="1"/>
  <c r="I2475" i="1"/>
  <c r="A2476" i="1"/>
  <c r="F2476" i="1"/>
  <c r="G2476" i="1"/>
  <c r="I2476" i="1"/>
  <c r="A2477" i="1"/>
  <c r="F2477" i="1"/>
  <c r="G2477" i="1"/>
  <c r="I2477" i="1"/>
  <c r="A2478" i="1"/>
  <c r="F2478" i="1"/>
  <c r="G2478" i="1"/>
  <c r="I2478" i="1"/>
  <c r="A2479" i="1"/>
  <c r="F2479" i="1"/>
  <c r="G2479" i="1"/>
  <c r="I2479" i="1"/>
  <c r="A2480" i="1"/>
  <c r="F2480" i="1"/>
  <c r="G2480" i="1"/>
  <c r="I2480" i="1"/>
  <c r="A2481" i="1"/>
  <c r="F2481" i="1"/>
  <c r="G2481" i="1"/>
  <c r="I2481" i="1"/>
  <c r="A2482" i="1"/>
  <c r="F2482" i="1"/>
  <c r="G2482" i="1"/>
  <c r="I2482" i="1"/>
  <c r="A2483" i="1"/>
  <c r="F2483" i="1"/>
  <c r="G2483" i="1"/>
  <c r="I2483" i="1"/>
  <c r="A2484" i="1"/>
  <c r="F2484" i="1"/>
  <c r="G2484" i="1"/>
  <c r="I2484" i="1"/>
  <c r="A2485" i="1"/>
  <c r="F2485" i="1"/>
  <c r="G2485" i="1"/>
  <c r="I2485" i="1"/>
  <c r="A2486" i="1"/>
  <c r="F2486" i="1"/>
  <c r="G2486" i="1"/>
  <c r="I2486" i="1"/>
  <c r="A2487" i="1"/>
  <c r="F2487" i="1"/>
  <c r="G2487" i="1"/>
  <c r="I2487" i="1"/>
  <c r="A2488" i="1"/>
  <c r="F2488" i="1"/>
  <c r="G2488" i="1"/>
  <c r="I2488" i="1"/>
  <c r="A2489" i="1"/>
  <c r="F2489" i="1"/>
  <c r="G2489" i="1"/>
  <c r="I2489" i="1"/>
  <c r="A2490" i="1"/>
  <c r="F2490" i="1"/>
  <c r="G2490" i="1"/>
  <c r="I2490" i="1"/>
  <c r="A2491" i="1"/>
  <c r="F2491" i="1"/>
  <c r="G2491" i="1"/>
  <c r="I2491" i="1"/>
  <c r="A2492" i="1"/>
  <c r="F2492" i="1"/>
  <c r="G2492" i="1"/>
  <c r="I2492" i="1"/>
  <c r="A2493" i="1"/>
  <c r="F2493" i="1"/>
  <c r="G2493" i="1"/>
  <c r="I2493" i="1"/>
  <c r="A2494" i="1"/>
  <c r="F2494" i="1"/>
  <c r="G2494" i="1"/>
  <c r="I2494" i="1"/>
  <c r="A2495" i="1"/>
  <c r="F2495" i="1"/>
  <c r="G2495" i="1"/>
  <c r="I2495" i="1"/>
  <c r="A2496" i="1"/>
  <c r="F2496" i="1"/>
  <c r="G2496" i="1"/>
  <c r="I2496" i="1"/>
  <c r="A2497" i="1"/>
  <c r="F2497" i="1"/>
  <c r="G2497" i="1"/>
  <c r="I2497" i="1"/>
  <c r="A2498" i="1"/>
  <c r="F2498" i="1"/>
  <c r="G2498" i="1"/>
  <c r="I2498" i="1"/>
  <c r="A2499" i="1"/>
  <c r="F2499" i="1"/>
  <c r="G2499" i="1"/>
  <c r="I2499" i="1"/>
  <c r="A2500" i="1"/>
  <c r="F2500" i="1"/>
  <c r="G2500" i="1"/>
  <c r="I2500" i="1"/>
  <c r="A2501" i="1"/>
  <c r="F2501" i="1"/>
  <c r="G2501" i="1"/>
  <c r="I2501" i="1"/>
  <c r="A2502" i="1"/>
  <c r="F2502" i="1"/>
  <c r="G2502" i="1"/>
  <c r="I2502" i="1"/>
  <c r="A2503" i="1"/>
  <c r="F2503" i="1"/>
  <c r="G2503" i="1"/>
  <c r="I2503" i="1"/>
  <c r="A2504" i="1"/>
  <c r="F2504" i="1"/>
  <c r="G2504" i="1"/>
  <c r="I2504" i="1"/>
  <c r="A2505" i="1"/>
  <c r="F2505" i="1"/>
  <c r="G2505" i="1"/>
  <c r="I2505" i="1"/>
  <c r="A2506" i="1"/>
  <c r="F2506" i="1"/>
  <c r="G2506" i="1"/>
  <c r="I2506" i="1"/>
  <c r="A2507" i="1"/>
  <c r="F2507" i="1"/>
  <c r="G2507" i="1"/>
  <c r="I2507" i="1"/>
  <c r="A2508" i="1"/>
  <c r="F2508" i="1"/>
  <c r="G2508" i="1"/>
  <c r="I2508" i="1"/>
  <c r="A2509" i="1"/>
  <c r="F2509" i="1"/>
  <c r="G2509" i="1"/>
  <c r="I2509" i="1"/>
  <c r="A2510" i="1"/>
  <c r="F2510" i="1"/>
  <c r="G2510" i="1"/>
  <c r="I2510" i="1"/>
  <c r="A2511" i="1"/>
  <c r="F2511" i="1"/>
  <c r="G2511" i="1"/>
  <c r="I2511" i="1"/>
  <c r="A2512" i="1"/>
  <c r="F2512" i="1"/>
  <c r="G2512" i="1"/>
  <c r="I2512" i="1"/>
  <c r="A2513" i="1"/>
  <c r="F2513" i="1"/>
  <c r="G2513" i="1"/>
  <c r="I2513" i="1"/>
  <c r="A2514" i="1"/>
  <c r="F2514" i="1"/>
  <c r="G2514" i="1"/>
  <c r="I2514" i="1"/>
  <c r="A2515" i="1"/>
  <c r="F2515" i="1"/>
  <c r="G2515" i="1"/>
  <c r="I2515" i="1"/>
  <c r="A2516" i="1"/>
  <c r="F2516" i="1"/>
  <c r="G2516" i="1"/>
  <c r="I2516" i="1"/>
  <c r="A2517" i="1"/>
  <c r="F2517" i="1"/>
  <c r="G2517" i="1"/>
  <c r="I2517" i="1"/>
  <c r="A2518" i="1"/>
  <c r="F2518" i="1"/>
  <c r="G2518" i="1"/>
  <c r="I2518" i="1"/>
  <c r="A2519" i="1"/>
  <c r="F2519" i="1"/>
  <c r="G2519" i="1"/>
  <c r="I2519" i="1"/>
  <c r="A2520" i="1"/>
  <c r="F2520" i="1"/>
  <c r="G2520" i="1"/>
  <c r="I2520" i="1"/>
  <c r="A2521" i="1"/>
  <c r="F2521" i="1"/>
  <c r="G2521" i="1"/>
  <c r="I2521" i="1"/>
  <c r="A2522" i="1"/>
  <c r="F2522" i="1"/>
  <c r="G2522" i="1"/>
  <c r="I2522" i="1"/>
  <c r="A2523" i="1"/>
  <c r="F2523" i="1"/>
  <c r="G2523" i="1"/>
  <c r="I2523" i="1"/>
  <c r="A2524" i="1"/>
  <c r="F2524" i="1"/>
  <c r="G2524" i="1"/>
  <c r="I2524" i="1"/>
  <c r="A2525" i="1"/>
  <c r="F2525" i="1"/>
  <c r="G2525" i="1"/>
  <c r="I2525" i="1"/>
  <c r="A2526" i="1"/>
  <c r="F2526" i="1"/>
  <c r="G2526" i="1"/>
  <c r="I2526" i="1"/>
  <c r="A2527" i="1"/>
  <c r="F2527" i="1"/>
  <c r="G2527" i="1"/>
  <c r="I2527" i="1"/>
  <c r="A2528" i="1"/>
  <c r="F2528" i="1"/>
  <c r="G2528" i="1"/>
  <c r="I2528" i="1"/>
  <c r="A2529" i="1"/>
  <c r="F2529" i="1"/>
  <c r="G2529" i="1"/>
  <c r="I2529" i="1"/>
  <c r="A2530" i="1"/>
  <c r="F2530" i="1"/>
  <c r="G2530" i="1"/>
  <c r="I2530" i="1"/>
  <c r="A2531" i="1"/>
  <c r="F2531" i="1"/>
  <c r="G2531" i="1"/>
  <c r="I2531" i="1"/>
  <c r="A2532" i="1"/>
  <c r="F2532" i="1"/>
  <c r="G2532" i="1"/>
  <c r="I2532" i="1"/>
  <c r="A2533" i="1"/>
  <c r="F2533" i="1"/>
  <c r="G2533" i="1"/>
  <c r="I2533" i="1"/>
  <c r="A2534" i="1"/>
  <c r="F2534" i="1"/>
  <c r="G2534" i="1"/>
  <c r="I2534" i="1"/>
  <c r="A2535" i="1"/>
  <c r="F2535" i="1"/>
  <c r="G2535" i="1"/>
  <c r="I2535" i="1"/>
  <c r="A2536" i="1"/>
  <c r="F2536" i="1"/>
  <c r="G2536" i="1"/>
  <c r="I2536" i="1"/>
  <c r="A2537" i="1"/>
  <c r="F2537" i="1"/>
  <c r="G2537" i="1"/>
  <c r="I2537" i="1"/>
  <c r="A2538" i="1"/>
  <c r="F2538" i="1"/>
  <c r="G2538" i="1"/>
  <c r="I2538" i="1"/>
  <c r="A2539" i="1"/>
  <c r="F2539" i="1"/>
  <c r="G2539" i="1"/>
  <c r="I2539" i="1"/>
  <c r="A2540" i="1"/>
  <c r="F2540" i="1"/>
  <c r="G2540" i="1"/>
  <c r="I2540" i="1"/>
  <c r="A2541" i="1"/>
  <c r="F2541" i="1"/>
  <c r="G2541" i="1"/>
  <c r="I2541" i="1"/>
  <c r="A2542" i="1"/>
  <c r="F2542" i="1"/>
  <c r="G2542" i="1"/>
  <c r="I2542" i="1"/>
  <c r="A2543" i="1"/>
  <c r="F2543" i="1"/>
  <c r="G2543" i="1"/>
  <c r="I2543" i="1"/>
  <c r="A2544" i="1"/>
  <c r="F2544" i="1"/>
  <c r="G2544" i="1"/>
  <c r="I2544" i="1"/>
  <c r="A2545" i="1"/>
  <c r="F2545" i="1"/>
  <c r="G2545" i="1"/>
  <c r="I2545" i="1"/>
  <c r="A2546" i="1"/>
  <c r="F2546" i="1"/>
  <c r="G2546" i="1"/>
  <c r="I2546" i="1"/>
  <c r="A2547" i="1"/>
  <c r="F2547" i="1"/>
  <c r="G2547" i="1"/>
  <c r="I2547" i="1"/>
  <c r="A2548" i="1"/>
  <c r="F2548" i="1"/>
  <c r="G2548" i="1"/>
  <c r="I2548" i="1"/>
  <c r="A2549" i="1"/>
  <c r="F2549" i="1"/>
  <c r="G2549" i="1"/>
  <c r="I2549" i="1"/>
  <c r="A2550" i="1"/>
  <c r="F2550" i="1"/>
  <c r="G2550" i="1"/>
  <c r="I2550" i="1"/>
  <c r="A2551" i="1"/>
  <c r="F2551" i="1"/>
  <c r="G2551" i="1"/>
  <c r="I2551" i="1"/>
  <c r="A2552" i="1"/>
  <c r="F2552" i="1"/>
  <c r="G2552" i="1"/>
  <c r="I2552" i="1"/>
  <c r="A2553" i="1"/>
  <c r="F2553" i="1"/>
  <c r="G2553" i="1"/>
  <c r="I2553" i="1"/>
  <c r="A2554" i="1"/>
  <c r="F2554" i="1"/>
  <c r="G2554" i="1"/>
  <c r="I2554" i="1"/>
  <c r="A2555" i="1"/>
  <c r="F2555" i="1"/>
  <c r="G2555" i="1"/>
  <c r="I2555" i="1"/>
  <c r="A2556" i="1"/>
  <c r="F2556" i="1"/>
  <c r="G2556" i="1"/>
  <c r="I2556" i="1"/>
  <c r="A2557" i="1"/>
  <c r="F2557" i="1"/>
  <c r="G2557" i="1"/>
  <c r="I2557" i="1"/>
  <c r="A2558" i="1"/>
  <c r="F2558" i="1"/>
  <c r="G2558" i="1"/>
  <c r="I2558" i="1"/>
  <c r="A2559" i="1"/>
  <c r="F2559" i="1"/>
  <c r="G2559" i="1"/>
  <c r="I2559" i="1"/>
  <c r="A2560" i="1"/>
  <c r="F2560" i="1"/>
  <c r="G2560" i="1"/>
  <c r="I2560" i="1"/>
  <c r="A2561" i="1"/>
  <c r="F2561" i="1"/>
  <c r="G2561" i="1"/>
  <c r="I2561" i="1"/>
  <c r="A2562" i="1"/>
  <c r="F2562" i="1"/>
  <c r="G2562" i="1"/>
  <c r="I2562" i="1"/>
  <c r="A2563" i="1"/>
  <c r="F2563" i="1"/>
  <c r="G2563" i="1"/>
  <c r="I2563" i="1"/>
  <c r="A2564" i="1"/>
  <c r="F2564" i="1"/>
  <c r="G2564" i="1"/>
  <c r="I2564" i="1"/>
  <c r="A2565" i="1"/>
  <c r="F2565" i="1"/>
  <c r="G2565" i="1"/>
  <c r="I2565" i="1"/>
  <c r="A2566" i="1"/>
  <c r="F2566" i="1"/>
  <c r="G2566" i="1"/>
  <c r="I2566" i="1"/>
  <c r="A2567" i="1"/>
  <c r="F2567" i="1"/>
  <c r="G2567" i="1"/>
  <c r="I2567" i="1"/>
  <c r="A2568" i="1"/>
  <c r="F2568" i="1"/>
  <c r="G2568" i="1"/>
  <c r="I2568" i="1"/>
  <c r="A2569" i="1"/>
  <c r="F2569" i="1"/>
  <c r="G2569" i="1"/>
  <c r="I2569" i="1"/>
  <c r="A2570" i="1"/>
  <c r="F2570" i="1"/>
  <c r="G2570" i="1"/>
  <c r="I2570" i="1"/>
  <c r="A2571" i="1"/>
  <c r="F2571" i="1"/>
  <c r="G2571" i="1"/>
  <c r="I2571" i="1"/>
  <c r="A2572" i="1"/>
  <c r="F2572" i="1"/>
  <c r="G2572" i="1"/>
  <c r="I2572" i="1"/>
  <c r="A2573" i="1"/>
  <c r="F2573" i="1"/>
  <c r="G2573" i="1"/>
  <c r="I2573" i="1"/>
  <c r="A2574" i="1"/>
  <c r="F2574" i="1"/>
  <c r="G2574" i="1"/>
  <c r="I2574" i="1"/>
  <c r="A2575" i="1"/>
  <c r="F2575" i="1"/>
  <c r="G2575" i="1"/>
  <c r="I2575" i="1"/>
  <c r="A2576" i="1"/>
  <c r="F2576" i="1"/>
  <c r="G2576" i="1"/>
  <c r="I2576" i="1"/>
  <c r="A2577" i="1"/>
  <c r="F2577" i="1"/>
  <c r="G2577" i="1"/>
  <c r="I2577" i="1"/>
  <c r="A2578" i="1"/>
  <c r="F2578" i="1"/>
  <c r="G2578" i="1"/>
  <c r="I2578" i="1"/>
  <c r="A2579" i="1"/>
  <c r="F2579" i="1"/>
  <c r="G2579" i="1"/>
  <c r="I2579" i="1"/>
  <c r="A2580" i="1"/>
  <c r="F2580" i="1"/>
  <c r="G2580" i="1"/>
  <c r="I2580" i="1"/>
  <c r="A2581" i="1"/>
  <c r="F2581" i="1"/>
  <c r="G2581" i="1"/>
  <c r="I2581" i="1"/>
  <c r="A2582" i="1"/>
  <c r="F2582" i="1"/>
  <c r="G2582" i="1"/>
  <c r="I2582" i="1"/>
  <c r="A2583" i="1"/>
  <c r="F2583" i="1"/>
  <c r="G2583" i="1"/>
  <c r="I2583" i="1"/>
  <c r="A2584" i="1"/>
  <c r="F2584" i="1"/>
  <c r="G2584" i="1"/>
  <c r="I2584" i="1"/>
  <c r="A2585" i="1"/>
  <c r="F2585" i="1"/>
  <c r="G2585" i="1"/>
  <c r="I2585" i="1"/>
  <c r="A2586" i="1"/>
  <c r="F2586" i="1"/>
  <c r="G2586" i="1"/>
  <c r="I2586" i="1"/>
  <c r="A2587" i="1"/>
  <c r="F2587" i="1"/>
  <c r="G2587" i="1"/>
  <c r="I2587" i="1"/>
  <c r="A2588" i="1"/>
  <c r="F2588" i="1"/>
  <c r="G2588" i="1"/>
  <c r="I2588" i="1"/>
  <c r="A2589" i="1"/>
  <c r="F2589" i="1"/>
  <c r="G2589" i="1"/>
  <c r="I2589" i="1"/>
  <c r="A2590" i="1"/>
  <c r="F2590" i="1"/>
  <c r="G2590" i="1"/>
  <c r="I2590" i="1"/>
  <c r="A2591" i="1"/>
  <c r="F2591" i="1"/>
  <c r="G2591" i="1"/>
  <c r="I2591" i="1"/>
  <c r="A2592" i="1"/>
  <c r="F2592" i="1"/>
  <c r="G2592" i="1"/>
  <c r="I2592" i="1"/>
  <c r="A2593" i="1"/>
  <c r="F2593" i="1"/>
  <c r="G2593" i="1"/>
  <c r="I2593" i="1"/>
  <c r="A2594" i="1"/>
  <c r="F2594" i="1"/>
  <c r="G2594" i="1"/>
  <c r="I2594" i="1"/>
  <c r="A2595" i="1"/>
  <c r="F2595" i="1"/>
  <c r="G2595" i="1"/>
  <c r="I2595" i="1"/>
  <c r="A2596" i="1"/>
  <c r="F2596" i="1"/>
  <c r="G2596" i="1"/>
  <c r="I2596" i="1"/>
  <c r="A2597" i="1"/>
  <c r="F2597" i="1"/>
  <c r="G2597" i="1"/>
  <c r="I2597" i="1"/>
  <c r="A2598" i="1"/>
  <c r="F2598" i="1"/>
  <c r="G2598" i="1"/>
  <c r="I2598" i="1"/>
  <c r="A2599" i="1"/>
  <c r="F2599" i="1"/>
  <c r="G2599" i="1"/>
  <c r="I2599" i="1"/>
  <c r="A2600" i="1"/>
  <c r="F2600" i="1"/>
  <c r="G2600" i="1"/>
  <c r="I2600" i="1"/>
  <c r="A2601" i="1"/>
  <c r="F2601" i="1"/>
  <c r="G2601" i="1"/>
  <c r="I2601" i="1"/>
  <c r="A2602" i="1"/>
  <c r="F2602" i="1"/>
  <c r="G2602" i="1"/>
  <c r="I2602" i="1"/>
  <c r="A2603" i="1"/>
  <c r="F2603" i="1"/>
  <c r="G2603" i="1"/>
  <c r="I2603" i="1"/>
  <c r="A2604" i="1"/>
  <c r="F2604" i="1"/>
  <c r="G2604" i="1"/>
  <c r="I2604" i="1"/>
  <c r="A2605" i="1"/>
  <c r="F2605" i="1"/>
  <c r="G2605" i="1"/>
  <c r="I2605" i="1"/>
  <c r="A2606" i="1"/>
  <c r="F2606" i="1"/>
  <c r="G2606" i="1"/>
  <c r="I2606" i="1"/>
  <c r="A2607" i="1"/>
  <c r="F2607" i="1"/>
  <c r="G2607" i="1"/>
  <c r="I2607" i="1"/>
  <c r="A2608" i="1"/>
  <c r="F2608" i="1"/>
  <c r="G2608" i="1"/>
  <c r="I2608" i="1"/>
  <c r="A2609" i="1"/>
  <c r="F2609" i="1"/>
  <c r="G2609" i="1"/>
  <c r="I2609" i="1"/>
  <c r="A2610" i="1"/>
  <c r="F2610" i="1"/>
  <c r="G2610" i="1"/>
  <c r="I2610" i="1"/>
  <c r="A2611" i="1"/>
  <c r="F2611" i="1"/>
  <c r="G2611" i="1"/>
  <c r="I2611" i="1"/>
  <c r="A2612" i="1"/>
  <c r="F2612" i="1"/>
  <c r="G2612" i="1"/>
  <c r="I2612" i="1"/>
  <c r="A2613" i="1"/>
  <c r="F2613" i="1"/>
  <c r="G2613" i="1"/>
  <c r="I2613" i="1"/>
  <c r="A2614" i="1"/>
  <c r="F2614" i="1"/>
  <c r="G2614" i="1"/>
  <c r="I2614" i="1"/>
  <c r="A2615" i="1"/>
  <c r="F2615" i="1"/>
  <c r="G2615" i="1"/>
  <c r="I2615" i="1"/>
  <c r="A2616" i="1"/>
  <c r="F2616" i="1"/>
  <c r="G2616" i="1"/>
  <c r="I2616" i="1"/>
  <c r="A2617" i="1"/>
  <c r="F2617" i="1"/>
  <c r="G2617" i="1"/>
  <c r="I2617" i="1"/>
  <c r="A2618" i="1"/>
  <c r="F2618" i="1"/>
  <c r="G2618" i="1"/>
  <c r="I2618" i="1"/>
  <c r="A2619" i="1"/>
  <c r="F2619" i="1"/>
  <c r="G2619" i="1"/>
  <c r="I2619" i="1"/>
  <c r="A2620" i="1"/>
  <c r="F2620" i="1"/>
  <c r="G2620" i="1"/>
  <c r="I2620" i="1"/>
  <c r="A2621" i="1"/>
  <c r="F2621" i="1"/>
  <c r="G2621" i="1"/>
  <c r="I2621" i="1"/>
  <c r="A2622" i="1"/>
  <c r="F2622" i="1"/>
  <c r="G2622" i="1"/>
  <c r="I2622" i="1"/>
  <c r="A2623" i="1"/>
  <c r="F2623" i="1"/>
  <c r="G2623" i="1"/>
  <c r="I2623" i="1"/>
  <c r="A2624" i="1"/>
  <c r="F2624" i="1"/>
  <c r="G2624" i="1"/>
  <c r="I2624" i="1"/>
  <c r="A2625" i="1"/>
  <c r="F2625" i="1"/>
  <c r="G2625" i="1"/>
  <c r="I2625" i="1"/>
  <c r="A2626" i="1"/>
  <c r="F2626" i="1"/>
  <c r="G2626" i="1"/>
  <c r="I2626" i="1"/>
  <c r="A2627" i="1"/>
  <c r="F2627" i="1"/>
  <c r="G2627" i="1"/>
  <c r="I2627" i="1"/>
  <c r="A2628" i="1"/>
  <c r="F2628" i="1"/>
  <c r="G2628" i="1"/>
  <c r="I2628" i="1"/>
  <c r="A2629" i="1"/>
  <c r="F2629" i="1"/>
  <c r="G2629" i="1"/>
  <c r="I2629" i="1"/>
  <c r="A2630" i="1"/>
  <c r="F2630" i="1"/>
  <c r="G2630" i="1"/>
  <c r="I2630" i="1"/>
  <c r="A2631" i="1"/>
  <c r="F2631" i="1"/>
  <c r="G2631" i="1"/>
  <c r="I2631" i="1"/>
  <c r="A2632" i="1"/>
  <c r="F2632" i="1"/>
  <c r="G2632" i="1"/>
  <c r="I2632" i="1"/>
  <c r="A2633" i="1"/>
  <c r="F2633" i="1"/>
  <c r="G2633" i="1"/>
  <c r="I2633" i="1"/>
  <c r="A2634" i="1"/>
  <c r="F2634" i="1"/>
  <c r="G2634" i="1"/>
  <c r="I2634" i="1"/>
  <c r="A2635" i="1"/>
  <c r="F2635" i="1"/>
  <c r="G2635" i="1"/>
  <c r="I2635" i="1"/>
  <c r="A2636" i="1"/>
  <c r="F2636" i="1"/>
  <c r="G2636" i="1"/>
  <c r="I2636" i="1"/>
  <c r="A2637" i="1"/>
  <c r="F2637" i="1"/>
  <c r="G2637" i="1"/>
  <c r="I2637" i="1"/>
  <c r="A2638" i="1"/>
  <c r="F2638" i="1"/>
  <c r="G2638" i="1"/>
  <c r="I2638" i="1"/>
  <c r="A2639" i="1"/>
  <c r="F2639" i="1"/>
  <c r="G2639" i="1"/>
  <c r="I2639" i="1"/>
  <c r="A2640" i="1"/>
  <c r="F2640" i="1"/>
  <c r="G2640" i="1"/>
  <c r="I2640" i="1"/>
  <c r="A2641" i="1"/>
  <c r="F2641" i="1"/>
  <c r="G2641" i="1"/>
  <c r="I2641" i="1"/>
  <c r="A2642" i="1"/>
  <c r="F2642" i="1"/>
  <c r="G2642" i="1"/>
  <c r="I2642" i="1"/>
  <c r="A2643" i="1"/>
  <c r="F2643" i="1"/>
  <c r="G2643" i="1"/>
  <c r="I2643" i="1"/>
  <c r="A2644" i="1"/>
  <c r="F2644" i="1"/>
  <c r="G2644" i="1"/>
  <c r="I2644" i="1"/>
  <c r="A2645" i="1"/>
  <c r="F2645" i="1"/>
  <c r="G2645" i="1"/>
  <c r="I2645" i="1"/>
  <c r="A2646" i="1"/>
  <c r="F2646" i="1"/>
  <c r="G2646" i="1"/>
  <c r="I2646" i="1"/>
  <c r="A2647" i="1"/>
  <c r="F2647" i="1"/>
  <c r="G2647" i="1"/>
  <c r="I2647" i="1"/>
  <c r="A2648" i="1"/>
  <c r="F2648" i="1"/>
  <c r="G2648" i="1"/>
  <c r="I2648" i="1"/>
  <c r="A2649" i="1"/>
  <c r="F2649" i="1"/>
  <c r="G2649" i="1"/>
  <c r="I2649" i="1"/>
  <c r="A2650" i="1"/>
  <c r="F2650" i="1"/>
  <c r="G2650" i="1"/>
  <c r="I2650" i="1"/>
  <c r="A2651" i="1"/>
  <c r="F2651" i="1"/>
  <c r="G2651" i="1"/>
  <c r="I2651" i="1"/>
  <c r="A2652" i="1"/>
  <c r="F2652" i="1"/>
  <c r="G2652" i="1"/>
  <c r="I2652" i="1"/>
  <c r="A2653" i="1"/>
  <c r="F2653" i="1"/>
  <c r="G2653" i="1"/>
  <c r="I2653" i="1"/>
  <c r="A2654" i="1"/>
  <c r="F2654" i="1"/>
  <c r="G2654" i="1"/>
  <c r="I2654" i="1"/>
  <c r="A2655" i="1"/>
  <c r="F2655" i="1"/>
  <c r="G2655" i="1"/>
  <c r="I2655" i="1"/>
  <c r="A2656" i="1"/>
  <c r="F2656" i="1"/>
  <c r="G2656" i="1"/>
  <c r="I2656" i="1"/>
  <c r="A2657" i="1"/>
  <c r="F2657" i="1"/>
  <c r="G2657" i="1"/>
  <c r="I2657" i="1"/>
  <c r="A2658" i="1"/>
  <c r="F2658" i="1"/>
  <c r="G2658" i="1"/>
  <c r="I2658" i="1"/>
  <c r="A2659" i="1"/>
  <c r="F2659" i="1"/>
  <c r="G2659" i="1"/>
  <c r="I2659" i="1"/>
  <c r="A2660" i="1"/>
  <c r="F2660" i="1"/>
  <c r="G2660" i="1"/>
  <c r="I2660" i="1"/>
  <c r="A2661" i="1"/>
  <c r="F2661" i="1"/>
  <c r="G2661" i="1"/>
  <c r="I2661" i="1"/>
  <c r="A2662" i="1"/>
  <c r="F2662" i="1"/>
  <c r="G2662" i="1"/>
  <c r="I2662" i="1"/>
  <c r="A2663" i="1"/>
  <c r="F2663" i="1"/>
  <c r="G2663" i="1"/>
  <c r="I2663" i="1"/>
  <c r="A2664" i="1"/>
  <c r="F2664" i="1"/>
  <c r="G2664" i="1"/>
  <c r="I2664" i="1"/>
  <c r="A2665" i="1"/>
  <c r="F2665" i="1"/>
  <c r="G2665" i="1"/>
  <c r="I2665" i="1"/>
  <c r="A2666" i="1"/>
  <c r="F2666" i="1"/>
  <c r="G2666" i="1"/>
  <c r="I2666" i="1"/>
  <c r="A2667" i="1"/>
  <c r="F2667" i="1"/>
  <c r="G2667" i="1"/>
  <c r="I2667" i="1"/>
  <c r="A2668" i="1"/>
  <c r="F2668" i="1"/>
  <c r="G2668" i="1"/>
  <c r="I2668" i="1"/>
  <c r="A2669" i="1"/>
  <c r="F2669" i="1"/>
  <c r="G2669" i="1"/>
  <c r="I2669" i="1"/>
  <c r="A2670" i="1"/>
  <c r="F2670" i="1"/>
  <c r="G2670" i="1"/>
  <c r="I2670" i="1"/>
  <c r="A2671" i="1"/>
  <c r="F2671" i="1"/>
  <c r="G2671" i="1"/>
  <c r="I2671" i="1"/>
  <c r="A2672" i="1"/>
  <c r="F2672" i="1"/>
  <c r="G2672" i="1"/>
  <c r="I2672" i="1"/>
  <c r="A2673" i="1"/>
  <c r="F2673" i="1"/>
  <c r="G2673" i="1"/>
  <c r="I2673" i="1"/>
  <c r="A2674" i="1"/>
  <c r="F2674" i="1"/>
  <c r="G2674" i="1"/>
  <c r="I2674" i="1"/>
  <c r="A2675" i="1"/>
  <c r="F2675" i="1"/>
  <c r="G2675" i="1"/>
  <c r="I2675" i="1"/>
  <c r="A2676" i="1"/>
  <c r="F2676" i="1"/>
  <c r="G2676" i="1"/>
  <c r="I2676" i="1"/>
  <c r="A2677" i="1"/>
  <c r="F2677" i="1"/>
  <c r="G2677" i="1"/>
  <c r="I2677" i="1"/>
  <c r="A2678" i="1"/>
  <c r="F2678" i="1"/>
  <c r="G2678" i="1"/>
  <c r="I2678" i="1"/>
  <c r="A2679" i="1"/>
  <c r="F2679" i="1"/>
  <c r="G2679" i="1"/>
  <c r="I2679" i="1"/>
  <c r="A2680" i="1"/>
  <c r="F2680" i="1"/>
  <c r="G2680" i="1"/>
  <c r="I2680" i="1"/>
  <c r="A2681" i="1"/>
  <c r="F2681" i="1"/>
  <c r="G2681" i="1"/>
  <c r="I2681" i="1"/>
  <c r="A2682" i="1"/>
  <c r="F2682" i="1"/>
  <c r="G2682" i="1"/>
  <c r="I2682" i="1"/>
  <c r="A2683" i="1"/>
  <c r="F2683" i="1"/>
  <c r="G2683" i="1"/>
  <c r="I2683" i="1"/>
  <c r="A2684" i="1"/>
  <c r="F2684" i="1"/>
  <c r="G2684" i="1"/>
  <c r="I2684" i="1"/>
  <c r="A2685" i="1"/>
  <c r="F2685" i="1"/>
  <c r="G2685" i="1"/>
  <c r="I2685" i="1"/>
  <c r="A2686" i="1"/>
  <c r="F2686" i="1"/>
  <c r="G2686" i="1"/>
  <c r="I2686" i="1"/>
  <c r="A2687" i="1"/>
  <c r="F2687" i="1"/>
  <c r="G2687" i="1"/>
  <c r="I2687" i="1"/>
  <c r="A2688" i="1"/>
  <c r="F2688" i="1"/>
  <c r="G2688" i="1"/>
  <c r="I2688" i="1"/>
  <c r="A2689" i="1"/>
  <c r="F2689" i="1"/>
  <c r="G2689" i="1"/>
  <c r="I2689" i="1"/>
  <c r="A2690" i="1"/>
  <c r="F2690" i="1"/>
  <c r="G2690" i="1"/>
  <c r="I2690" i="1"/>
  <c r="A2691" i="1"/>
  <c r="F2691" i="1"/>
  <c r="G2691" i="1"/>
  <c r="I2691" i="1"/>
  <c r="A2692" i="1"/>
  <c r="F2692" i="1"/>
  <c r="G2692" i="1"/>
  <c r="I2692" i="1"/>
  <c r="A2693" i="1"/>
  <c r="F2693" i="1"/>
  <c r="G2693" i="1"/>
  <c r="I2693" i="1"/>
  <c r="A2694" i="1"/>
  <c r="F2694" i="1"/>
  <c r="G2694" i="1"/>
  <c r="I2694" i="1"/>
  <c r="A2695" i="1"/>
  <c r="F2695" i="1"/>
  <c r="G2695" i="1"/>
  <c r="I2695" i="1"/>
  <c r="A2696" i="1"/>
  <c r="F2696" i="1"/>
  <c r="G2696" i="1"/>
  <c r="I2696" i="1"/>
  <c r="A2697" i="1"/>
  <c r="F2697" i="1"/>
  <c r="G2697" i="1"/>
  <c r="I2697" i="1"/>
  <c r="A2698" i="1"/>
  <c r="F2698" i="1"/>
  <c r="G2698" i="1"/>
  <c r="I2698" i="1"/>
  <c r="A2699" i="1"/>
  <c r="F2699" i="1"/>
  <c r="G2699" i="1"/>
  <c r="I2699" i="1"/>
  <c r="A2700" i="1"/>
  <c r="F2700" i="1"/>
  <c r="G2700" i="1"/>
  <c r="I2700" i="1"/>
  <c r="A2701" i="1"/>
  <c r="F2701" i="1"/>
  <c r="G2701" i="1"/>
  <c r="I2701" i="1"/>
  <c r="A2702" i="1"/>
  <c r="F2702" i="1"/>
  <c r="G2702" i="1"/>
  <c r="I2702" i="1"/>
  <c r="A2703" i="1"/>
  <c r="F2703" i="1"/>
  <c r="G2703" i="1"/>
  <c r="I2703" i="1"/>
  <c r="A2704" i="1"/>
  <c r="F2704" i="1"/>
  <c r="G2704" i="1"/>
  <c r="I2704" i="1"/>
  <c r="A2705" i="1"/>
  <c r="F2705" i="1"/>
  <c r="G2705" i="1"/>
  <c r="I2705" i="1"/>
  <c r="A2706" i="1"/>
  <c r="F2706" i="1"/>
  <c r="G2706" i="1"/>
  <c r="I2706" i="1"/>
  <c r="A2707" i="1"/>
  <c r="F2707" i="1"/>
  <c r="G2707" i="1"/>
  <c r="I2707" i="1"/>
  <c r="A2708" i="1"/>
  <c r="F2708" i="1"/>
  <c r="G2708" i="1"/>
  <c r="I2708" i="1"/>
  <c r="A2709" i="1"/>
  <c r="F2709" i="1"/>
  <c r="G2709" i="1"/>
  <c r="I2709" i="1"/>
  <c r="A2710" i="1"/>
  <c r="F2710" i="1"/>
  <c r="G2710" i="1"/>
  <c r="I2710" i="1"/>
  <c r="A2711" i="1"/>
  <c r="F2711" i="1"/>
  <c r="G2711" i="1"/>
  <c r="I2711" i="1"/>
  <c r="A2712" i="1"/>
  <c r="F2712" i="1"/>
  <c r="G2712" i="1"/>
  <c r="I2712" i="1"/>
  <c r="A2713" i="1"/>
  <c r="F2713" i="1"/>
  <c r="G2713" i="1"/>
  <c r="I2713" i="1"/>
  <c r="A2714" i="1"/>
  <c r="F2714" i="1"/>
  <c r="G2714" i="1"/>
  <c r="I2714" i="1"/>
  <c r="A2715" i="1"/>
  <c r="F2715" i="1"/>
  <c r="G2715" i="1"/>
  <c r="I2715" i="1"/>
  <c r="A2716" i="1"/>
  <c r="F2716" i="1"/>
  <c r="G2716" i="1"/>
  <c r="I2716" i="1"/>
  <c r="A2717" i="1"/>
  <c r="F2717" i="1"/>
  <c r="G2717" i="1"/>
  <c r="I2717" i="1"/>
  <c r="A2718" i="1"/>
  <c r="F2718" i="1"/>
  <c r="G2718" i="1"/>
  <c r="I2718" i="1"/>
  <c r="A2719" i="1"/>
  <c r="F2719" i="1"/>
  <c r="G2719" i="1"/>
  <c r="I2719" i="1"/>
  <c r="A2720" i="1"/>
  <c r="F2720" i="1"/>
  <c r="G2720" i="1"/>
  <c r="I2720" i="1"/>
  <c r="A2721" i="1"/>
  <c r="F2721" i="1"/>
  <c r="G2721" i="1"/>
  <c r="I2721" i="1"/>
  <c r="A2722" i="1"/>
  <c r="F2722" i="1"/>
  <c r="G2722" i="1"/>
  <c r="I2722" i="1"/>
  <c r="A2723" i="1"/>
  <c r="F2723" i="1"/>
  <c r="G2723" i="1"/>
  <c r="I2723" i="1"/>
  <c r="A2724" i="1"/>
  <c r="F2724" i="1"/>
  <c r="G2724" i="1"/>
  <c r="I2724" i="1"/>
  <c r="A2725" i="1"/>
  <c r="F2725" i="1"/>
  <c r="G2725" i="1"/>
  <c r="I2725" i="1"/>
  <c r="A2726" i="1"/>
  <c r="F2726" i="1"/>
  <c r="G2726" i="1"/>
  <c r="I2726" i="1"/>
  <c r="A2727" i="1"/>
  <c r="F2727" i="1"/>
  <c r="G2727" i="1"/>
  <c r="I2727" i="1"/>
  <c r="A2728" i="1"/>
  <c r="F2728" i="1"/>
  <c r="G2728" i="1"/>
  <c r="I2728" i="1"/>
  <c r="A2729" i="1"/>
  <c r="F2729" i="1"/>
  <c r="G2729" i="1"/>
  <c r="I2729" i="1"/>
  <c r="A2730" i="1"/>
  <c r="F2730" i="1"/>
  <c r="G2730" i="1"/>
  <c r="I2730" i="1"/>
  <c r="A2731" i="1"/>
  <c r="F2731" i="1"/>
  <c r="G2731" i="1"/>
  <c r="I2731" i="1"/>
  <c r="A2732" i="1"/>
  <c r="F2732" i="1"/>
  <c r="G2732" i="1"/>
  <c r="I2732" i="1"/>
  <c r="A2733" i="1"/>
  <c r="F2733" i="1"/>
  <c r="G2733" i="1"/>
  <c r="I2733" i="1"/>
  <c r="A2734" i="1"/>
  <c r="F2734" i="1"/>
  <c r="G2734" i="1"/>
  <c r="I2734" i="1"/>
  <c r="A2735" i="1"/>
  <c r="F2735" i="1"/>
  <c r="G2735" i="1"/>
  <c r="I2735" i="1"/>
  <c r="A2736" i="1"/>
  <c r="F2736" i="1"/>
  <c r="G2736" i="1"/>
  <c r="I2736" i="1"/>
  <c r="A2737" i="1"/>
  <c r="F2737" i="1"/>
  <c r="G2737" i="1"/>
  <c r="I2737" i="1"/>
  <c r="A2738" i="1"/>
  <c r="F2738" i="1"/>
  <c r="G2738" i="1"/>
  <c r="I2738" i="1"/>
  <c r="A2739" i="1"/>
  <c r="F2739" i="1"/>
  <c r="G2739" i="1"/>
  <c r="I2739" i="1"/>
  <c r="A2740" i="1"/>
  <c r="F2740" i="1"/>
  <c r="G2740" i="1"/>
  <c r="I2740" i="1"/>
  <c r="A2741" i="1"/>
  <c r="F2741" i="1"/>
  <c r="G2741" i="1"/>
  <c r="I2741" i="1"/>
  <c r="A2742" i="1"/>
  <c r="F2742" i="1"/>
  <c r="G2742" i="1"/>
  <c r="I2742" i="1"/>
  <c r="A2743" i="1"/>
  <c r="F2743" i="1"/>
  <c r="G2743" i="1"/>
  <c r="I2743" i="1"/>
  <c r="A2744" i="1"/>
  <c r="F2744" i="1"/>
  <c r="G2744" i="1"/>
  <c r="I2744" i="1"/>
  <c r="A2745" i="1"/>
  <c r="F2745" i="1"/>
  <c r="G2745" i="1"/>
  <c r="I2745" i="1"/>
  <c r="A2746" i="1"/>
  <c r="F2746" i="1"/>
  <c r="G2746" i="1"/>
  <c r="I2746" i="1"/>
  <c r="A2747" i="1"/>
  <c r="F2747" i="1"/>
  <c r="G2747" i="1"/>
  <c r="I2747" i="1"/>
  <c r="A2748" i="1"/>
  <c r="F2748" i="1"/>
  <c r="G2748" i="1"/>
  <c r="I2748" i="1"/>
  <c r="A2749" i="1"/>
  <c r="F2749" i="1"/>
  <c r="G2749" i="1"/>
  <c r="I2749" i="1"/>
  <c r="A2750" i="1"/>
  <c r="F2750" i="1"/>
  <c r="G2750" i="1"/>
  <c r="I2750" i="1"/>
  <c r="A2751" i="1"/>
  <c r="F2751" i="1"/>
  <c r="G2751" i="1"/>
  <c r="I2751" i="1"/>
  <c r="A2752" i="1"/>
  <c r="F2752" i="1"/>
  <c r="G2752" i="1"/>
  <c r="I2752" i="1"/>
  <c r="A2753" i="1"/>
  <c r="F2753" i="1"/>
  <c r="G2753" i="1"/>
  <c r="I2753" i="1"/>
  <c r="A2754" i="1"/>
  <c r="F2754" i="1"/>
  <c r="G2754" i="1"/>
  <c r="I2754" i="1"/>
  <c r="A2755" i="1"/>
  <c r="F2755" i="1"/>
  <c r="G2755" i="1"/>
  <c r="I2755" i="1"/>
  <c r="A2756" i="1"/>
  <c r="F2756" i="1"/>
  <c r="G2756" i="1"/>
  <c r="I2756" i="1"/>
  <c r="A2757" i="1"/>
  <c r="F2757" i="1"/>
  <c r="G2757" i="1"/>
  <c r="I2757" i="1"/>
  <c r="A2758" i="1"/>
  <c r="F2758" i="1"/>
  <c r="G2758" i="1"/>
  <c r="I2758" i="1"/>
  <c r="A2759" i="1"/>
  <c r="F2759" i="1"/>
  <c r="G2759" i="1"/>
  <c r="I2759" i="1"/>
  <c r="A2760" i="1"/>
  <c r="F2760" i="1"/>
  <c r="G2760" i="1"/>
  <c r="I2760" i="1"/>
  <c r="A2761" i="1"/>
  <c r="F2761" i="1"/>
  <c r="G2761" i="1"/>
  <c r="I2761" i="1"/>
  <c r="A2762" i="1"/>
  <c r="F2762" i="1"/>
  <c r="G2762" i="1"/>
  <c r="I2762" i="1"/>
  <c r="A2763" i="1"/>
  <c r="F2763" i="1"/>
  <c r="G2763" i="1"/>
  <c r="I2763" i="1"/>
  <c r="A2764" i="1"/>
  <c r="F2764" i="1"/>
  <c r="G2764" i="1"/>
  <c r="I2764" i="1"/>
  <c r="A2765" i="1"/>
  <c r="F2765" i="1"/>
  <c r="G2765" i="1"/>
  <c r="I2765" i="1"/>
  <c r="A2766" i="1"/>
  <c r="F2766" i="1"/>
  <c r="G2766" i="1"/>
  <c r="I2766" i="1"/>
  <c r="A2767" i="1"/>
  <c r="F2767" i="1"/>
  <c r="G2767" i="1"/>
  <c r="I2767" i="1"/>
  <c r="A2768" i="1"/>
  <c r="F2768" i="1"/>
  <c r="G2768" i="1"/>
  <c r="I2768" i="1"/>
  <c r="A2769" i="1"/>
  <c r="F2769" i="1"/>
  <c r="G2769" i="1"/>
  <c r="I2769" i="1"/>
  <c r="A2770" i="1"/>
  <c r="F2770" i="1"/>
  <c r="G2770" i="1"/>
  <c r="I2770" i="1"/>
  <c r="A2771" i="1"/>
  <c r="F2771" i="1"/>
  <c r="G2771" i="1"/>
  <c r="I2771" i="1"/>
  <c r="A2772" i="1"/>
  <c r="F2772" i="1"/>
  <c r="G2772" i="1"/>
  <c r="I2772" i="1"/>
  <c r="A2773" i="1"/>
  <c r="F2773" i="1"/>
  <c r="G2773" i="1"/>
  <c r="I2773" i="1"/>
  <c r="A2774" i="1"/>
  <c r="F2774" i="1"/>
  <c r="G2774" i="1"/>
  <c r="I2774" i="1"/>
  <c r="A2775" i="1"/>
  <c r="F2775" i="1"/>
  <c r="G2775" i="1"/>
  <c r="I2775" i="1"/>
  <c r="A2776" i="1"/>
  <c r="F2776" i="1"/>
  <c r="G2776" i="1"/>
  <c r="I2776" i="1"/>
  <c r="A2777" i="1"/>
  <c r="F2777" i="1"/>
  <c r="G2777" i="1"/>
  <c r="I2777" i="1"/>
  <c r="A2778" i="1"/>
  <c r="F2778" i="1"/>
  <c r="G2778" i="1"/>
  <c r="I2778" i="1"/>
  <c r="A2779" i="1"/>
  <c r="F2779" i="1"/>
  <c r="G2779" i="1"/>
  <c r="I2779" i="1"/>
  <c r="A2780" i="1"/>
  <c r="F2780" i="1"/>
  <c r="G2780" i="1"/>
  <c r="I2780" i="1"/>
  <c r="A2781" i="1"/>
  <c r="F2781" i="1"/>
  <c r="G2781" i="1"/>
  <c r="I2781" i="1"/>
  <c r="A2782" i="1"/>
  <c r="F2782" i="1"/>
  <c r="G2782" i="1"/>
  <c r="I2782" i="1"/>
  <c r="A2783" i="1"/>
  <c r="F2783" i="1"/>
  <c r="G2783" i="1"/>
  <c r="I2783" i="1"/>
  <c r="A2784" i="1"/>
  <c r="F2784" i="1"/>
  <c r="G2784" i="1"/>
  <c r="I2784" i="1"/>
  <c r="A2785" i="1"/>
  <c r="F2785" i="1"/>
  <c r="G2785" i="1"/>
  <c r="I2785" i="1"/>
  <c r="A2786" i="1"/>
  <c r="F2786" i="1"/>
  <c r="G2786" i="1"/>
  <c r="I2786" i="1"/>
  <c r="A2787" i="1"/>
  <c r="F2787" i="1"/>
  <c r="G2787" i="1"/>
  <c r="I2787" i="1"/>
  <c r="A2788" i="1"/>
  <c r="F2788" i="1"/>
  <c r="G2788" i="1"/>
  <c r="I2788" i="1"/>
  <c r="A2789" i="1"/>
  <c r="F2789" i="1"/>
  <c r="G2789" i="1"/>
  <c r="I2789" i="1"/>
  <c r="A2790" i="1"/>
  <c r="F2790" i="1"/>
  <c r="G2790" i="1"/>
  <c r="I2790" i="1"/>
  <c r="A2791" i="1"/>
  <c r="F2791" i="1"/>
  <c r="G2791" i="1"/>
  <c r="I2791" i="1"/>
  <c r="A2792" i="1"/>
  <c r="F2792" i="1"/>
  <c r="G2792" i="1"/>
  <c r="I2792" i="1"/>
  <c r="A2793" i="1"/>
  <c r="F2793" i="1"/>
  <c r="G2793" i="1"/>
  <c r="I2793" i="1"/>
  <c r="A2794" i="1"/>
  <c r="F2794" i="1"/>
  <c r="G2794" i="1"/>
  <c r="I2794" i="1"/>
  <c r="A2795" i="1"/>
  <c r="F2795" i="1"/>
  <c r="G2795" i="1"/>
  <c r="I2795" i="1"/>
  <c r="A2796" i="1"/>
  <c r="F2796" i="1"/>
  <c r="G2796" i="1"/>
  <c r="I2796" i="1"/>
  <c r="A2797" i="1"/>
  <c r="F2797" i="1"/>
  <c r="G2797" i="1"/>
  <c r="I2797" i="1"/>
  <c r="A2798" i="1"/>
  <c r="F2798" i="1"/>
  <c r="G2798" i="1"/>
  <c r="I2798" i="1"/>
  <c r="A2799" i="1"/>
  <c r="F2799" i="1"/>
  <c r="G2799" i="1"/>
  <c r="I2799" i="1"/>
  <c r="A2800" i="1"/>
  <c r="F2800" i="1"/>
  <c r="G2800" i="1"/>
  <c r="I2800" i="1"/>
  <c r="A2801" i="1"/>
  <c r="F2801" i="1"/>
  <c r="G2801" i="1"/>
  <c r="I2801" i="1"/>
  <c r="A2802" i="1"/>
  <c r="F2802" i="1"/>
  <c r="G2802" i="1"/>
  <c r="I2802" i="1"/>
  <c r="A2803" i="1"/>
  <c r="F2803" i="1"/>
  <c r="G2803" i="1"/>
  <c r="I2803" i="1"/>
  <c r="A2804" i="1"/>
  <c r="F2804" i="1"/>
  <c r="G2804" i="1"/>
  <c r="I2804" i="1"/>
  <c r="A2805" i="1"/>
  <c r="F2805" i="1"/>
  <c r="G2805" i="1"/>
  <c r="I2805" i="1"/>
  <c r="A2806" i="1"/>
  <c r="F2806" i="1"/>
  <c r="G2806" i="1"/>
  <c r="I2806" i="1"/>
  <c r="A2807" i="1"/>
  <c r="F2807" i="1"/>
  <c r="G2807" i="1"/>
  <c r="I2807" i="1"/>
  <c r="A2808" i="1"/>
  <c r="F2808" i="1"/>
  <c r="G2808" i="1"/>
  <c r="I2808" i="1"/>
  <c r="A2809" i="1"/>
  <c r="F2809" i="1"/>
  <c r="G2809" i="1"/>
  <c r="I2809" i="1"/>
  <c r="A2810" i="1"/>
  <c r="F2810" i="1"/>
  <c r="G2810" i="1"/>
  <c r="I2810" i="1"/>
  <c r="A2811" i="1"/>
  <c r="F2811" i="1"/>
  <c r="G2811" i="1"/>
  <c r="I2811" i="1"/>
  <c r="A2812" i="1"/>
  <c r="F2812" i="1"/>
  <c r="G2812" i="1"/>
  <c r="I2812" i="1"/>
  <c r="A2813" i="1"/>
  <c r="F2813" i="1"/>
  <c r="G2813" i="1"/>
  <c r="I2813" i="1"/>
  <c r="A2814" i="1"/>
  <c r="F2814" i="1"/>
  <c r="G2814" i="1"/>
  <c r="I2814" i="1"/>
  <c r="A2815" i="1"/>
  <c r="F2815" i="1"/>
  <c r="G2815" i="1"/>
  <c r="I2815" i="1"/>
  <c r="A2816" i="1"/>
  <c r="F2816" i="1"/>
  <c r="G2816" i="1"/>
  <c r="I2816" i="1"/>
  <c r="A2817" i="1"/>
  <c r="F2817" i="1"/>
  <c r="G2817" i="1"/>
  <c r="I2817" i="1"/>
  <c r="A2818" i="1"/>
  <c r="F2818" i="1"/>
  <c r="G2818" i="1"/>
  <c r="I2818" i="1"/>
  <c r="A2819" i="1"/>
  <c r="F2819" i="1"/>
  <c r="G2819" i="1"/>
  <c r="I2819" i="1"/>
  <c r="A2820" i="1"/>
  <c r="F2820" i="1"/>
  <c r="G2820" i="1"/>
  <c r="I2820" i="1"/>
  <c r="A2821" i="1"/>
  <c r="F2821" i="1"/>
  <c r="G2821" i="1"/>
  <c r="I2821" i="1"/>
  <c r="A2822" i="1"/>
  <c r="F2822" i="1"/>
  <c r="G2822" i="1"/>
  <c r="I2822" i="1"/>
  <c r="A2823" i="1"/>
  <c r="F2823" i="1"/>
  <c r="G2823" i="1"/>
  <c r="I2823" i="1"/>
  <c r="A2824" i="1"/>
  <c r="F2824" i="1"/>
  <c r="G2824" i="1"/>
  <c r="I2824" i="1"/>
  <c r="A2825" i="1"/>
  <c r="F2825" i="1"/>
  <c r="G2825" i="1"/>
  <c r="I2825" i="1"/>
  <c r="A2826" i="1"/>
  <c r="F2826" i="1"/>
  <c r="G2826" i="1"/>
  <c r="I2826" i="1"/>
  <c r="A2827" i="1"/>
  <c r="F2827" i="1"/>
  <c r="G2827" i="1"/>
  <c r="I2827" i="1"/>
  <c r="A2828" i="1"/>
  <c r="F2828" i="1"/>
  <c r="G2828" i="1"/>
  <c r="I2828" i="1"/>
  <c r="A2829" i="1"/>
  <c r="F2829" i="1"/>
  <c r="G2829" i="1"/>
  <c r="I2829" i="1"/>
  <c r="A2830" i="1"/>
  <c r="F2830" i="1"/>
  <c r="G2830" i="1"/>
  <c r="I2830" i="1"/>
  <c r="A2831" i="1"/>
  <c r="F2831" i="1"/>
  <c r="G2831" i="1"/>
  <c r="I2831" i="1"/>
  <c r="A2832" i="1"/>
  <c r="F2832" i="1"/>
  <c r="G2832" i="1"/>
  <c r="I2832" i="1"/>
  <c r="A2833" i="1"/>
  <c r="F2833" i="1"/>
  <c r="G2833" i="1"/>
  <c r="I2833" i="1"/>
  <c r="A2834" i="1"/>
  <c r="F2834" i="1"/>
  <c r="G2834" i="1"/>
  <c r="I2834" i="1"/>
  <c r="A2835" i="1"/>
  <c r="F2835" i="1"/>
  <c r="G2835" i="1"/>
  <c r="I2835" i="1"/>
  <c r="A2836" i="1"/>
  <c r="F2836" i="1"/>
  <c r="G2836" i="1"/>
  <c r="I2836" i="1"/>
  <c r="A2837" i="1"/>
  <c r="F2837" i="1"/>
  <c r="G2837" i="1"/>
  <c r="I2837" i="1"/>
  <c r="A2838" i="1"/>
  <c r="F2838" i="1"/>
  <c r="G2838" i="1"/>
  <c r="I2838" i="1"/>
  <c r="A2839" i="1"/>
  <c r="F2839" i="1"/>
  <c r="G2839" i="1"/>
  <c r="I2839" i="1"/>
  <c r="A2840" i="1"/>
  <c r="F2840" i="1"/>
  <c r="G2840" i="1"/>
  <c r="I2840" i="1"/>
  <c r="A2841" i="1"/>
  <c r="F2841" i="1"/>
  <c r="G2841" i="1"/>
  <c r="I2841" i="1"/>
  <c r="A2842" i="1"/>
  <c r="F2842" i="1"/>
  <c r="G2842" i="1"/>
  <c r="I2842" i="1"/>
  <c r="A2843" i="1"/>
  <c r="F2843" i="1"/>
  <c r="G2843" i="1"/>
  <c r="I2843" i="1"/>
  <c r="A2844" i="1"/>
  <c r="F2844" i="1"/>
  <c r="G2844" i="1"/>
  <c r="I2844" i="1"/>
  <c r="A2845" i="1"/>
  <c r="F2845" i="1"/>
  <c r="G2845" i="1"/>
  <c r="I2845" i="1"/>
  <c r="A2846" i="1"/>
  <c r="F2846" i="1"/>
  <c r="G2846" i="1"/>
  <c r="I2846" i="1"/>
  <c r="A2847" i="1"/>
  <c r="F2847" i="1"/>
  <c r="G2847" i="1"/>
  <c r="I2847" i="1"/>
  <c r="A2848" i="1"/>
  <c r="F2848" i="1"/>
  <c r="G2848" i="1"/>
  <c r="I2848" i="1"/>
  <c r="A2849" i="1"/>
  <c r="F2849" i="1"/>
  <c r="G2849" i="1"/>
  <c r="I2849" i="1"/>
  <c r="A2850" i="1"/>
  <c r="F2850" i="1"/>
  <c r="G2850" i="1"/>
  <c r="I2850" i="1"/>
  <c r="A2851" i="1"/>
  <c r="F2851" i="1"/>
  <c r="G2851" i="1"/>
  <c r="I2851" i="1"/>
  <c r="A2852" i="1"/>
  <c r="F2852" i="1"/>
  <c r="G2852" i="1"/>
  <c r="I2852" i="1"/>
  <c r="A2853" i="1"/>
  <c r="F2853" i="1"/>
  <c r="G2853" i="1"/>
  <c r="I2853" i="1"/>
  <c r="A2854" i="1"/>
  <c r="F2854" i="1"/>
  <c r="G2854" i="1"/>
  <c r="I2854" i="1"/>
  <c r="A2855" i="1"/>
  <c r="F2855" i="1"/>
  <c r="G2855" i="1"/>
  <c r="I2855" i="1"/>
  <c r="A2856" i="1"/>
  <c r="F2856" i="1"/>
  <c r="G2856" i="1"/>
  <c r="I2856" i="1"/>
  <c r="A2857" i="1"/>
  <c r="F2857" i="1"/>
  <c r="G2857" i="1"/>
  <c r="I2857" i="1"/>
  <c r="A2858" i="1"/>
  <c r="F2858" i="1"/>
  <c r="G2858" i="1"/>
  <c r="I2858" i="1"/>
  <c r="A2859" i="1"/>
  <c r="F2859" i="1"/>
  <c r="G2859" i="1"/>
  <c r="I2859" i="1"/>
  <c r="A2860" i="1"/>
  <c r="F2860" i="1"/>
  <c r="G2860" i="1"/>
  <c r="I2860" i="1"/>
  <c r="A2861" i="1"/>
  <c r="F2861" i="1"/>
  <c r="G2861" i="1"/>
  <c r="I2861" i="1"/>
  <c r="A2862" i="1"/>
  <c r="F2862" i="1"/>
  <c r="G2862" i="1"/>
  <c r="I2862" i="1"/>
  <c r="A2863" i="1"/>
  <c r="F2863" i="1"/>
  <c r="G2863" i="1"/>
  <c r="I2863" i="1"/>
  <c r="A2864" i="1"/>
  <c r="F2864" i="1"/>
  <c r="G2864" i="1"/>
  <c r="I2864" i="1"/>
  <c r="A2865" i="1"/>
  <c r="F2865" i="1"/>
  <c r="G2865" i="1"/>
  <c r="I2865" i="1"/>
  <c r="A2866" i="1"/>
  <c r="F2866" i="1"/>
  <c r="G2866" i="1"/>
  <c r="I2866" i="1"/>
  <c r="A2867" i="1"/>
  <c r="F2867" i="1"/>
  <c r="G2867" i="1"/>
  <c r="I2867" i="1"/>
  <c r="A2868" i="1"/>
  <c r="F2868" i="1"/>
  <c r="G2868" i="1"/>
  <c r="I2868" i="1"/>
  <c r="A2869" i="1"/>
  <c r="F2869" i="1"/>
  <c r="G2869" i="1"/>
  <c r="I2869" i="1"/>
  <c r="A2870" i="1"/>
  <c r="F2870" i="1"/>
  <c r="G2870" i="1"/>
  <c r="I2870" i="1"/>
  <c r="A2871" i="1"/>
  <c r="F2871" i="1"/>
  <c r="G2871" i="1"/>
  <c r="I2871" i="1"/>
  <c r="A2872" i="1"/>
  <c r="F2872" i="1"/>
  <c r="G2872" i="1"/>
  <c r="I2872" i="1"/>
  <c r="A2873" i="1"/>
  <c r="F2873" i="1"/>
  <c r="G2873" i="1"/>
  <c r="I2873" i="1"/>
  <c r="A2874" i="1"/>
  <c r="F2874" i="1"/>
  <c r="G2874" i="1"/>
  <c r="I2874" i="1"/>
  <c r="A2875" i="1"/>
  <c r="F2875" i="1"/>
  <c r="G2875" i="1"/>
  <c r="I2875" i="1"/>
  <c r="A2876" i="1"/>
  <c r="F2876" i="1"/>
  <c r="G2876" i="1"/>
  <c r="I2876" i="1"/>
  <c r="A2877" i="1"/>
  <c r="F2877" i="1"/>
  <c r="G2877" i="1"/>
  <c r="I2877" i="1"/>
  <c r="A2878" i="1"/>
  <c r="F2878" i="1"/>
  <c r="G2878" i="1"/>
  <c r="I2878" i="1"/>
  <c r="A2879" i="1"/>
  <c r="F2879" i="1"/>
  <c r="G2879" i="1"/>
  <c r="I2879" i="1"/>
  <c r="A2880" i="1"/>
  <c r="F2880" i="1"/>
  <c r="G2880" i="1"/>
  <c r="I2880" i="1"/>
  <c r="A2881" i="1"/>
  <c r="F2881" i="1"/>
  <c r="G2881" i="1"/>
  <c r="I2881" i="1"/>
  <c r="A2882" i="1"/>
  <c r="F2882" i="1"/>
  <c r="G2882" i="1"/>
  <c r="I2882" i="1"/>
  <c r="A2883" i="1"/>
  <c r="F2883" i="1"/>
  <c r="G2883" i="1"/>
  <c r="I2883" i="1"/>
  <c r="A2884" i="1"/>
  <c r="F2884" i="1"/>
  <c r="G2884" i="1"/>
  <c r="I2884" i="1"/>
  <c r="A2885" i="1"/>
  <c r="F2885" i="1"/>
  <c r="G2885" i="1"/>
  <c r="I2885" i="1"/>
  <c r="A2886" i="1"/>
  <c r="F2886" i="1"/>
  <c r="G2886" i="1"/>
  <c r="I2886" i="1"/>
  <c r="A2887" i="1"/>
  <c r="F2887" i="1"/>
  <c r="G2887" i="1"/>
  <c r="I2887" i="1"/>
  <c r="A2888" i="1"/>
  <c r="F2888" i="1"/>
  <c r="G2888" i="1"/>
  <c r="I2888" i="1"/>
  <c r="A2889" i="1"/>
  <c r="F2889" i="1"/>
  <c r="G2889" i="1"/>
  <c r="I2889" i="1"/>
  <c r="A2890" i="1"/>
  <c r="F2890" i="1"/>
  <c r="G2890" i="1"/>
  <c r="I2890" i="1"/>
  <c r="A2891" i="1"/>
  <c r="F2891" i="1"/>
  <c r="G2891" i="1"/>
  <c r="I2891" i="1"/>
  <c r="A2892" i="1"/>
  <c r="F2892" i="1"/>
  <c r="G2892" i="1"/>
  <c r="I2892" i="1"/>
  <c r="A2893" i="1"/>
  <c r="F2893" i="1"/>
  <c r="G2893" i="1"/>
  <c r="I2893" i="1"/>
  <c r="A2894" i="1"/>
  <c r="F2894" i="1"/>
  <c r="G2894" i="1"/>
  <c r="I2894" i="1"/>
  <c r="A2895" i="1"/>
  <c r="F2895" i="1"/>
  <c r="G2895" i="1"/>
  <c r="I2895" i="1"/>
  <c r="A2896" i="1"/>
  <c r="F2896" i="1"/>
  <c r="G2896" i="1"/>
  <c r="I2896" i="1"/>
  <c r="A2897" i="1"/>
  <c r="F2897" i="1"/>
  <c r="G2897" i="1"/>
  <c r="I2897" i="1"/>
  <c r="A2898" i="1"/>
  <c r="F2898" i="1"/>
  <c r="G2898" i="1"/>
  <c r="I2898" i="1"/>
  <c r="A2899" i="1"/>
  <c r="F2899" i="1"/>
  <c r="G2899" i="1"/>
  <c r="I2899" i="1"/>
  <c r="A2900" i="1"/>
  <c r="F2900" i="1"/>
  <c r="G2900" i="1"/>
  <c r="I2900" i="1"/>
  <c r="A2901" i="1"/>
  <c r="F2901" i="1"/>
  <c r="G2901" i="1"/>
  <c r="I2901" i="1"/>
  <c r="A2902" i="1"/>
  <c r="F2902" i="1"/>
  <c r="G2902" i="1"/>
  <c r="I2902" i="1"/>
  <c r="A2903" i="1"/>
  <c r="F2903" i="1"/>
  <c r="G2903" i="1"/>
  <c r="I2903" i="1"/>
  <c r="A2904" i="1"/>
  <c r="F2904" i="1"/>
  <c r="G2904" i="1"/>
  <c r="I2904" i="1"/>
  <c r="A2905" i="1"/>
  <c r="F2905" i="1"/>
  <c r="G2905" i="1"/>
  <c r="I2905" i="1"/>
  <c r="A2906" i="1"/>
  <c r="F2906" i="1"/>
  <c r="G2906" i="1"/>
  <c r="I2906" i="1"/>
  <c r="A2907" i="1"/>
  <c r="F2907" i="1"/>
  <c r="G2907" i="1"/>
  <c r="I2907" i="1"/>
  <c r="A2908" i="1"/>
  <c r="F2908" i="1"/>
  <c r="G2908" i="1"/>
  <c r="I2908" i="1"/>
  <c r="A2909" i="1"/>
  <c r="F2909" i="1"/>
  <c r="G2909" i="1"/>
  <c r="I2909" i="1"/>
  <c r="A2910" i="1"/>
  <c r="F2910" i="1"/>
  <c r="G2910" i="1"/>
  <c r="I2910" i="1"/>
  <c r="A2911" i="1"/>
  <c r="F2911" i="1"/>
  <c r="G2911" i="1"/>
  <c r="I2911" i="1"/>
  <c r="A2912" i="1"/>
  <c r="F2912" i="1"/>
  <c r="G2912" i="1"/>
  <c r="I2912" i="1"/>
  <c r="A2913" i="1"/>
  <c r="F2913" i="1"/>
  <c r="G2913" i="1"/>
  <c r="I2913" i="1"/>
  <c r="A2914" i="1"/>
  <c r="F2914" i="1"/>
  <c r="G2914" i="1"/>
  <c r="I2914" i="1"/>
  <c r="A2915" i="1"/>
  <c r="F2915" i="1"/>
  <c r="G2915" i="1"/>
  <c r="I2915" i="1"/>
  <c r="A2916" i="1"/>
  <c r="F2916" i="1"/>
  <c r="G2916" i="1"/>
  <c r="I2916" i="1"/>
  <c r="A2917" i="1"/>
  <c r="F2917" i="1"/>
  <c r="G2917" i="1"/>
  <c r="I2917" i="1"/>
  <c r="A2918" i="1"/>
  <c r="F2918" i="1"/>
  <c r="G2918" i="1"/>
  <c r="I2918" i="1"/>
  <c r="A2919" i="1"/>
  <c r="F2919" i="1"/>
  <c r="G2919" i="1"/>
  <c r="I2919" i="1"/>
  <c r="A2920" i="1"/>
  <c r="F2920" i="1"/>
  <c r="G2920" i="1"/>
  <c r="I2920" i="1"/>
  <c r="A2921" i="1"/>
  <c r="F2921" i="1"/>
  <c r="G2921" i="1"/>
  <c r="I2921" i="1"/>
  <c r="A2922" i="1"/>
  <c r="F2922" i="1"/>
  <c r="G2922" i="1"/>
  <c r="I2922" i="1"/>
  <c r="A2923" i="1"/>
  <c r="F2923" i="1"/>
  <c r="G2923" i="1"/>
  <c r="I2923" i="1"/>
  <c r="A2924" i="1"/>
  <c r="F2924" i="1"/>
  <c r="G2924" i="1"/>
  <c r="I2924" i="1"/>
  <c r="A2925" i="1"/>
  <c r="F2925" i="1"/>
  <c r="G2925" i="1"/>
  <c r="I2925" i="1"/>
  <c r="A2926" i="1"/>
  <c r="F2926" i="1"/>
  <c r="G2926" i="1"/>
  <c r="I2926" i="1"/>
  <c r="A2927" i="1"/>
  <c r="F2927" i="1"/>
  <c r="G2927" i="1"/>
  <c r="I2927" i="1"/>
  <c r="A2928" i="1"/>
  <c r="F2928" i="1"/>
  <c r="G2928" i="1"/>
  <c r="I2928" i="1"/>
  <c r="A2929" i="1"/>
  <c r="F2929" i="1"/>
  <c r="G2929" i="1"/>
  <c r="I2929" i="1"/>
  <c r="A2930" i="1"/>
  <c r="F2930" i="1"/>
  <c r="G2930" i="1"/>
  <c r="I2930" i="1"/>
  <c r="A2931" i="1"/>
  <c r="F2931" i="1"/>
  <c r="G2931" i="1"/>
  <c r="I2931" i="1"/>
  <c r="A2932" i="1"/>
  <c r="F2932" i="1"/>
  <c r="G2932" i="1"/>
  <c r="I2932" i="1"/>
  <c r="A2933" i="1"/>
  <c r="F2933" i="1"/>
  <c r="G2933" i="1"/>
  <c r="I2933" i="1"/>
  <c r="A2934" i="1"/>
  <c r="F2934" i="1"/>
  <c r="G2934" i="1"/>
  <c r="I2934" i="1"/>
  <c r="A2935" i="1"/>
  <c r="F2935" i="1"/>
  <c r="G2935" i="1"/>
  <c r="I2935" i="1"/>
  <c r="A2936" i="1"/>
  <c r="F2936" i="1"/>
  <c r="G2936" i="1"/>
  <c r="I2936" i="1"/>
  <c r="A2937" i="1"/>
  <c r="F2937" i="1"/>
  <c r="G2937" i="1"/>
  <c r="I2937" i="1"/>
  <c r="A2938" i="1"/>
  <c r="F2938" i="1"/>
  <c r="G2938" i="1"/>
  <c r="I2938" i="1"/>
  <c r="A2939" i="1"/>
  <c r="F2939" i="1"/>
  <c r="G2939" i="1"/>
  <c r="I2939" i="1"/>
  <c r="A2940" i="1"/>
  <c r="F2940" i="1"/>
  <c r="G2940" i="1"/>
  <c r="I2940" i="1"/>
  <c r="A2941" i="1"/>
  <c r="F2941" i="1"/>
  <c r="G2941" i="1"/>
  <c r="I2941" i="1"/>
  <c r="A2942" i="1"/>
  <c r="F2942" i="1"/>
  <c r="G2942" i="1"/>
  <c r="I2942" i="1"/>
  <c r="A2943" i="1"/>
  <c r="F2943" i="1"/>
  <c r="G2943" i="1"/>
  <c r="I2943" i="1"/>
  <c r="A2944" i="1"/>
  <c r="F2944" i="1"/>
  <c r="G2944" i="1"/>
  <c r="I2944" i="1"/>
  <c r="A2945" i="1"/>
  <c r="F2945" i="1"/>
  <c r="G2945" i="1"/>
  <c r="I2945" i="1"/>
  <c r="A2946" i="1"/>
  <c r="F2946" i="1"/>
  <c r="G2946" i="1"/>
  <c r="I2946" i="1"/>
  <c r="A2947" i="1"/>
  <c r="F2947" i="1"/>
  <c r="G2947" i="1"/>
  <c r="I2947" i="1"/>
  <c r="A2948" i="1"/>
  <c r="F2948" i="1"/>
  <c r="G2948" i="1"/>
  <c r="I2948" i="1"/>
  <c r="A2949" i="1"/>
  <c r="F2949" i="1"/>
  <c r="G2949" i="1"/>
  <c r="I2949" i="1"/>
  <c r="A2950" i="1"/>
  <c r="F2950" i="1"/>
  <c r="G2950" i="1"/>
  <c r="I2950" i="1"/>
  <c r="A2951" i="1"/>
  <c r="F2951" i="1"/>
  <c r="G2951" i="1"/>
  <c r="I2951" i="1"/>
  <c r="A2952" i="1"/>
  <c r="F2952" i="1"/>
  <c r="G2952" i="1"/>
  <c r="I2952" i="1"/>
  <c r="A2953" i="1"/>
  <c r="F2953" i="1"/>
  <c r="G2953" i="1"/>
  <c r="I2953" i="1"/>
  <c r="A2954" i="1"/>
  <c r="F2954" i="1"/>
  <c r="G2954" i="1"/>
  <c r="I2954" i="1"/>
  <c r="A2955" i="1"/>
  <c r="F2955" i="1"/>
  <c r="G2955" i="1"/>
  <c r="I2955" i="1"/>
  <c r="A2956" i="1"/>
  <c r="F2956" i="1"/>
  <c r="G2956" i="1"/>
  <c r="I2956" i="1"/>
  <c r="A2957" i="1"/>
  <c r="F2957" i="1"/>
  <c r="G2957" i="1"/>
  <c r="I2957" i="1"/>
  <c r="A2958" i="1"/>
  <c r="F2958" i="1"/>
  <c r="G2958" i="1"/>
  <c r="I2958" i="1"/>
  <c r="A2959" i="1"/>
  <c r="F2959" i="1"/>
  <c r="G2959" i="1"/>
  <c r="I2959" i="1"/>
  <c r="A2960" i="1"/>
  <c r="F2960" i="1"/>
  <c r="G2960" i="1"/>
  <c r="I2960" i="1"/>
  <c r="A2961" i="1"/>
  <c r="F2961" i="1"/>
  <c r="G2961" i="1"/>
  <c r="I2961" i="1"/>
  <c r="A2962" i="1"/>
  <c r="F2962" i="1"/>
  <c r="G2962" i="1"/>
  <c r="I2962" i="1"/>
  <c r="A2963" i="1"/>
  <c r="F2963" i="1"/>
  <c r="G2963" i="1"/>
  <c r="I2963" i="1"/>
  <c r="A2964" i="1"/>
  <c r="F2964" i="1"/>
  <c r="G2964" i="1"/>
  <c r="I2964" i="1"/>
  <c r="A2965" i="1"/>
  <c r="F2965" i="1"/>
  <c r="G2965" i="1"/>
  <c r="I2965" i="1"/>
  <c r="A2966" i="1"/>
  <c r="F2966" i="1"/>
  <c r="G2966" i="1"/>
  <c r="I2966" i="1"/>
  <c r="A2967" i="1"/>
  <c r="F2967" i="1"/>
  <c r="G2967" i="1"/>
  <c r="I2967" i="1"/>
  <c r="A2968" i="1"/>
  <c r="F2968" i="1"/>
  <c r="G2968" i="1"/>
  <c r="I2968" i="1"/>
  <c r="A2969" i="1"/>
  <c r="F2969" i="1"/>
  <c r="G2969" i="1"/>
  <c r="I2969" i="1"/>
  <c r="A2970" i="1"/>
  <c r="F2970" i="1"/>
  <c r="G2970" i="1"/>
  <c r="I2970" i="1"/>
  <c r="A2971" i="1"/>
  <c r="F2971" i="1"/>
  <c r="G2971" i="1"/>
  <c r="I2971" i="1"/>
  <c r="A2972" i="1"/>
  <c r="F2972" i="1"/>
  <c r="G2972" i="1"/>
  <c r="I2972" i="1"/>
  <c r="A2973" i="1"/>
  <c r="F2973" i="1"/>
  <c r="G2973" i="1"/>
  <c r="I2973" i="1"/>
  <c r="A2974" i="1"/>
  <c r="F2974" i="1"/>
  <c r="G2974" i="1"/>
  <c r="I2974" i="1"/>
  <c r="A2975" i="1"/>
  <c r="F2975" i="1"/>
  <c r="G2975" i="1"/>
  <c r="I2975" i="1"/>
  <c r="A2976" i="1"/>
  <c r="F2976" i="1"/>
  <c r="G2976" i="1"/>
  <c r="I2976" i="1"/>
  <c r="A2977" i="1"/>
  <c r="F2977" i="1"/>
  <c r="G2977" i="1"/>
  <c r="I2977" i="1"/>
  <c r="A2978" i="1"/>
  <c r="F2978" i="1"/>
  <c r="G2978" i="1"/>
  <c r="I2978" i="1"/>
  <c r="A2979" i="1"/>
  <c r="F2979" i="1"/>
  <c r="G2979" i="1"/>
  <c r="I2979" i="1"/>
  <c r="A2980" i="1"/>
  <c r="F2980" i="1"/>
  <c r="G2980" i="1"/>
  <c r="I2980" i="1"/>
  <c r="A2981" i="1"/>
  <c r="F2981" i="1"/>
  <c r="G2981" i="1"/>
  <c r="I2981" i="1"/>
  <c r="A2982" i="1"/>
  <c r="F2982" i="1"/>
  <c r="G2982" i="1"/>
  <c r="I2982" i="1"/>
  <c r="A2983" i="1"/>
  <c r="F2983" i="1"/>
  <c r="G2983" i="1"/>
  <c r="I2983" i="1"/>
  <c r="A2984" i="1"/>
  <c r="F2984" i="1"/>
  <c r="G2984" i="1"/>
  <c r="I2984" i="1"/>
  <c r="A2985" i="1"/>
  <c r="F2985" i="1"/>
  <c r="G2985" i="1"/>
  <c r="I2985" i="1"/>
  <c r="A2986" i="1"/>
  <c r="F2986" i="1"/>
  <c r="G2986" i="1"/>
  <c r="I2986" i="1"/>
  <c r="A2987" i="1"/>
  <c r="F2987" i="1"/>
  <c r="G2987" i="1"/>
  <c r="I2987" i="1"/>
  <c r="A2988" i="1"/>
  <c r="F2988" i="1"/>
  <c r="G2988" i="1"/>
  <c r="I2988" i="1"/>
  <c r="A2989" i="1"/>
  <c r="F2989" i="1"/>
  <c r="G2989" i="1"/>
  <c r="I2989" i="1"/>
  <c r="A2990" i="1"/>
  <c r="F2990" i="1"/>
  <c r="G2990" i="1"/>
  <c r="I2990" i="1"/>
  <c r="A2991" i="1"/>
  <c r="F2991" i="1"/>
  <c r="G2991" i="1"/>
  <c r="I2991" i="1"/>
  <c r="A2992" i="1"/>
  <c r="F2992" i="1"/>
  <c r="G2992" i="1"/>
  <c r="I2992" i="1"/>
  <c r="A2993" i="1"/>
  <c r="F2993" i="1"/>
  <c r="G2993" i="1"/>
  <c r="I2993" i="1"/>
  <c r="A2994" i="1"/>
  <c r="F2994" i="1"/>
  <c r="G2994" i="1"/>
  <c r="I2994" i="1"/>
  <c r="A2995" i="1"/>
  <c r="F2995" i="1"/>
  <c r="G2995" i="1"/>
  <c r="I2995" i="1"/>
  <c r="A2996" i="1"/>
  <c r="F2996" i="1"/>
  <c r="G2996" i="1"/>
  <c r="I2996" i="1"/>
  <c r="A2997" i="1"/>
  <c r="F2997" i="1"/>
  <c r="G2997" i="1"/>
  <c r="I2997" i="1"/>
  <c r="A2998" i="1"/>
  <c r="F2998" i="1"/>
  <c r="G2998" i="1"/>
  <c r="I2998" i="1"/>
  <c r="A2999" i="1"/>
  <c r="F2999" i="1"/>
  <c r="G2999" i="1"/>
  <c r="I2999" i="1"/>
  <c r="A3000" i="1"/>
  <c r="F3000" i="1"/>
  <c r="G3000" i="1"/>
  <c r="I3000" i="1"/>
  <c r="A3001" i="1"/>
  <c r="F3001" i="1"/>
  <c r="G3001" i="1"/>
  <c r="I3001" i="1"/>
  <c r="A3002" i="1"/>
  <c r="F3002" i="1"/>
  <c r="G3002" i="1"/>
  <c r="I3002" i="1"/>
  <c r="A3003" i="1"/>
  <c r="F3003" i="1"/>
  <c r="G3003" i="1"/>
  <c r="I3003" i="1"/>
  <c r="A3004" i="1"/>
  <c r="F3004" i="1"/>
  <c r="G3004" i="1"/>
  <c r="I3004" i="1"/>
  <c r="A3005" i="1"/>
  <c r="F3005" i="1"/>
  <c r="G3005" i="1"/>
  <c r="I3005" i="1"/>
  <c r="A3006" i="1"/>
  <c r="F3006" i="1"/>
  <c r="G3006" i="1"/>
  <c r="I3006" i="1"/>
  <c r="A3007" i="1"/>
  <c r="F3007" i="1"/>
  <c r="G3007" i="1"/>
  <c r="I3007" i="1"/>
  <c r="A3008" i="1"/>
  <c r="F3008" i="1"/>
  <c r="G3008" i="1"/>
  <c r="I3008" i="1"/>
  <c r="A3009" i="1"/>
  <c r="F3009" i="1"/>
  <c r="G3009" i="1"/>
  <c r="I3009" i="1"/>
  <c r="A3010" i="1"/>
  <c r="F3010" i="1"/>
  <c r="G3010" i="1"/>
  <c r="I3010" i="1"/>
  <c r="A3011" i="1"/>
  <c r="F3011" i="1"/>
  <c r="G3011" i="1"/>
  <c r="I3011" i="1"/>
  <c r="A3012" i="1"/>
  <c r="F3012" i="1"/>
  <c r="G3012" i="1"/>
  <c r="I3012" i="1"/>
  <c r="A3013" i="1"/>
  <c r="F3013" i="1"/>
  <c r="G3013" i="1"/>
  <c r="I3013" i="1"/>
  <c r="A3014" i="1"/>
  <c r="F3014" i="1"/>
  <c r="G3014" i="1"/>
  <c r="I3014" i="1"/>
  <c r="A3015" i="1"/>
  <c r="F3015" i="1"/>
  <c r="G3015" i="1"/>
  <c r="I3015" i="1"/>
  <c r="A3016" i="1"/>
  <c r="F3016" i="1"/>
  <c r="G3016" i="1"/>
  <c r="I3016" i="1"/>
  <c r="A3017" i="1"/>
  <c r="F3017" i="1"/>
  <c r="G3017" i="1"/>
  <c r="I3017" i="1"/>
  <c r="A3018" i="1"/>
  <c r="F3018" i="1"/>
  <c r="G3018" i="1"/>
  <c r="I3018" i="1"/>
  <c r="A3019" i="1"/>
  <c r="F3019" i="1"/>
  <c r="G3019" i="1"/>
  <c r="I3019" i="1"/>
  <c r="A3020" i="1"/>
  <c r="F3020" i="1"/>
  <c r="G3020" i="1"/>
  <c r="I3020" i="1"/>
  <c r="A3021" i="1"/>
  <c r="F3021" i="1"/>
  <c r="G3021" i="1"/>
  <c r="I3021" i="1"/>
  <c r="A3022" i="1"/>
  <c r="F3022" i="1"/>
  <c r="G3022" i="1"/>
  <c r="I3022" i="1"/>
  <c r="A3023" i="1"/>
  <c r="F3023" i="1"/>
  <c r="G3023" i="1"/>
  <c r="I3023" i="1"/>
  <c r="A3024" i="1"/>
  <c r="F3024" i="1"/>
  <c r="G3024" i="1"/>
  <c r="I3024" i="1"/>
  <c r="A3025" i="1"/>
  <c r="F3025" i="1"/>
  <c r="G3025" i="1"/>
  <c r="I3025" i="1"/>
  <c r="A3026" i="1"/>
  <c r="F3026" i="1"/>
  <c r="G3026" i="1"/>
  <c r="I3026" i="1"/>
  <c r="A3027" i="1"/>
  <c r="F3027" i="1"/>
  <c r="G3027" i="1"/>
  <c r="I3027" i="1"/>
  <c r="A3028" i="1"/>
  <c r="F3028" i="1"/>
  <c r="G3028" i="1"/>
  <c r="I3028" i="1"/>
  <c r="A3029" i="1"/>
  <c r="F3029" i="1"/>
  <c r="G3029" i="1"/>
  <c r="I3029" i="1"/>
  <c r="A3030" i="1"/>
  <c r="F3030" i="1"/>
  <c r="G3030" i="1"/>
  <c r="I3030" i="1"/>
  <c r="A3031" i="1"/>
  <c r="F3031" i="1"/>
  <c r="G3031" i="1"/>
  <c r="I3031" i="1"/>
  <c r="A3032" i="1"/>
  <c r="F3032" i="1"/>
  <c r="G3032" i="1"/>
  <c r="I3032" i="1"/>
  <c r="A3033" i="1"/>
  <c r="F3033" i="1"/>
  <c r="G3033" i="1"/>
  <c r="I3033" i="1"/>
  <c r="A3034" i="1"/>
  <c r="F3034" i="1"/>
  <c r="G3034" i="1"/>
  <c r="I3034" i="1"/>
  <c r="A3035" i="1"/>
  <c r="F3035" i="1"/>
  <c r="G3035" i="1"/>
  <c r="I3035" i="1"/>
  <c r="A3036" i="1"/>
  <c r="F3036" i="1"/>
  <c r="G3036" i="1"/>
  <c r="I3036" i="1"/>
  <c r="A3037" i="1"/>
  <c r="F3037" i="1"/>
  <c r="G3037" i="1"/>
  <c r="I3037" i="1"/>
  <c r="A3038" i="1"/>
  <c r="F3038" i="1"/>
  <c r="G3038" i="1"/>
  <c r="I3038" i="1"/>
  <c r="A3039" i="1"/>
  <c r="F3039" i="1"/>
  <c r="G3039" i="1"/>
  <c r="I3039" i="1"/>
  <c r="A3040" i="1"/>
  <c r="F3040" i="1"/>
  <c r="G3040" i="1"/>
  <c r="I3040" i="1"/>
  <c r="A3041" i="1"/>
  <c r="F3041" i="1"/>
  <c r="G3041" i="1"/>
  <c r="I3041" i="1"/>
  <c r="A3042" i="1"/>
  <c r="F3042" i="1"/>
  <c r="G3042" i="1"/>
  <c r="I3042" i="1"/>
  <c r="A3043" i="1"/>
  <c r="F3043" i="1"/>
  <c r="G3043" i="1"/>
  <c r="I3043" i="1"/>
  <c r="A3044" i="1"/>
  <c r="F3044" i="1"/>
  <c r="G3044" i="1"/>
  <c r="I3044" i="1"/>
  <c r="A3045" i="1"/>
  <c r="F3045" i="1"/>
  <c r="G3045" i="1"/>
  <c r="I3045" i="1"/>
  <c r="A3046" i="1"/>
  <c r="F3046" i="1"/>
  <c r="G3046" i="1"/>
  <c r="I3046" i="1"/>
  <c r="A3047" i="1"/>
  <c r="F3047" i="1"/>
  <c r="G3047" i="1"/>
  <c r="I3047" i="1"/>
  <c r="A3048" i="1"/>
  <c r="F3048" i="1"/>
  <c r="G3048" i="1"/>
  <c r="I3048" i="1"/>
  <c r="A3049" i="1"/>
  <c r="F3049" i="1"/>
  <c r="G3049" i="1"/>
  <c r="I3049" i="1"/>
  <c r="A3050" i="1"/>
  <c r="F3050" i="1"/>
  <c r="G3050" i="1"/>
  <c r="I3050" i="1"/>
  <c r="A3051" i="1"/>
  <c r="F3051" i="1"/>
  <c r="G3051" i="1"/>
  <c r="I3051" i="1"/>
  <c r="A3052" i="1"/>
  <c r="F3052" i="1"/>
  <c r="G3052" i="1"/>
  <c r="I3052" i="1"/>
  <c r="A3053" i="1"/>
  <c r="F3053" i="1"/>
  <c r="G3053" i="1"/>
  <c r="I3053" i="1"/>
  <c r="A3054" i="1"/>
  <c r="F3054" i="1"/>
  <c r="G3054" i="1"/>
  <c r="I3054" i="1"/>
  <c r="A3055" i="1"/>
  <c r="F3055" i="1"/>
  <c r="G3055" i="1"/>
  <c r="I3055" i="1"/>
  <c r="A3056" i="1"/>
  <c r="F3056" i="1"/>
  <c r="G3056" i="1"/>
  <c r="I3056" i="1"/>
  <c r="A3057" i="1"/>
  <c r="F3057" i="1"/>
  <c r="G3057" i="1"/>
  <c r="I3057" i="1"/>
  <c r="A3058" i="1"/>
  <c r="F3058" i="1"/>
  <c r="G3058" i="1"/>
  <c r="I3058" i="1"/>
  <c r="A3059" i="1"/>
  <c r="F3059" i="1"/>
  <c r="G3059" i="1"/>
  <c r="I3059" i="1"/>
  <c r="A3060" i="1"/>
  <c r="F3060" i="1"/>
  <c r="G3060" i="1"/>
  <c r="I3060" i="1"/>
  <c r="A3061" i="1"/>
  <c r="F3061" i="1"/>
  <c r="G3061" i="1"/>
  <c r="I3061" i="1"/>
  <c r="A3062" i="1"/>
  <c r="F3062" i="1"/>
  <c r="G3062" i="1"/>
  <c r="I3062" i="1"/>
  <c r="A3063" i="1"/>
  <c r="F3063" i="1"/>
  <c r="G3063" i="1"/>
  <c r="I3063" i="1"/>
  <c r="A3064" i="1"/>
  <c r="F3064" i="1"/>
  <c r="G3064" i="1"/>
  <c r="I3064" i="1"/>
  <c r="A3065" i="1"/>
  <c r="F3065" i="1"/>
  <c r="G3065" i="1"/>
  <c r="I3065" i="1"/>
  <c r="A3066" i="1"/>
  <c r="F3066" i="1"/>
  <c r="G3066" i="1"/>
  <c r="I3066" i="1"/>
  <c r="A3067" i="1"/>
  <c r="F3067" i="1"/>
  <c r="G3067" i="1"/>
  <c r="I3067" i="1"/>
  <c r="A3068" i="1"/>
  <c r="F3068" i="1"/>
  <c r="G3068" i="1"/>
  <c r="I3068" i="1"/>
  <c r="A3069" i="1"/>
  <c r="F3069" i="1"/>
  <c r="G3069" i="1"/>
  <c r="I3069" i="1"/>
  <c r="A3070" i="1"/>
  <c r="F3070" i="1"/>
  <c r="G3070" i="1"/>
  <c r="I3070" i="1"/>
  <c r="A3071" i="1"/>
  <c r="F3071" i="1"/>
  <c r="G3071" i="1"/>
  <c r="I3071" i="1"/>
  <c r="A3072" i="1"/>
  <c r="F3072" i="1"/>
  <c r="G3072" i="1"/>
  <c r="I3072" i="1"/>
  <c r="A3073" i="1"/>
  <c r="F3073" i="1"/>
  <c r="G3073" i="1"/>
  <c r="I3073" i="1"/>
  <c r="A3074" i="1"/>
  <c r="F3074" i="1"/>
  <c r="G3074" i="1"/>
  <c r="I3074" i="1"/>
  <c r="A3075" i="1"/>
  <c r="F3075" i="1"/>
  <c r="G3075" i="1"/>
  <c r="I3075" i="1"/>
  <c r="A3076" i="1"/>
  <c r="F3076" i="1"/>
  <c r="G3076" i="1"/>
  <c r="I3076" i="1"/>
  <c r="A3077" i="1"/>
  <c r="F3077" i="1"/>
  <c r="G3077" i="1"/>
  <c r="I3077" i="1"/>
  <c r="A3078" i="1"/>
  <c r="F3078" i="1"/>
  <c r="G3078" i="1"/>
  <c r="I3078" i="1"/>
  <c r="A3079" i="1"/>
  <c r="F3079" i="1"/>
  <c r="G3079" i="1"/>
  <c r="I3079" i="1"/>
  <c r="A3080" i="1"/>
  <c r="F3080" i="1"/>
  <c r="G3080" i="1"/>
  <c r="I3080" i="1"/>
  <c r="A3081" i="1"/>
  <c r="F3081" i="1"/>
  <c r="G3081" i="1"/>
  <c r="I3081" i="1"/>
  <c r="A3082" i="1"/>
  <c r="F3082" i="1"/>
  <c r="G3082" i="1"/>
  <c r="I3082" i="1"/>
  <c r="A3083" i="1"/>
  <c r="F3083" i="1"/>
  <c r="G3083" i="1"/>
  <c r="I3083" i="1"/>
  <c r="A3084" i="1"/>
  <c r="F3084" i="1"/>
  <c r="G3084" i="1"/>
  <c r="I3084" i="1"/>
  <c r="A3085" i="1"/>
  <c r="F3085" i="1"/>
  <c r="G3085" i="1"/>
  <c r="I3085" i="1"/>
  <c r="A3086" i="1"/>
  <c r="F3086" i="1"/>
  <c r="G3086" i="1"/>
  <c r="I3086" i="1"/>
  <c r="A3087" i="1"/>
  <c r="F3087" i="1"/>
  <c r="G3087" i="1"/>
  <c r="I3087" i="1"/>
  <c r="A3088" i="1"/>
  <c r="F3088" i="1"/>
  <c r="G3088" i="1"/>
  <c r="I3088" i="1"/>
  <c r="A3089" i="1"/>
  <c r="F3089" i="1"/>
  <c r="G3089" i="1"/>
  <c r="I3089" i="1"/>
  <c r="A3090" i="1"/>
  <c r="F3090" i="1"/>
  <c r="G3090" i="1"/>
  <c r="I3090" i="1"/>
  <c r="A3091" i="1"/>
  <c r="F3091" i="1"/>
  <c r="G3091" i="1"/>
  <c r="I3091" i="1"/>
  <c r="A3092" i="1"/>
  <c r="F3092" i="1"/>
  <c r="G3092" i="1"/>
  <c r="I3092" i="1"/>
  <c r="A3093" i="1"/>
  <c r="F3093" i="1"/>
  <c r="G3093" i="1"/>
  <c r="I3093" i="1"/>
  <c r="A3094" i="1"/>
  <c r="F3094" i="1"/>
  <c r="G3094" i="1"/>
  <c r="I3094" i="1"/>
  <c r="A3095" i="1"/>
  <c r="F3095" i="1"/>
  <c r="G3095" i="1"/>
  <c r="I3095" i="1"/>
  <c r="A3096" i="1"/>
  <c r="F3096" i="1"/>
  <c r="G3096" i="1"/>
  <c r="I3096" i="1"/>
  <c r="A3097" i="1"/>
  <c r="F3097" i="1"/>
  <c r="G3097" i="1"/>
  <c r="I3097" i="1"/>
  <c r="A3098" i="1"/>
  <c r="F3098" i="1"/>
  <c r="G3098" i="1"/>
  <c r="I3098" i="1"/>
  <c r="A3099" i="1"/>
  <c r="F3099" i="1"/>
  <c r="G3099" i="1"/>
  <c r="I3099" i="1"/>
  <c r="A3100" i="1"/>
  <c r="F3100" i="1"/>
  <c r="G3100" i="1"/>
  <c r="I3100" i="1"/>
  <c r="A3101" i="1"/>
  <c r="F3101" i="1"/>
  <c r="G3101" i="1"/>
  <c r="I3101" i="1"/>
  <c r="A3102" i="1"/>
  <c r="F3102" i="1"/>
  <c r="G3102" i="1"/>
  <c r="I3102" i="1"/>
  <c r="A3103" i="1"/>
  <c r="F3103" i="1"/>
  <c r="G3103" i="1"/>
  <c r="I3103" i="1"/>
  <c r="A3104" i="1"/>
  <c r="F3104" i="1"/>
  <c r="G3104" i="1"/>
  <c r="I3104" i="1"/>
  <c r="A3105" i="1"/>
  <c r="F3105" i="1"/>
  <c r="G3105" i="1"/>
  <c r="I3105" i="1"/>
  <c r="A3106" i="1"/>
  <c r="F3106" i="1"/>
  <c r="G3106" i="1"/>
  <c r="I3106" i="1"/>
  <c r="A3107" i="1"/>
  <c r="F3107" i="1"/>
  <c r="G3107" i="1"/>
  <c r="I3107" i="1"/>
  <c r="A3108" i="1"/>
  <c r="F3108" i="1"/>
  <c r="G3108" i="1"/>
  <c r="I3108" i="1"/>
  <c r="A3109" i="1"/>
  <c r="F3109" i="1"/>
  <c r="G3109" i="1"/>
  <c r="I3109" i="1"/>
  <c r="A3110" i="1"/>
  <c r="F3110" i="1"/>
  <c r="G3110" i="1"/>
  <c r="I3110" i="1"/>
  <c r="A3111" i="1"/>
  <c r="F3111" i="1"/>
  <c r="G3111" i="1"/>
  <c r="I3111" i="1"/>
  <c r="A3112" i="1"/>
  <c r="F3112" i="1"/>
  <c r="G3112" i="1"/>
  <c r="I3112" i="1"/>
  <c r="A3113" i="1"/>
  <c r="F3113" i="1"/>
  <c r="G3113" i="1"/>
  <c r="I3113" i="1"/>
  <c r="A3114" i="1"/>
  <c r="F3114" i="1"/>
  <c r="G3114" i="1"/>
  <c r="I3114" i="1"/>
  <c r="A3115" i="1"/>
  <c r="F3115" i="1"/>
  <c r="G3115" i="1"/>
  <c r="I3115" i="1"/>
  <c r="A3116" i="1"/>
  <c r="F3116" i="1"/>
  <c r="G3116" i="1"/>
  <c r="I3116" i="1"/>
  <c r="A3117" i="1"/>
  <c r="F3117" i="1"/>
  <c r="G3117" i="1"/>
  <c r="I3117" i="1"/>
  <c r="A3118" i="1"/>
  <c r="F3118" i="1"/>
  <c r="G3118" i="1"/>
  <c r="I3118" i="1"/>
  <c r="A3119" i="1"/>
  <c r="F3119" i="1"/>
  <c r="G3119" i="1"/>
  <c r="I3119" i="1"/>
  <c r="A3120" i="1"/>
  <c r="F3120" i="1"/>
  <c r="G3120" i="1"/>
  <c r="I3120" i="1"/>
  <c r="A3121" i="1"/>
  <c r="F3121" i="1"/>
  <c r="G3121" i="1"/>
  <c r="I3121" i="1"/>
  <c r="A3122" i="1"/>
  <c r="F3122" i="1"/>
  <c r="G3122" i="1"/>
  <c r="I3122" i="1"/>
  <c r="A3123" i="1"/>
  <c r="F3123" i="1"/>
  <c r="G3123" i="1"/>
  <c r="I3123" i="1"/>
  <c r="A3124" i="1"/>
  <c r="F3124" i="1"/>
  <c r="G3124" i="1"/>
  <c r="I3124" i="1"/>
  <c r="A3125" i="1"/>
  <c r="F3125" i="1"/>
  <c r="G3125" i="1"/>
  <c r="I3125" i="1"/>
  <c r="A3126" i="1"/>
  <c r="F3126" i="1"/>
  <c r="G3126" i="1"/>
  <c r="I3126" i="1"/>
  <c r="A3127" i="1"/>
  <c r="F3127" i="1"/>
  <c r="G3127" i="1"/>
  <c r="I3127" i="1"/>
  <c r="A3128" i="1"/>
  <c r="F3128" i="1"/>
  <c r="G3128" i="1"/>
  <c r="I3128" i="1"/>
  <c r="A3129" i="1"/>
  <c r="F3129" i="1"/>
  <c r="G3129" i="1"/>
  <c r="I3129" i="1"/>
  <c r="A3130" i="1"/>
  <c r="F3130" i="1"/>
  <c r="G3130" i="1"/>
  <c r="I3130" i="1"/>
  <c r="A3131" i="1"/>
  <c r="F3131" i="1"/>
  <c r="G3131" i="1"/>
  <c r="I3131" i="1"/>
  <c r="A3132" i="1"/>
  <c r="F3132" i="1"/>
  <c r="G3132" i="1"/>
  <c r="I3132" i="1"/>
  <c r="A3133" i="1"/>
  <c r="F3133" i="1"/>
  <c r="G3133" i="1"/>
  <c r="I3133" i="1"/>
  <c r="A3134" i="1"/>
  <c r="F3134" i="1"/>
  <c r="G3134" i="1"/>
  <c r="I3134" i="1"/>
  <c r="A3135" i="1"/>
  <c r="F3135" i="1"/>
  <c r="G3135" i="1"/>
  <c r="I3135" i="1"/>
  <c r="A3136" i="1"/>
  <c r="F3136" i="1"/>
  <c r="G3136" i="1"/>
  <c r="I3136" i="1"/>
  <c r="A3137" i="1"/>
  <c r="F3137" i="1"/>
  <c r="G3137" i="1"/>
  <c r="I3137" i="1"/>
  <c r="A3138" i="1"/>
  <c r="F3138" i="1"/>
  <c r="G3138" i="1"/>
  <c r="I3138" i="1"/>
  <c r="A3139" i="1"/>
  <c r="F3139" i="1"/>
  <c r="G3139" i="1"/>
  <c r="I3139" i="1"/>
  <c r="A3140" i="1"/>
  <c r="F3140" i="1"/>
  <c r="G3140" i="1"/>
  <c r="I3140" i="1"/>
  <c r="A3141" i="1"/>
  <c r="F3141" i="1"/>
  <c r="G3141" i="1"/>
  <c r="I3141" i="1"/>
  <c r="A3142" i="1"/>
  <c r="F3142" i="1"/>
  <c r="G3142" i="1"/>
  <c r="I3142" i="1"/>
  <c r="A3143" i="1"/>
  <c r="F3143" i="1"/>
  <c r="G3143" i="1"/>
  <c r="I3143" i="1"/>
  <c r="A3144" i="1"/>
  <c r="F3144" i="1"/>
  <c r="G3144" i="1"/>
  <c r="I3144" i="1"/>
  <c r="A3145" i="1"/>
  <c r="F3145" i="1"/>
  <c r="G3145" i="1"/>
  <c r="I3145" i="1"/>
  <c r="A3146" i="1"/>
  <c r="F3146" i="1"/>
  <c r="G3146" i="1"/>
  <c r="I3146" i="1"/>
  <c r="A3147" i="1"/>
  <c r="F3147" i="1"/>
  <c r="G3147" i="1"/>
  <c r="I3147" i="1"/>
  <c r="A3148" i="1"/>
  <c r="F3148" i="1"/>
  <c r="G3148" i="1"/>
  <c r="I3148" i="1"/>
  <c r="A3149" i="1"/>
  <c r="F3149" i="1"/>
  <c r="G3149" i="1"/>
  <c r="I3149" i="1"/>
  <c r="A3150" i="1"/>
  <c r="F3150" i="1"/>
  <c r="G3150" i="1"/>
  <c r="I3150" i="1"/>
  <c r="A3151" i="1"/>
  <c r="F3151" i="1"/>
  <c r="G3151" i="1"/>
  <c r="I3151" i="1"/>
  <c r="A3152" i="1"/>
  <c r="F3152" i="1"/>
  <c r="G3152" i="1"/>
  <c r="I3152" i="1"/>
  <c r="A3153" i="1"/>
  <c r="F3153" i="1"/>
  <c r="G3153" i="1"/>
  <c r="I3153" i="1"/>
  <c r="A3154" i="1"/>
  <c r="F3154" i="1"/>
  <c r="G3154" i="1"/>
  <c r="I3154" i="1"/>
  <c r="A3155" i="1"/>
  <c r="F3155" i="1"/>
  <c r="G3155" i="1"/>
  <c r="I3155" i="1"/>
  <c r="A3156" i="1"/>
  <c r="F3156" i="1"/>
  <c r="G3156" i="1"/>
  <c r="I3156" i="1"/>
  <c r="A3157" i="1"/>
  <c r="F3157" i="1"/>
  <c r="G3157" i="1"/>
  <c r="I3157" i="1"/>
  <c r="A3158" i="1"/>
  <c r="F3158" i="1"/>
  <c r="G3158" i="1"/>
  <c r="I3158" i="1"/>
  <c r="A3159" i="1"/>
  <c r="F3159" i="1"/>
  <c r="G3159" i="1"/>
  <c r="I3159" i="1"/>
  <c r="A3160" i="1"/>
  <c r="F3160" i="1"/>
  <c r="G3160" i="1"/>
  <c r="I3160" i="1"/>
  <c r="A3161" i="1"/>
  <c r="F3161" i="1"/>
  <c r="G3161" i="1"/>
  <c r="I3161" i="1"/>
  <c r="A3162" i="1"/>
  <c r="F3162" i="1"/>
  <c r="G3162" i="1"/>
  <c r="I3162" i="1"/>
  <c r="A3163" i="1"/>
  <c r="F3163" i="1"/>
  <c r="G3163" i="1"/>
  <c r="I3163" i="1"/>
  <c r="A3164" i="1"/>
  <c r="F3164" i="1"/>
  <c r="G3164" i="1"/>
  <c r="I3164" i="1"/>
  <c r="A3165" i="1"/>
  <c r="F3165" i="1"/>
  <c r="G3165" i="1"/>
  <c r="I3165" i="1"/>
  <c r="A3166" i="1"/>
  <c r="F3166" i="1"/>
  <c r="G3166" i="1"/>
  <c r="I3166" i="1"/>
  <c r="A3167" i="1"/>
  <c r="F3167" i="1"/>
  <c r="G3167" i="1"/>
  <c r="I3167" i="1"/>
  <c r="A3168" i="1"/>
  <c r="F3168" i="1"/>
  <c r="G3168" i="1"/>
  <c r="I3168" i="1"/>
  <c r="A3169" i="1"/>
  <c r="F3169" i="1"/>
  <c r="G3169" i="1"/>
  <c r="I3169" i="1"/>
  <c r="A3170" i="1"/>
  <c r="F3170" i="1"/>
  <c r="G3170" i="1"/>
  <c r="I3170" i="1"/>
  <c r="A3171" i="1"/>
  <c r="F3171" i="1"/>
  <c r="G3171" i="1"/>
  <c r="I3171" i="1"/>
  <c r="A3172" i="1"/>
  <c r="F3172" i="1"/>
  <c r="G3172" i="1"/>
  <c r="I3172" i="1"/>
  <c r="A3173" i="1"/>
  <c r="F3173" i="1"/>
  <c r="G3173" i="1"/>
  <c r="I3173" i="1"/>
  <c r="A3174" i="1"/>
  <c r="F3174" i="1"/>
  <c r="G3174" i="1"/>
  <c r="I3174" i="1"/>
  <c r="A3175" i="1"/>
  <c r="F3175" i="1"/>
  <c r="G3175" i="1"/>
  <c r="I3175" i="1"/>
  <c r="A3176" i="1"/>
  <c r="F3176" i="1"/>
  <c r="G3176" i="1"/>
  <c r="I3176" i="1"/>
  <c r="A3177" i="1"/>
  <c r="F3177" i="1"/>
  <c r="G3177" i="1"/>
  <c r="I3177" i="1"/>
  <c r="A3178" i="1"/>
  <c r="F3178" i="1"/>
  <c r="G3178" i="1"/>
  <c r="I3178" i="1"/>
  <c r="A3179" i="1"/>
  <c r="F3179" i="1"/>
  <c r="G3179" i="1"/>
  <c r="I3179" i="1"/>
  <c r="A3180" i="1"/>
  <c r="F3180" i="1"/>
  <c r="G3180" i="1"/>
  <c r="I3180" i="1"/>
  <c r="A3181" i="1"/>
  <c r="F3181" i="1"/>
  <c r="G3181" i="1"/>
  <c r="I3181" i="1"/>
  <c r="A3182" i="1"/>
  <c r="F3182" i="1"/>
  <c r="G3182" i="1"/>
  <c r="I3182" i="1"/>
  <c r="A3183" i="1"/>
  <c r="F3183" i="1"/>
  <c r="G3183" i="1"/>
  <c r="I3183" i="1"/>
  <c r="A3184" i="1"/>
  <c r="F3184" i="1"/>
  <c r="G3184" i="1"/>
  <c r="I3184" i="1"/>
  <c r="A3185" i="1"/>
  <c r="F3185" i="1"/>
  <c r="G3185" i="1"/>
  <c r="I3185" i="1"/>
  <c r="A3186" i="1"/>
  <c r="F3186" i="1"/>
  <c r="G3186" i="1"/>
  <c r="I3186" i="1"/>
  <c r="A3187" i="1"/>
  <c r="F3187" i="1"/>
  <c r="G3187" i="1"/>
  <c r="I3187" i="1"/>
  <c r="A3188" i="1"/>
  <c r="F3188" i="1"/>
  <c r="G3188" i="1"/>
  <c r="I3188" i="1"/>
  <c r="A3189" i="1"/>
  <c r="F3189" i="1"/>
  <c r="G3189" i="1"/>
  <c r="I3189" i="1"/>
  <c r="A3190" i="1"/>
  <c r="F3190" i="1"/>
  <c r="G3190" i="1"/>
  <c r="I3190" i="1"/>
  <c r="A3191" i="1"/>
  <c r="F3191" i="1"/>
  <c r="G3191" i="1"/>
  <c r="I3191" i="1"/>
  <c r="A3192" i="1"/>
  <c r="F3192" i="1"/>
  <c r="G3192" i="1"/>
  <c r="I3192" i="1"/>
  <c r="A3193" i="1"/>
  <c r="F3193" i="1"/>
  <c r="G3193" i="1"/>
  <c r="I3193" i="1"/>
  <c r="A3194" i="1"/>
  <c r="F3194" i="1"/>
  <c r="G3194" i="1"/>
  <c r="I3194" i="1"/>
  <c r="A3195" i="1"/>
  <c r="F3195" i="1"/>
  <c r="G3195" i="1"/>
  <c r="I3195" i="1"/>
  <c r="A3196" i="1"/>
  <c r="F3196" i="1"/>
  <c r="G3196" i="1"/>
  <c r="I3196" i="1"/>
  <c r="A3197" i="1"/>
  <c r="F3197" i="1"/>
  <c r="G3197" i="1"/>
  <c r="I3197" i="1"/>
  <c r="A3198" i="1"/>
  <c r="F3198" i="1"/>
  <c r="G3198" i="1"/>
  <c r="I3198" i="1"/>
  <c r="A3199" i="1"/>
  <c r="F3199" i="1"/>
  <c r="G3199" i="1"/>
  <c r="I3199" i="1"/>
  <c r="A3200" i="1"/>
  <c r="F3200" i="1"/>
  <c r="G3200" i="1"/>
  <c r="I3200" i="1"/>
  <c r="A3201" i="1"/>
  <c r="F3201" i="1"/>
  <c r="G3201" i="1"/>
  <c r="I3201" i="1"/>
  <c r="A3202" i="1"/>
  <c r="F3202" i="1"/>
  <c r="G3202" i="1"/>
  <c r="I3202" i="1"/>
  <c r="A3203" i="1"/>
  <c r="F3203" i="1"/>
  <c r="G3203" i="1"/>
  <c r="I3203" i="1"/>
  <c r="A3204" i="1"/>
  <c r="F3204" i="1"/>
  <c r="G3204" i="1"/>
  <c r="I3204" i="1"/>
  <c r="A3205" i="1"/>
  <c r="F3205" i="1"/>
  <c r="G3205" i="1"/>
  <c r="I3205" i="1"/>
  <c r="A3206" i="1"/>
  <c r="F3206" i="1"/>
  <c r="G3206" i="1"/>
  <c r="I3206" i="1"/>
  <c r="A3207" i="1"/>
  <c r="F3207" i="1"/>
  <c r="G3207" i="1"/>
  <c r="I3207" i="1"/>
  <c r="A3208" i="1"/>
  <c r="F3208" i="1"/>
  <c r="G3208" i="1"/>
  <c r="I3208" i="1"/>
  <c r="A3209" i="1"/>
  <c r="F3209" i="1"/>
  <c r="G3209" i="1"/>
  <c r="I3209" i="1"/>
  <c r="A3210" i="1"/>
  <c r="F3210" i="1"/>
  <c r="G3210" i="1"/>
  <c r="I3210" i="1"/>
  <c r="A3211" i="1"/>
  <c r="F3211" i="1"/>
  <c r="G3211" i="1"/>
  <c r="I3211" i="1"/>
  <c r="A3212" i="1"/>
  <c r="F3212" i="1"/>
  <c r="G3212" i="1"/>
  <c r="I3212" i="1"/>
  <c r="A3213" i="1"/>
  <c r="F3213" i="1"/>
  <c r="G3213" i="1"/>
  <c r="I3213" i="1"/>
  <c r="A3214" i="1"/>
  <c r="F3214" i="1"/>
  <c r="G3214" i="1"/>
  <c r="I3214" i="1"/>
  <c r="A3215" i="1"/>
  <c r="F3215" i="1"/>
  <c r="G3215" i="1"/>
  <c r="I3215" i="1"/>
  <c r="A3216" i="1"/>
  <c r="F3216" i="1"/>
  <c r="G3216" i="1"/>
  <c r="I3216" i="1"/>
  <c r="A3217" i="1"/>
  <c r="F3217" i="1"/>
  <c r="G3217" i="1"/>
  <c r="I3217" i="1"/>
  <c r="A3218" i="1"/>
  <c r="F3218" i="1"/>
  <c r="G3218" i="1"/>
  <c r="I3218" i="1"/>
  <c r="A3219" i="1"/>
  <c r="F3219" i="1"/>
  <c r="G3219" i="1"/>
  <c r="I3219" i="1"/>
  <c r="A3220" i="1"/>
  <c r="F3220" i="1"/>
  <c r="G3220" i="1"/>
  <c r="I3220" i="1"/>
  <c r="A3221" i="1"/>
  <c r="F3221" i="1"/>
  <c r="G3221" i="1"/>
  <c r="I3221" i="1"/>
  <c r="A3222" i="1"/>
  <c r="F3222" i="1"/>
  <c r="G3222" i="1"/>
  <c r="I3222" i="1"/>
  <c r="A3223" i="1"/>
  <c r="F3223" i="1"/>
  <c r="G3223" i="1"/>
  <c r="I3223" i="1"/>
  <c r="A3224" i="1"/>
  <c r="F3224" i="1"/>
  <c r="G3224" i="1"/>
  <c r="I3224" i="1"/>
  <c r="A3225" i="1"/>
  <c r="F3225" i="1"/>
  <c r="G3225" i="1"/>
  <c r="I3225" i="1"/>
  <c r="A3226" i="1"/>
  <c r="F3226" i="1"/>
  <c r="G3226" i="1"/>
  <c r="I3226" i="1"/>
  <c r="A3227" i="1"/>
  <c r="F3227" i="1"/>
  <c r="G3227" i="1"/>
  <c r="I3227" i="1"/>
  <c r="A3228" i="1"/>
  <c r="F3228" i="1"/>
  <c r="G3228" i="1"/>
  <c r="I3228" i="1"/>
  <c r="A3229" i="1"/>
  <c r="F3229" i="1"/>
  <c r="G3229" i="1"/>
  <c r="I3229" i="1"/>
  <c r="A3230" i="1"/>
  <c r="F3230" i="1"/>
  <c r="G3230" i="1"/>
  <c r="I3230" i="1"/>
  <c r="A3231" i="1"/>
  <c r="F3231" i="1"/>
  <c r="G3231" i="1"/>
  <c r="I3231" i="1"/>
  <c r="A3232" i="1"/>
  <c r="F3232" i="1"/>
  <c r="G3232" i="1"/>
  <c r="I3232" i="1"/>
  <c r="A3233" i="1"/>
  <c r="F3233" i="1"/>
  <c r="G3233" i="1"/>
  <c r="I3233" i="1"/>
  <c r="A3234" i="1"/>
  <c r="F3234" i="1"/>
  <c r="G3234" i="1"/>
  <c r="I3234" i="1"/>
  <c r="A3235" i="1"/>
  <c r="F3235" i="1"/>
  <c r="G3235" i="1"/>
  <c r="I3235" i="1"/>
  <c r="A3236" i="1"/>
  <c r="F3236" i="1"/>
  <c r="G3236" i="1"/>
  <c r="I3236" i="1"/>
  <c r="A3237" i="1"/>
  <c r="F3237" i="1"/>
  <c r="G3237" i="1"/>
  <c r="I3237" i="1"/>
  <c r="A3238" i="1"/>
  <c r="F3238" i="1"/>
  <c r="G3238" i="1"/>
  <c r="I3238" i="1"/>
  <c r="A3239" i="1"/>
  <c r="F3239" i="1"/>
  <c r="G3239" i="1"/>
  <c r="I3239" i="1"/>
  <c r="A3240" i="1"/>
  <c r="F3240" i="1"/>
  <c r="G3240" i="1"/>
  <c r="I3240" i="1"/>
  <c r="A3241" i="1"/>
  <c r="F3241" i="1"/>
  <c r="G3241" i="1"/>
  <c r="I3241" i="1"/>
  <c r="A3242" i="1"/>
  <c r="F3242" i="1"/>
  <c r="G3242" i="1"/>
  <c r="I3242" i="1"/>
  <c r="A3243" i="1"/>
  <c r="F3243" i="1"/>
  <c r="G3243" i="1"/>
  <c r="I3243" i="1"/>
  <c r="A3244" i="1"/>
  <c r="F3244" i="1"/>
  <c r="G3244" i="1"/>
  <c r="I3244" i="1"/>
  <c r="A3245" i="1"/>
  <c r="F3245" i="1"/>
  <c r="G3245" i="1"/>
  <c r="I3245" i="1"/>
  <c r="A3246" i="1"/>
  <c r="F3246" i="1"/>
  <c r="G3246" i="1"/>
  <c r="I3246" i="1"/>
  <c r="A3247" i="1"/>
  <c r="F3247" i="1"/>
  <c r="G3247" i="1"/>
  <c r="I3247" i="1"/>
  <c r="A3248" i="1"/>
  <c r="F3248" i="1"/>
  <c r="G3248" i="1"/>
  <c r="I3248" i="1"/>
  <c r="A3249" i="1"/>
  <c r="F3249" i="1"/>
  <c r="G3249" i="1"/>
  <c r="I3249" i="1"/>
  <c r="A3250" i="1"/>
  <c r="F3250" i="1"/>
  <c r="G3250" i="1"/>
  <c r="I3250" i="1"/>
  <c r="A3251" i="1"/>
  <c r="F3251" i="1"/>
  <c r="G3251" i="1"/>
  <c r="I3251" i="1"/>
  <c r="A3252" i="1"/>
  <c r="F3252" i="1"/>
  <c r="G3252" i="1"/>
  <c r="I3252" i="1"/>
  <c r="A3253" i="1"/>
  <c r="F3253" i="1"/>
  <c r="G3253" i="1"/>
  <c r="I3253" i="1"/>
  <c r="A3254" i="1"/>
  <c r="F3254" i="1"/>
  <c r="G3254" i="1"/>
  <c r="I3254" i="1"/>
  <c r="A3255" i="1"/>
  <c r="F3255" i="1"/>
  <c r="G3255" i="1"/>
  <c r="I3255" i="1"/>
  <c r="A3256" i="1"/>
  <c r="F3256" i="1"/>
  <c r="G3256" i="1"/>
  <c r="I3256" i="1"/>
  <c r="A3257" i="1"/>
  <c r="F3257" i="1"/>
  <c r="G3257" i="1"/>
  <c r="I3257" i="1"/>
  <c r="A3258" i="1"/>
  <c r="F3258" i="1"/>
  <c r="G3258" i="1"/>
  <c r="I3258" i="1"/>
  <c r="A3259" i="1"/>
  <c r="F3259" i="1"/>
  <c r="G3259" i="1"/>
  <c r="I3259" i="1"/>
  <c r="A3260" i="1"/>
  <c r="F3260" i="1"/>
  <c r="G3260" i="1"/>
  <c r="I3260" i="1"/>
  <c r="A3261" i="1"/>
  <c r="F3261" i="1"/>
  <c r="G3261" i="1"/>
  <c r="I3261" i="1"/>
  <c r="A3262" i="1"/>
  <c r="F3262" i="1"/>
  <c r="G3262" i="1"/>
  <c r="I3262" i="1"/>
  <c r="A3263" i="1"/>
  <c r="F3263" i="1"/>
  <c r="G3263" i="1"/>
  <c r="I3263" i="1"/>
  <c r="A3264" i="1"/>
  <c r="F3264" i="1"/>
  <c r="G3264" i="1"/>
  <c r="I3264" i="1"/>
  <c r="A3265" i="1"/>
  <c r="F3265" i="1"/>
  <c r="G3265" i="1"/>
  <c r="I3265" i="1"/>
  <c r="A3266" i="1"/>
  <c r="F3266" i="1"/>
  <c r="G3266" i="1"/>
  <c r="I3266" i="1"/>
  <c r="A3267" i="1"/>
  <c r="F3267" i="1"/>
  <c r="G3267" i="1"/>
  <c r="I3267" i="1"/>
  <c r="A3268" i="1"/>
  <c r="F3268" i="1"/>
  <c r="G3268" i="1"/>
  <c r="I3268" i="1"/>
  <c r="A3269" i="1"/>
  <c r="F3269" i="1"/>
  <c r="G3269" i="1"/>
  <c r="I3269" i="1"/>
  <c r="A3270" i="1"/>
  <c r="F3270" i="1"/>
  <c r="G3270" i="1"/>
  <c r="I3270" i="1"/>
  <c r="A3271" i="1"/>
  <c r="F3271" i="1"/>
  <c r="G3271" i="1"/>
  <c r="I3271" i="1"/>
  <c r="A3272" i="1"/>
  <c r="F3272" i="1"/>
  <c r="G3272" i="1"/>
  <c r="I3272" i="1"/>
  <c r="A3273" i="1"/>
  <c r="F3273" i="1"/>
  <c r="G3273" i="1"/>
  <c r="I3273" i="1"/>
  <c r="A3274" i="1"/>
  <c r="F3274" i="1"/>
  <c r="G3274" i="1"/>
  <c r="I3274" i="1"/>
  <c r="A3275" i="1"/>
  <c r="F3275" i="1"/>
  <c r="G3275" i="1"/>
  <c r="I3275" i="1"/>
  <c r="A3276" i="1"/>
  <c r="F3276" i="1"/>
  <c r="G3276" i="1"/>
  <c r="I3276" i="1"/>
  <c r="A3277" i="1"/>
  <c r="F3277" i="1"/>
  <c r="G3277" i="1"/>
  <c r="I3277" i="1"/>
  <c r="A3278" i="1"/>
  <c r="F3278" i="1"/>
  <c r="G3278" i="1"/>
  <c r="I3278" i="1"/>
  <c r="A3279" i="1"/>
  <c r="F3279" i="1"/>
  <c r="G3279" i="1"/>
  <c r="I3279" i="1"/>
  <c r="A3280" i="1"/>
  <c r="F3280" i="1"/>
  <c r="G3280" i="1"/>
  <c r="I3280" i="1"/>
  <c r="A3281" i="1"/>
  <c r="F3281" i="1"/>
  <c r="G3281" i="1"/>
  <c r="I3281" i="1"/>
  <c r="A3282" i="1"/>
  <c r="F3282" i="1"/>
  <c r="G3282" i="1"/>
  <c r="I3282" i="1"/>
  <c r="A3283" i="1"/>
  <c r="F3283" i="1"/>
  <c r="G3283" i="1"/>
  <c r="I3283" i="1"/>
  <c r="A3284" i="1"/>
  <c r="F3284" i="1"/>
  <c r="G3284" i="1"/>
  <c r="I3284" i="1"/>
  <c r="A3285" i="1"/>
  <c r="F3285" i="1"/>
  <c r="G3285" i="1"/>
  <c r="I3285" i="1"/>
  <c r="A3286" i="1"/>
  <c r="F3286" i="1"/>
  <c r="G3286" i="1"/>
  <c r="I3286" i="1"/>
  <c r="A3287" i="1"/>
  <c r="F3287" i="1"/>
  <c r="G3287" i="1"/>
  <c r="I3287" i="1"/>
  <c r="A3288" i="1"/>
  <c r="F3288" i="1"/>
  <c r="G3288" i="1"/>
  <c r="I3288" i="1"/>
  <c r="A3289" i="1"/>
  <c r="F3289" i="1"/>
  <c r="G3289" i="1"/>
  <c r="I3289" i="1"/>
  <c r="A3290" i="1"/>
  <c r="F3290" i="1"/>
  <c r="G3290" i="1"/>
  <c r="I3290" i="1"/>
  <c r="A3291" i="1"/>
  <c r="F3291" i="1"/>
  <c r="G3291" i="1"/>
  <c r="I3291" i="1"/>
  <c r="A3292" i="1"/>
  <c r="F3292" i="1"/>
  <c r="G3292" i="1"/>
  <c r="I3292" i="1"/>
  <c r="A3293" i="1"/>
  <c r="F3293" i="1"/>
  <c r="G3293" i="1"/>
  <c r="I3293" i="1"/>
  <c r="A3294" i="1"/>
  <c r="F3294" i="1"/>
  <c r="G3294" i="1"/>
  <c r="I3294" i="1"/>
  <c r="A3295" i="1"/>
  <c r="F3295" i="1"/>
  <c r="G3295" i="1"/>
  <c r="I3295" i="1"/>
</calcChain>
</file>

<file path=xl/sharedStrings.xml><?xml version="1.0" encoding="utf-8"?>
<sst xmlns="http://schemas.openxmlformats.org/spreadsheetml/2006/main" count="806" uniqueCount="626">
  <si>
    <t xml:space="preserve">Vendor # </t>
  </si>
  <si>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</si>
  <si>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</si>
  <si>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</si>
  <si>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</si>
  <si>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</si>
  <si>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</si>
  <si>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</si>
  <si>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</si>
  <si>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3-C TECHNOLOGY  LLC</t>
  </si>
  <si>
    <t>973 MATERIALS  LLC</t>
  </si>
  <si>
    <t>ALLSHRED INC</t>
  </si>
  <si>
    <t>ARNOLD OIL COMPANY OF AUSTIN LP</t>
  </si>
  <si>
    <t>A. DAVID AXELRAD  M.D. &amp; ASSOCIATES  P. A.</t>
  </si>
  <si>
    <t>TIMOTHY HALL</t>
  </si>
  <si>
    <t>AAA FIRE/SAFETY EQUIP CO INC</t>
  </si>
  <si>
    <t>ABLE ELECTRIC  INC.</t>
  </si>
  <si>
    <t>ACES A/C SUPPLY INC</t>
  </si>
  <si>
    <t>ADAM ROWINS</t>
  </si>
  <si>
    <t>ADENA LEWIS</t>
  </si>
  <si>
    <t>ALAMO  GROUP (TX)  INC</t>
  </si>
  <si>
    <t>ALBERT NEAL PFEIFFER</t>
  </si>
  <si>
    <t>ALLIED INSURANCE</t>
  </si>
  <si>
    <t>="15</t>
  </si>
  <si>
    <t>835"</t>
  </si>
  <si>
    <t>ALVIN REESE</t>
  </si>
  <si>
    <t>S &amp; D PLUMBING-GIDDINGS LLC</t>
  </si>
  <si>
    <t>AMAZON CAPITAL SERVICES INC</t>
  </si>
  <si>
    <t>AMERICAN ASSN OF NOTARIES</t>
  </si>
  <si>
    <t>AMERICAN FASTENERS INC</t>
  </si>
  <si>
    <t>AMERICAN HEALTH SERVICE SALES CORP</t>
  </si>
  <si>
    <t>AMERISOURCEBERGEN</t>
  </si>
  <si>
    <t>AMG PRINTING &amp; MAILING</t>
  </si>
  <si>
    <t>ANDERSON &amp; ANDERSON LAW FIRM PC</t>
  </si>
  <si>
    <t>ANDERSON MACHINERY AUSTIN INC</t>
  </si>
  <si>
    <t>ANTHONY WALL</t>
  </si>
  <si>
    <t>C APPLEMAN ENT INC</t>
  </si>
  <si>
    <t>APRIL KUCK</t>
  </si>
  <si>
    <t>AQUA BEVERAGE COMPANY/OZARKA</t>
  </si>
  <si>
    <t>AQUA WATER SUPPLY</t>
  </si>
  <si>
    <t>ARA IMAGING / ST.DAVIDS IMAGING LP</t>
  </si>
  <si>
    <t>AT &amp; T</t>
  </si>
  <si>
    <t>AT&amp;T</t>
  </si>
  <si>
    <t>AT&amp;T MOBILITY</t>
  </si>
  <si>
    <t>AT&amp;T MOBILITY-W&amp;M</t>
  </si>
  <si>
    <t>GRAND JUNCTION NEWSPAPERS  INC</t>
  </si>
  <si>
    <t>GRAND JUNCTION NEWSPAPERS INC</t>
  </si>
  <si>
    <t>MARK (MARCO) W. HANSON</t>
  </si>
  <si>
    <t>AUSTIN LLOYD</t>
  </si>
  <si>
    <t>AUSTIN RADIOLOGICAL ASSOC</t>
  </si>
  <si>
    <t>JIM ATTRA INC</t>
  </si>
  <si>
    <t>MICHAEL OLDHAM TIRE INC</t>
  </si>
  <si>
    <t>EDUARDO BARRIENTOS</t>
  </si>
  <si>
    <t>DEBORAH D. SPARKMAN</t>
  </si>
  <si>
    <t>BASTROP CENTRAL APPRAISAL DIST.</t>
  </si>
  <si>
    <t>BASTROP CNTY SHERIFF'S DEPT</t>
  </si>
  <si>
    <t>="11</t>
  </si>
  <si>
    <t>972"</t>
  </si>
  <si>
    <t>DANIEL L HEPKER</t>
  </si>
  <si>
    <t>BASTROP INDEPENDENT SCHOOL DISTRICT</t>
  </si>
  <si>
    <t>BASTROP MEDICAL CLINIC</t>
  </si>
  <si>
    <t>BASTROP PROVIDENCE FUNERAL HOME</t>
  </si>
  <si>
    <t>BASTROP SIGNS &amp; BANNERS</t>
  </si>
  <si>
    <t>BASTROP TIRE &amp; AUTOMOTIVE LLC</t>
  </si>
  <si>
    <t>BASTROP TREE SERVICE  INC</t>
  </si>
  <si>
    <t>DAVID H OUTON</t>
  </si>
  <si>
    <t>BELL COUNTY SHERIFF</t>
  </si>
  <si>
    <t>BEN E KEITH CO.</t>
  </si>
  <si>
    <t>BENJAMIN FOODS  LLC</t>
  </si>
  <si>
    <t>BENNY LEAL</t>
  </si>
  <si>
    <t>MULTI SERVICE CORP</t>
  </si>
  <si>
    <t>BEST CHOICE FOODS</t>
  </si>
  <si>
    <t>BIG TEX TRAILER WORLD INC.</t>
  </si>
  <si>
    <t>BIG WRENCH ROAD SERVICE INC</t>
  </si>
  <si>
    <t>MAURINE MC LEAN</t>
  </si>
  <si>
    <t>BIMBO FOODS INC</t>
  </si>
  <si>
    <t>BLAS J COY JR</t>
  </si>
  <si>
    <t>BLUE 360 MEDIA  LLC</t>
  </si>
  <si>
    <t>BLUEBONNET AREA CRIME STOPPERS PROGRAM</t>
  </si>
  <si>
    <t>BLUEBONNET ELECTRIC</t>
  </si>
  <si>
    <t>915  11/30/17"</t>
  </si>
  <si>
    <t>BLUEBONNET ELECTRIC COOP</t>
  </si>
  <si>
    <t>BLUEBONNET TRAILS MHMR</t>
  </si>
  <si>
    <t>BOB BARKER COMPANY  INC.</t>
  </si>
  <si>
    <t>BOBBY INGRAM JR</t>
  </si>
  <si>
    <t>BOBBY BROWN</t>
  </si>
  <si>
    <t>BOYS &amp; GIRLS OF BASTROP COUNTY</t>
  </si>
  <si>
    <t>BRANDON GALIPP</t>
  </si>
  <si>
    <t>BRANDON WHEELER</t>
  </si>
  <si>
    <t>BRAUNTEX MATERIALS INC</t>
  </si>
  <si>
    <t>BRIAN GARVEL</t>
  </si>
  <si>
    <t>BROOKSHIRE BROTHERS</t>
  </si>
  <si>
    <t>="10</t>
  </si>
  <si>
    <t>442  11/22/17"</t>
  </si>
  <si>
    <t>BRYAN GOERTZ</t>
  </si>
  <si>
    <t>LAW OFFICE OF BRYAN W. MCDANIEL  P.C.</t>
  </si>
  <si>
    <t>BUREAU OF VITAL STATISTICS</t>
  </si>
  <si>
    <t>C STEVE SIMMONS</t>
  </si>
  <si>
    <t>CANNON PLUMBING AND DRAIN  LLC</t>
  </si>
  <si>
    <t>CAPITAL AREA COUNCIL OF GOVERNMENTS</t>
  </si>
  <si>
    <t>CAPITOL ANESTHESIOLOGY ASSOC</t>
  </si>
  <si>
    <t>CAPITOL BEARING OF AUSTIN</t>
  </si>
  <si>
    <t>TIB-THE INDEPENDENT BANKERS BANK</t>
  </si>
  <si>
    <t>CARL FONTENOT</t>
  </si>
  <si>
    <t>CARROLL H RABEL</t>
  </si>
  <si>
    <t>CDW GOVERNMENT INC</t>
  </si>
  <si>
    <t>CEN-TEX REGIONAL JUVENILE SERVICES</t>
  </si>
  <si>
    <t>CENTEX MATERIALS LLC</t>
  </si>
  <si>
    <t>CENTEX MECHANICAL INC</t>
  </si>
  <si>
    <t>CENTRAL TEXAS AUTOPSY</t>
  </si>
  <si>
    <t>CENTRAL TX FRAME &amp; ALIGNMENT</t>
  </si>
  <si>
    <t>CHARLES W CARVER</t>
  </si>
  <si>
    <t>CHRIS MATT DILLON</t>
  </si>
  <si>
    <t>CINDYE WOLFORD</t>
  </si>
  <si>
    <t>CINTAS</t>
  </si>
  <si>
    <t>CINTAS CORPORATION</t>
  </si>
  <si>
    <t>CINTAS CORPORATION #86</t>
  </si>
  <si>
    <t>CISTERA NETWORKS INC</t>
  </si>
  <si>
    <t>CITY OF BASTROP</t>
  </si>
  <si>
    <t>="12</t>
  </si>
  <si>
    <t>756  11/20/17"</t>
  </si>
  <si>
    <t>CITY OF ELGIN</t>
  </si>
  <si>
    <t>CITY OF SMITHVILLE</t>
  </si>
  <si>
    <t>CLAY WANECK</t>
  </si>
  <si>
    <t>CLAYTON SEIDEL</t>
  </si>
  <si>
    <t>CLIFFORD POWER SYSTEMS INC</t>
  </si>
  <si>
    <t>CLINICAL PATHOLOGY LABORATORIES INC</t>
  </si>
  <si>
    <t>C&amp;JMP  INC</t>
  </si>
  <si>
    <t>MID-AMERICAN SUPPLY CO.</t>
  </si>
  <si>
    <t>CODY KELLY</t>
  </si>
  <si>
    <t>COMMUNICATION BY HAND LLC</t>
  </si>
  <si>
    <t>COMMUNITY HEALTH CENTERS</t>
  </si>
  <si>
    <t>CONTECH ENGINEERED SOLUTIONS INC</t>
  </si>
  <si>
    <t>CONVERGENCE CABLING INC</t>
  </si>
  <si>
    <t>COUFAL-PRATER EQUIPMENT LTD</t>
  </si>
  <si>
    <t>CRAWFORD GADD</t>
  </si>
  <si>
    <t>CRESSIDA EVELYN KWOLEK  PH. D.</t>
  </si>
  <si>
    <t>CRIME VICTIM'S COMPENSATION FUND</t>
  </si>
  <si>
    <t>501"</t>
  </si>
  <si>
    <t>CRYSTAL DEAR</t>
  </si>
  <si>
    <t>MUNICIPAL SERVICES BUREAU</t>
  </si>
  <si>
    <t>CURTIS POWELL</t>
  </si>
  <si>
    <t>CUSTOM PRODUCTS CORPORATION</t>
  </si>
  <si>
    <t>CYDNEY CRIDER</t>
  </si>
  <si>
    <t>DAHILL INDUSTRIES  INC</t>
  </si>
  <si>
    <t>DARRELL KUNKEL</t>
  </si>
  <si>
    <t>DARRELL STIFFLEMIRE</t>
  </si>
  <si>
    <t>DAVID B BROOKS</t>
  </si>
  <si>
    <t>DAVID GONZALEZ</t>
  </si>
  <si>
    <t>DAVID M COLLINS</t>
  </si>
  <si>
    <t>DAVID MARTIN</t>
  </si>
  <si>
    <t>DELL</t>
  </si>
  <si>
    <t>DICKENS LOCKSMITH INC</t>
  </si>
  <si>
    <t>DEPARTMENT OF INFORMATION RESOURCES</t>
  </si>
  <si>
    <t>DISCOUNT FEEDS</t>
  </si>
  <si>
    <t>THE REINALT-THOMAS CORP</t>
  </si>
  <si>
    <t>GRANT O. LOYD</t>
  </si>
  <si>
    <t>DORWIN WALLACE</t>
  </si>
  <si>
    <t>DOUBLE TUFF TRUCK TARPS INC</t>
  </si>
  <si>
    <t>DUNNE &amp; JUAREZ L.L.C.</t>
  </si>
  <si>
    <t>DWIGHT STOCKTON</t>
  </si>
  <si>
    <t>EAST TEXAS TOWERS  LLC</t>
  </si>
  <si>
    <t>ECOLAB INC</t>
  </si>
  <si>
    <t>ELECTION SYSTEMS &amp; SOFTWARE INC</t>
  </si>
  <si>
    <t>ELGIN COMMUNITY CUPBOARD</t>
  </si>
  <si>
    <t>BLACKLANDS PUBLICATIONS INC</t>
  </si>
  <si>
    <t>CITY OF ELGIN UTILITIES</t>
  </si>
  <si>
    <t>ELLIOTT ELECTRIC SUPPLY INC</t>
  </si>
  <si>
    <t>="15W LED 48" Lights"</t>
  </si>
  <si>
    <t>ENRIQUE PORTUGAL</t>
  </si>
  <si>
    <t>EWALD KUBOTA  INC.</t>
  </si>
  <si>
    <t>FAMILY HEALTH CENTER OF BASTROP PLLC</t>
  </si>
  <si>
    <t>FEDERAL EXPRESS</t>
  </si>
  <si>
    <t>FIRST NATIONAL BANK BASTROP</t>
  </si>
  <si>
    <t>="13</t>
  </si>
  <si>
    <t>507  11/3/17"</t>
  </si>
  <si>
    <t>FLEET COR TECHNOLOGIES INC</t>
  </si>
  <si>
    <t>FORREST L. SANDERSON</t>
  </si>
  <si>
    <t>FPC FINANCIAL f.s.b.</t>
  </si>
  <si>
    <t>AUSTIN TRUCK &amp; EQUIP LTD</t>
  </si>
  <si>
    <t>EUGENE W BRIGGS JR</t>
  </si>
  <si>
    <t>G &amp; K SERVICES</t>
  </si>
  <si>
    <t>GOVERNMENTAL COLLECTORS ASSOCIATION OF TEXAS</t>
  </si>
  <si>
    <t>KROSS WHOLESALE TIRE CO INC</t>
  </si>
  <si>
    <t>GEORGE W GALLAGHER</t>
  </si>
  <si>
    <t>GOLDSTAR PRODUCTS INC</t>
  </si>
  <si>
    <t>GOVCONNECTION INC</t>
  </si>
  <si>
    <t>GRACE BARTSCH</t>
  </si>
  <si>
    <t>GRAINGER INC</t>
  </si>
  <si>
    <t>GRAND JUNCTION NEWSPAPERS</t>
  </si>
  <si>
    <t>GRAPEVINE DCJ  LLC</t>
  </si>
  <si>
    <t>GREATER ELGIN CHAMBER OF COMMERCE</t>
  </si>
  <si>
    <t>GREG KNEPP</t>
  </si>
  <si>
    <t>GT DISTRIBUTORS  INC.</t>
  </si>
  <si>
    <t>GULF COAST PAPER CO. INC.</t>
  </si>
  <si>
    <t>HARRIS COUNTY CONSTABLE PCT 1</t>
  </si>
  <si>
    <t>HEARTLAND QUARRIES  LLC</t>
  </si>
  <si>
    <t>HECTOR CATTLE COMPANY</t>
  </si>
  <si>
    <t>="16</t>
  </si>
  <si>
    <t>373"</t>
  </si>
  <si>
    <t>HENNA CHEVROLET</t>
  </si>
  <si>
    <t>HERBERT J BARTSCH JR</t>
  </si>
  <si>
    <t>HERITAGE FOOD SERVICES GROUP</t>
  </si>
  <si>
    <t>HERSHCAP BACKHOE &amp; DITCHING INC</t>
  </si>
  <si>
    <t>658  11/17/17"</t>
  </si>
  <si>
    <t>BASCOM L HODGES JR</t>
  </si>
  <si>
    <t>HODGSON G ECKEL</t>
  </si>
  <si>
    <t>HOLLY SCHULZ  CSR  RPR</t>
  </si>
  <si>
    <t>BD HOLT CO</t>
  </si>
  <si>
    <t>CITIBANK (SOUTH DAKOTA)N.A./THE HOME DEPOT</t>
  </si>
  <si>
    <t>HOSPITALIST MEDICINE PHYSICIANS OF TEXAS</t>
  </si>
  <si>
    <t>HOWARD EISENBECK</t>
  </si>
  <si>
    <t>HUDSON ENERGY CORP</t>
  </si>
  <si>
    <t>HYDRAULIC HOUSE INC</t>
  </si>
  <si>
    <t>INDIGENT HEALTHCARE SOLUTIONS</t>
  </si>
  <si>
    <t>INLAND TRUCK PARTS COMPANY</t>
  </si>
  <si>
    <t>IRON MOUNTAIN RECORDS MGMT INC</t>
  </si>
  <si>
    <t>J D LANGLEY</t>
  </si>
  <si>
    <t>TRIPLE J JACKPOT</t>
  </si>
  <si>
    <t>JAMES D.SQUIER</t>
  </si>
  <si>
    <t>JAMES DAVENPORT</t>
  </si>
  <si>
    <t>JAMES E. GARON &amp; ASSOC.</t>
  </si>
  <si>
    <t>JAMES O. BURKE</t>
  </si>
  <si>
    <t>JANET LEAH LYNN</t>
  </si>
  <si>
    <t>JEFF KINNISON</t>
  </si>
  <si>
    <t>JENKINS &amp; JENKINS LLP</t>
  </si>
  <si>
    <t>852"</t>
  </si>
  <si>
    <t>JERRY HOFROCK</t>
  </si>
  <si>
    <t>="14</t>
  </si>
  <si>
    <t>505  11/21/17"</t>
  </si>
  <si>
    <t>JERRY STEPAN</t>
  </si>
  <si>
    <t>JAMES MORGAN</t>
  </si>
  <si>
    <t>JIMMY DUTY</t>
  </si>
  <si>
    <t>JMAIL &amp; SMITH CONSTRUCTION LP</t>
  </si>
  <si>
    <t>JOHN C KUHN</t>
  </si>
  <si>
    <t>JOHN DELACK</t>
  </si>
  <si>
    <t>JOHN E REID &amp; ASSO INC</t>
  </si>
  <si>
    <t>JORDAN MC DONALD</t>
  </si>
  <si>
    <t>JOSEPH C RABEL</t>
  </si>
  <si>
    <t>JUSTIN MATTHEW FOHN</t>
  </si>
  <si>
    <t>KAREN STARKS</t>
  </si>
  <si>
    <t>="8</t>
  </si>
  <si>
    <t>898  11/6/17"</t>
  </si>
  <si>
    <t>KATHY REEVES</t>
  </si>
  <si>
    <t>393  11/17/17"</t>
  </si>
  <si>
    <t>KELLY-MOORE PAINT COMPANY  INC</t>
  </si>
  <si>
    <t>KENT BROUSSARD TOWER RENTAL INC</t>
  </si>
  <si>
    <t>KEVIN UNGER</t>
  </si>
  <si>
    <t>KLEIBER FORD TRACTOR  INC.</t>
  </si>
  <si>
    <t>LABATT INSTITUTIONAL SUPPLY CO</t>
  </si>
  <si>
    <t>LAURIE INGRAM</t>
  </si>
  <si>
    <t>J. MARQUE MOORE</t>
  </si>
  <si>
    <t>LENNOX INDUSTRIES INC</t>
  </si>
  <si>
    <t>AUSTIN L.T.  INC</t>
  </si>
  <si>
    <t>LEXISNEXIS RISK DATA MGMT INC</t>
  </si>
  <si>
    <t>LIBERTY TIRE RECYCLING</t>
  </si>
  <si>
    <t>LINDA HARMON-TAX ASSESSOR</t>
  </si>
  <si>
    <t>LISA M. MIMS</t>
  </si>
  <si>
    <t>LISA SMITH</t>
  </si>
  <si>
    <t>LOGAN SCHROEDER</t>
  </si>
  <si>
    <t>LONE STAR BRAKE &amp; CLUTCH</t>
  </si>
  <si>
    <t>LONE STAR CIRCLE OF CARE</t>
  </si>
  <si>
    <t>LONE STAR MATERIALS  INC</t>
  </si>
  <si>
    <t>UNITED KWB COLLABORATIONS LLC</t>
  </si>
  <si>
    <t>LONESTAR HOSPITAL MEDICINE ASSOCIATES PA</t>
  </si>
  <si>
    <t>LONGHORN EMERGENCY MEDICAL ASSOC PA</t>
  </si>
  <si>
    <t>LONGHORN INTERNATIONAL TRUCKS LTD</t>
  </si>
  <si>
    <t>LORENE REDUS</t>
  </si>
  <si>
    <t>SCOTT BRYANT</t>
  </si>
  <si>
    <t>LOWE'S</t>
  </si>
  <si>
    <t>MAGIC TOUCH CLEANING SYSTEMS LLC</t>
  </si>
  <si>
    <t>MAIL &amp; SIGNS</t>
  </si>
  <si>
    <t>MARIA CELESTE COSTLEY</t>
  </si>
  <si>
    <t>MARK A RUMPLE</t>
  </si>
  <si>
    <t>MARK A. WHITING</t>
  </si>
  <si>
    <t>MARK E BOWLES</t>
  </si>
  <si>
    <t>MARK T MALONE M.D. P.A</t>
  </si>
  <si>
    <t>JOHN W GASPARINI INC</t>
  </si>
  <si>
    <t>MARY ANGELA FREEMAN</t>
  </si>
  <si>
    <t>MARY BETH SCOTT</t>
  </si>
  <si>
    <t>MATHESON TRI-GAS INC</t>
  </si>
  <si>
    <t>MATT CAIN</t>
  </si>
  <si>
    <t>MATT HANCOCK</t>
  </si>
  <si>
    <t>MAURICE C. COOK</t>
  </si>
  <si>
    <t>McCOY'S BUILDING SUPPLY CENTER</t>
  </si>
  <si>
    <t>McCREARY  VESELKA  BRAGG &amp; ALLEN P</t>
  </si>
  <si>
    <t>010  11/03/17"</t>
  </si>
  <si>
    <t>MEDIMPACT HEALTHCARE SYSTEMS INC</t>
  </si>
  <si>
    <t>MELISSA A MEADOR</t>
  </si>
  <si>
    <t>MENTALIX INC</t>
  </si>
  <si>
    <t>MICHELE FRITSCHE C.S.R.</t>
  </si>
  <si>
    <t>MICHELLE ROD</t>
  </si>
  <si>
    <t>MIDTEX MATERIALS</t>
  </si>
  <si>
    <t>MIKE STIEFER</t>
  </si>
  <si>
    <t>MILLER UNIFORMS &amp; EMBLEMS</t>
  </si>
  <si>
    <t>Children's Advocacy Center</t>
  </si>
  <si>
    <t>COURT APPOINTED SPECIAL ADVOCA</t>
  </si>
  <si>
    <t>Child Protective Services</t>
  </si>
  <si>
    <t>Family Crisis Center</t>
  </si>
  <si>
    <t>STEPHEN MICHAEL KROTOFIL</t>
  </si>
  <si>
    <t>HAROLD GEORGE WESSELS</t>
  </si>
  <si>
    <t>DALE JASON HANNUSCH</t>
  </si>
  <si>
    <t>MARC LYNN COX</t>
  </si>
  <si>
    <t>KAREN TAYLOR KIRK</t>
  </si>
  <si>
    <t>DONNA FRENCH REECE</t>
  </si>
  <si>
    <t>DIANA MARIA VILLARREAL</t>
  </si>
  <si>
    <t>DREW ALLAN WILLIAMS</t>
  </si>
  <si>
    <t>GAL WYCHE</t>
  </si>
  <si>
    <t>APRIL RENEE MARQUEZ</t>
  </si>
  <si>
    <t>LUTHER ELVIN HOOVER</t>
  </si>
  <si>
    <t>BERNETTA DUWAE TOLBERT</t>
  </si>
  <si>
    <t>COLIN KELLY MASON JR</t>
  </si>
  <si>
    <t>THELMA MOORE RILEY-USOH</t>
  </si>
  <si>
    <t>HOLLY ELIZABETH MCBETH</t>
  </si>
  <si>
    <t>JERRY LEE HAYWOOD</t>
  </si>
  <si>
    <t>MICHAEL KENNETH CARTER</t>
  </si>
  <si>
    <t>SHIRLEY ANN MASSIE-PADILLA</t>
  </si>
  <si>
    <t>DIANA JANE TREVINO</t>
  </si>
  <si>
    <t>CAROLYN ANN JACKSON</t>
  </si>
  <si>
    <t>HOWARD SMITH BURNS JR</t>
  </si>
  <si>
    <t>RUSSELL TRAVIS TUCKER</t>
  </si>
  <si>
    <t>WILLIAM DAWSON WOOD</t>
  </si>
  <si>
    <t>ORENTHAL DELEON JOHNSON</t>
  </si>
  <si>
    <t>GEORGE EDWIN REEVES JR</t>
  </si>
  <si>
    <t>THELMA GARCIA ERWIN</t>
  </si>
  <si>
    <t>LOURDES ARAMBULA MEINHOLD</t>
  </si>
  <si>
    <t>JOYCE JACOBS ZIMMERHANZEL</t>
  </si>
  <si>
    <t>WINNIE LAGAY MITCHELL</t>
  </si>
  <si>
    <t>CHARLES LAMONT GREEN</t>
  </si>
  <si>
    <t>MARY PAULINE WILKERSON</t>
  </si>
  <si>
    <t>JEFFREY LOWELL WILLIS</t>
  </si>
  <si>
    <t>KATHRYN K CHIAPPETTA</t>
  </si>
  <si>
    <t>JAMES DALE HIBBS</t>
  </si>
  <si>
    <t>ERWIN HERMAN WALICEK JR</t>
  </si>
  <si>
    <t>STEPHANIE LYNN NAVEJAS</t>
  </si>
  <si>
    <t>BRIAN SCOTT WACHHAUS</t>
  </si>
  <si>
    <t>CLADIE MAE JOHNSON</t>
  </si>
  <si>
    <t>SHERRY ROBERTS LANDRY</t>
  </si>
  <si>
    <t>VIVIANO GIL ZUNIGA JR</t>
  </si>
  <si>
    <t>HENRY CHARLES ALGERMISSEN</t>
  </si>
  <si>
    <t>KAREN ANN PATRIDGE</t>
  </si>
  <si>
    <t>JAMES ANTHONY VOIGT</t>
  </si>
  <si>
    <t>PENNI ANNE WOOD</t>
  </si>
  <si>
    <t>RALPH LEWIS HANSEN</t>
  </si>
  <si>
    <t>SUZANNE GIBSON MOGONYE</t>
  </si>
  <si>
    <t>JAMAR GABRIEL PRINCE</t>
  </si>
  <si>
    <t>JACQUELINE S HERNANDEZ</t>
  </si>
  <si>
    <t>MATTHEW W KUYKENDALL III</t>
  </si>
  <si>
    <t>RENEE ALEXANDRA DUCLOS</t>
  </si>
  <si>
    <t>JAMES M RATHMANN</t>
  </si>
  <si>
    <t>VICTOR ROBERT PROCHNOW</t>
  </si>
  <si>
    <t>RICHARD WILLIAM GUENTHER</t>
  </si>
  <si>
    <t>YVONNE S PRITCHARD</t>
  </si>
  <si>
    <t>MICHAEL RAY RENCK</t>
  </si>
  <si>
    <t>JUDITH LEHMANN BOETTCHER</t>
  </si>
  <si>
    <t>GARY WILLIAM KLAUS</t>
  </si>
  <si>
    <t>PATRICIA DAVIS KAISER</t>
  </si>
  <si>
    <t>THOMAS FRANCIS BECK</t>
  </si>
  <si>
    <t>LOURDES I MAIER</t>
  </si>
  <si>
    <t>SANDRA LETICIA NANYES</t>
  </si>
  <si>
    <t>DOUGLAS BRYAN MCDILDA</t>
  </si>
  <si>
    <t>ELAINE MORROW MARTIN</t>
  </si>
  <si>
    <t>SUSAN KAY PRIHODA</t>
  </si>
  <si>
    <t>CLIFFORD MARK KLYM</t>
  </si>
  <si>
    <t>GAROLD FRANKLIN SHREVE</t>
  </si>
  <si>
    <t>ALFRED EARL PHILLIPS</t>
  </si>
  <si>
    <t>MICHAEL LEE PRESLEY</t>
  </si>
  <si>
    <t>LAUREN MICHELLE PATTERSON</t>
  </si>
  <si>
    <t>BECKY HAVERLAND BEHREND</t>
  </si>
  <si>
    <t>JENNIFER GAIL RICHARDSON</t>
  </si>
  <si>
    <t>MARY LOU HARRIS-RAY</t>
  </si>
  <si>
    <t>ALLEN CLAIR BETTIS JR</t>
  </si>
  <si>
    <t>BYRA RENO ANDERSON</t>
  </si>
  <si>
    <t>LARRY ESPINOZA</t>
  </si>
  <si>
    <t>FLOYD WAYNE BOWEN</t>
  </si>
  <si>
    <t>WILLIAM PATRICK HOLCOMB</t>
  </si>
  <si>
    <t>CYNTHIA YVONNE JACKSON</t>
  </si>
  <si>
    <t>MEREDITH LEIGH COMBS</t>
  </si>
  <si>
    <t>ROSS DUANE JOHNSON</t>
  </si>
  <si>
    <t>GARY LANE ROBINSON</t>
  </si>
  <si>
    <t>ADAM PAUL ADAMS</t>
  </si>
  <si>
    <t>WYLIE GRANT RODRIGUEZ</t>
  </si>
  <si>
    <t>GAIL MARIE KLAUS</t>
  </si>
  <si>
    <t>KERRI-ANNE ANNE SULLIVAN</t>
  </si>
  <si>
    <t>MEREDITH A MITCHELL-WILLIAMS</t>
  </si>
  <si>
    <t>TERRI LYNN BRUDER</t>
  </si>
  <si>
    <t>RONALD DALE STOCK</t>
  </si>
  <si>
    <t>CHRISTOPHER LLOYD ROBBINS</t>
  </si>
  <si>
    <t>MICHAEL ANDREW DIAZ</t>
  </si>
  <si>
    <t>ALVIN RAY COLLINS</t>
  </si>
  <si>
    <t>KIMBERLY BRIDGES KELLAR</t>
  </si>
  <si>
    <t>RONALD JOSEPH BARTSCH</t>
  </si>
  <si>
    <t>LEROY JOSEPH HERAUF</t>
  </si>
  <si>
    <t>MARY VERSE GREEN</t>
  </si>
  <si>
    <t>ALBERT OTTO BAUER JR</t>
  </si>
  <si>
    <t>JOHN DANIEL MICAN</t>
  </si>
  <si>
    <t>BARBARA J DOUGLAS</t>
  </si>
  <si>
    <t>ISHMAEL HALIM HARRIS SR</t>
  </si>
  <si>
    <t>MARTHA JAN LUTON</t>
  </si>
  <si>
    <t>CHRISTOPHER J COLBY</t>
  </si>
  <si>
    <t>BRIAN EVAN BENDER</t>
  </si>
  <si>
    <t>KATHERINE ADELE BIRDWELL</t>
  </si>
  <si>
    <t>NANCY SHORT STEELE</t>
  </si>
  <si>
    <t>LINDA FARIAS HOOVER</t>
  </si>
  <si>
    <t>JEFFREY DONALD HARRIS</t>
  </si>
  <si>
    <t>AMANDA LEANN CARLISLE</t>
  </si>
  <si>
    <t>RANDY DALE GELTMEIER</t>
  </si>
  <si>
    <t>HAROLD DEE FLOYD</t>
  </si>
  <si>
    <t>JOHN THOMAS ZINKER</t>
  </si>
  <si>
    <t>NORA EASTERWOOD SCHLUETER</t>
  </si>
  <si>
    <t>CHARLES WALTER FERS</t>
  </si>
  <si>
    <t>STEPHANIE REBER GOERTZ</t>
  </si>
  <si>
    <t>SOLEDAD SIERRA</t>
  </si>
  <si>
    <t>POLLYE ANITA HOFSTEDT</t>
  </si>
  <si>
    <t>SHERRY ANN DUNBAR</t>
  </si>
  <si>
    <t>LORENE HELEN JOHNSON</t>
  </si>
  <si>
    <t>MONARCH DISPOSAL  LLC</t>
  </si>
  <si>
    <t>MOORE MEDICAL LLC</t>
  </si>
  <si>
    <t>MOTOROLA INC</t>
  </si>
  <si>
    <t>NACVSO</t>
  </si>
  <si>
    <t>NALCO COMPANY LLC</t>
  </si>
  <si>
    <t>NANCY L. YOUNG</t>
  </si>
  <si>
    <t>NATIONAL FOOD GROUP INC</t>
  </si>
  <si>
    <t>WILLIAM HAROLD NELSON</t>
  </si>
  <si>
    <t>JOHN NIXON</t>
  </si>
  <si>
    <t>O'REILLY AUTOMOTIVE  INC.</t>
  </si>
  <si>
    <t>SOUTHERN FOODS GROUP LP</t>
  </si>
  <si>
    <t>OFFICE DEPOT</t>
  </si>
  <si>
    <t>ON SITE SERVICES</t>
  </si>
  <si>
    <t>ROGER C OSBORN</t>
  </si>
  <si>
    <t>OSLIN NATION CO</t>
  </si>
  <si>
    <t>OPERATIONAL SUPPORT SERVICES INC</t>
  </si>
  <si>
    <t>PAIGE TRACTORS INC</t>
  </si>
  <si>
    <t>SL PARKER PARTNERSHIP LLC</t>
  </si>
  <si>
    <t>PATHMARK TRAFFIC PRODUCTS</t>
  </si>
  <si>
    <t>PATRICIA MARIE BLAZEK</t>
  </si>
  <si>
    <t>PATRICK ELECTRIC SERVICE</t>
  </si>
  <si>
    <t>PATRICK HAWKINS</t>
  </si>
  <si>
    <t>PATRICK TYDLACKA</t>
  </si>
  <si>
    <t>PATTERSON  VETERINARY SUPPLY INC</t>
  </si>
  <si>
    <t>PATTILLO  BROWN &amp; HILL   LLP</t>
  </si>
  <si>
    <t>PAUL GRANADO</t>
  </si>
  <si>
    <t>PERDUE  BRANDON  FIELDER  COLLINS &amp; MOTT LLP</t>
  </si>
  <si>
    <t>PETHEALTH SERVICES(USA) INC.</t>
  </si>
  <si>
    <t>PHILIP R DUCLOUX</t>
  </si>
  <si>
    <t>PINEY CREEK AUTO SERVICE</t>
  </si>
  <si>
    <t>PB PROFESSIONAL SERVICES INC</t>
  </si>
  <si>
    <t>PITNEY BOWES GLOBAL FINANCIAL SERVICES</t>
  </si>
  <si>
    <t>PM WILSON &amp; ASSOCIATES PLLC</t>
  </si>
  <si>
    <t>PRAXAIR DISTRIBUTION  INC.</t>
  </si>
  <si>
    <t>QUALYS INC</t>
  </si>
  <si>
    <t>QUEST DIAGNOSTICS</t>
  </si>
  <si>
    <t>QUILL CORPORATION</t>
  </si>
  <si>
    <t>R &amp; D BISHOP INC</t>
  </si>
  <si>
    <t>R E PAYSSE</t>
  </si>
  <si>
    <t>RANDY MC MILLAN</t>
  </si>
  <si>
    <t>RAY ALLEN MFG.CO.INC.</t>
  </si>
  <si>
    <t>NESTLE WATERS N AMERICA INC</t>
  </si>
  <si>
    <t>RECIL REEVES</t>
  </si>
  <si>
    <t>593  11/9/17"</t>
  </si>
  <si>
    <t>ACLSA  LLC</t>
  </si>
  <si>
    <t>="29"x27.5" FLAG"</t>
  </si>
  <si>
    <t>REPUBLIC SERVICES INC BFI WASTE SERVICE</t>
  </si>
  <si>
    <t>REPUBLIC TRUCK SALES   PARTS  &amp; REPAIRS</t>
  </si>
  <si>
    <t>RESERVE ACCOUNT</t>
  </si>
  <si>
    <t>REYNOLDS &amp; KEINARTH</t>
  </si>
  <si>
    <t>RICOH USA  INC.</t>
  </si>
  <si>
    <t>RICOH USA INC</t>
  </si>
  <si>
    <t>RICOH AMERICAS CORP</t>
  </si>
  <si>
    <t>RIVERSIDE SERVICE CENTER</t>
  </si>
  <si>
    <t>ROADRUNNER RADIOLOGY EQUIP LLC</t>
  </si>
  <si>
    <t>ROBBIE R RAEMSCH</t>
  </si>
  <si>
    <t>ROBERT CARL STEUBING</t>
  </si>
  <si>
    <t>ROBERT E CANTU M.D. P.A.</t>
  </si>
  <si>
    <t>ROBERT JENKINS</t>
  </si>
  <si>
    <t>ROBERT MADDEN INDUSTRIES LTD</t>
  </si>
  <si>
    <t>ROBERT SMITH III</t>
  </si>
  <si>
    <t>RODGER KRUEGER</t>
  </si>
  <si>
    <t>ROGERS CUSTOM AUTOMOTIVE</t>
  </si>
  <si>
    <t>RONALD WOLF</t>
  </si>
  <si>
    <t>ROSE PIETSCH COUNTY CLERK</t>
  </si>
  <si>
    <t>ROUND ROCK SURGERY CENTER LLC</t>
  </si>
  <si>
    <t>SAM HOUSTON STATE UNIVERSITY</t>
  </si>
  <si>
    <t>SAMES BASTROP FORD INC</t>
  </si>
  <si>
    <t>SAMMY LERMA III MD</t>
  </si>
  <si>
    <t>SCOTT MERRIMAN INC</t>
  </si>
  <si>
    <t>SECURUS TECHNOLOGIES INC</t>
  </si>
  <si>
    <t>SETON HEALTHCARE SPONSORED PROJECTS</t>
  </si>
  <si>
    <t>SETON MEDICAL CENTER</t>
  </si>
  <si>
    <t>SETON FAMILY OF HOSPITALS</t>
  </si>
  <si>
    <t>SHERWIN WILLIAMS CO</t>
  </si>
  <si>
    <t>SHI GOVERNMENT SOLUTIONS INC.</t>
  </si>
  <si>
    <t>SHOPPA'S FARM SUPPLY</t>
  </si>
  <si>
    <t>SIGNATURE SMILES</t>
  </si>
  <si>
    <t>SILSBEE FORD</t>
  </si>
  <si>
    <t>SKYLINE EQUIPMENT INC.</t>
  </si>
  <si>
    <t>ROBERT M SMITH JR</t>
  </si>
  <si>
    <t>SMITHVILLE AREA CHAMBER OF COMMERCE</t>
  </si>
  <si>
    <t>SMITHVILLE AUTO PARTS  INC</t>
  </si>
  <si>
    <t>SMITHVILLE CHAMBER OF COMMERCE</t>
  </si>
  <si>
    <t>SOLARWINDS</t>
  </si>
  <si>
    <t>SOUTHERN TIRE MART LLC</t>
  </si>
  <si>
    <t>DS WATERS OF AMERICA INC</t>
  </si>
  <si>
    <t>SPILLAR CUSTOM HITCHES INC</t>
  </si>
  <si>
    <t>SPOK INC</t>
  </si>
  <si>
    <t>SRIDHAR P REDDY MD PA</t>
  </si>
  <si>
    <t>ST.DAVID'S HEALTHCARE PARTNERSHIP</t>
  </si>
  <si>
    <t>ST.DAVIDS HEART &amp; VASCULAR  PLLC</t>
  </si>
  <si>
    <t>STAPLES ADVANTAGE</t>
  </si>
  <si>
    <t>STATE OF TEXAS</t>
  </si>
  <si>
    <t>STEPHEN BECK</t>
  </si>
  <si>
    <t>STERICYCLE  INC.</t>
  </si>
  <si>
    <t>STEVE GRANADO</t>
  </si>
  <si>
    <t>MATTHEW LEE SULLINS</t>
  </si>
  <si>
    <t>SUSAN RODRIGUEZ</t>
  </si>
  <si>
    <t>TAE4-HA</t>
  </si>
  <si>
    <t>TAMMI JUNE HOLLAND</t>
  </si>
  <si>
    <t>TARRANT COUNTY CONSTABLE PCT 8</t>
  </si>
  <si>
    <t>TAVCO SERVICES INC</t>
  </si>
  <si>
    <t>TAYLOR IRON MACHINE WORKS INC.</t>
  </si>
  <si>
    <t>TAYLOR SECURITY SYSTEMS  INC</t>
  </si>
  <si>
    <t>TEEX</t>
  </si>
  <si>
    <t>TEJAS ELEVATOR COMPANY</t>
  </si>
  <si>
    <t>TERENCE W MEADOWS</t>
  </si>
  <si>
    <t>TERRA EXCAVATION &amp; CONSTRUCTION LLC</t>
  </si>
  <si>
    <t>JOHN J FIETSAM INC</t>
  </si>
  <si>
    <t>TEX-CON OIL CO</t>
  </si>
  <si>
    <t>TEXAN EYE  P.A.</t>
  </si>
  <si>
    <t>TEXAS AGGREGATES  LLC</t>
  </si>
  <si>
    <t>MC ADAMS GROUP LLC</t>
  </si>
  <si>
    <t>TEXAS ASSOCIATES INSURORS AGENCY</t>
  </si>
  <si>
    <t>TEXAS ASSOCIATION OF COUNTIES</t>
  </si>
  <si>
    <t>TEXAS BLACKLAND HARDWARE</t>
  </si>
  <si>
    <t>CONSELMAN RETAIL ENTERPRISES LLC</t>
  </si>
  <si>
    <t>TEXAS COMPTROLLER OF PUBLIC ACCOUNTS</t>
  </si>
  <si>
    <t>TEXAS CORRECTIONAL FACILITY</t>
  </si>
  <si>
    <t>TEXAS CRUSHED STONE CO.</t>
  </si>
  <si>
    <t>TEXAS DEPARTMENT OF HEALTH-ZOONOSIS</t>
  </si>
  <si>
    <t>TEXAS DEPT OF LICENSING &amp; REGULATION</t>
  </si>
  <si>
    <t>TEXAS DEPT OF PUBLIC SAFETY</t>
  </si>
  <si>
    <t>267"</t>
  </si>
  <si>
    <t>TEXAS DISTRICT COURT ALLIANCE</t>
  </si>
  <si>
    <t>TEXAS FIRST CAT RENTAL</t>
  </si>
  <si>
    <t>TEXAS MUNICIPAL POLICE ASSN</t>
  </si>
  <si>
    <t>TEXAS ONCOLOGY</t>
  </si>
  <si>
    <t>TEXAS PARKS &amp; WILDLIFE FUNDS</t>
  </si>
  <si>
    <t>JAMES ANDREW CASEY</t>
  </si>
  <si>
    <t>THE CENTRAL TX  I-10 COMMUNITY ALLIANCE</t>
  </si>
  <si>
    <t>RICHARD NELSON MOORE</t>
  </si>
  <si>
    <t>THE NITSCHE GROUP</t>
  </si>
  <si>
    <t>THE PUBLIC GROUP LLC</t>
  </si>
  <si>
    <t>TWE-ADVANCE/NEWHOUSE PARTNERSHIP</t>
  </si>
  <si>
    <t>TOWA</t>
  </si>
  <si>
    <t>TRANE</t>
  </si>
  <si>
    <t>TRAVIS CO CONSTABLE  PCT 5</t>
  </si>
  <si>
    <t>TRAVIS COUNTY CONSTABLE  PRECINCT #4</t>
  </si>
  <si>
    <t>TRAVIS COUNTY CLERK</t>
  </si>
  <si>
    <t>TRAVIS COUNTY TREASURER</t>
  </si>
  <si>
    <t>TREADMAXX TIRE DISTRIBUTORS  INC.</t>
  </si>
  <si>
    <t>TREY MOORE</t>
  </si>
  <si>
    <t>TRIPLE S FUELS</t>
  </si>
  <si>
    <t>TRACTOR SUPPLY CREDIT PLAN</t>
  </si>
  <si>
    <t>TTIA</t>
  </si>
  <si>
    <t>TX ACADEMY OF ANIMAL CONTROL OFFICERS</t>
  </si>
  <si>
    <t>TX COMMISSION ON ENVIRONMENTAL QUALITY</t>
  </si>
  <si>
    <t>TEXAS DEPARTMENT OF TRANSPORTATION</t>
  </si>
  <si>
    <t>TYLER TECHNOLOGIES LGD</t>
  </si>
  <si>
    <t>TYLER TECHNOLOGIES INC</t>
  </si>
  <si>
    <t>ULINE</t>
  </si>
  <si>
    <t>VCSOAT</t>
  </si>
  <si>
    <t>VINCENT J. UHDE</t>
  </si>
  <si>
    <t>VULCAN CONSTRUCTION MATERIALS  LP</t>
  </si>
  <si>
    <t>W A BAHOT</t>
  </si>
  <si>
    <t>WAGEWORKS INC  FSA/HSA</t>
  </si>
  <si>
    <t>WAL-MART  BASTROP</t>
  </si>
  <si>
    <t>442"</t>
  </si>
  <si>
    <t>645  11/22/17"</t>
  </si>
  <si>
    <t>WALLER COUNTY ASPHALT INC</t>
  </si>
  <si>
    <t>WALMART COMMUNITY BRC</t>
  </si>
  <si>
    <t>WASTE MANAGEMENT OF TEXAS INC</t>
  </si>
  <si>
    <t>WATCH GUARD VIDEO</t>
  </si>
  <si>
    <t>WATERLOGIC USA INC</t>
  </si>
  <si>
    <t>PROGRESSIVE WASTE SOLUTIONS OF TX. INC.</t>
  </si>
  <si>
    <t>WIND KNOT INCORPORATED</t>
  </si>
  <si>
    <t>COBRA EQUIPMENT RENTALS</t>
  </si>
  <si>
    <t>WEI-ANN LIN  MD PA</t>
  </si>
  <si>
    <t>WEST PUBLISHING CORPORATION</t>
  </si>
  <si>
    <t>MAO PHARMACY INC</t>
  </si>
  <si>
    <t>WILLIAMSON CNTY CONSTABLE 4</t>
  </si>
  <si>
    <t>WILLIAMSON COUNTY CONSTABLE 1</t>
  </si>
  <si>
    <t>WILSON 5 WILSON</t>
  </si>
  <si>
    <t>WJC CONSTRUCTION LLC</t>
  </si>
  <si>
    <t>WOODFOREST NATIONAL BANK</t>
  </si>
  <si>
    <t>285"</t>
  </si>
  <si>
    <t>162  11/14/17"</t>
  </si>
  <si>
    <t>XEROX CORPORATION</t>
  </si>
  <si>
    <t>YOKA INC</t>
  </si>
  <si>
    <t>YOUNG &amp; PRATT  INC.</t>
  </si>
  <si>
    <t>ZBATTERY.COM INC</t>
  </si>
  <si>
    <t>ZORO TOOLS INC</t>
  </si>
  <si>
    <t>BROADDUS &amp; ASSOCIATES</t>
  </si>
  <si>
    <t>KIRKSEY ARCHITECTS  INC.</t>
  </si>
  <si>
    <t>MUSTANG MACHINERY COMPANY LTD</t>
  </si>
  <si>
    <t>OXLEY WILLIAMS THARP ARCHITECTS  PLLC</t>
  </si>
  <si>
    <t>REDWOOD BIOTECH</t>
  </si>
  <si>
    <t>RUNKLE ENTERPRISES</t>
  </si>
  <si>
    <t>TEXAS STATE UNIVERSITY</t>
  </si>
  <si>
    <t>ALLSTATE-AMERICAN HERITAGE LIFE INS CO</t>
  </si>
  <si>
    <t>BASTROP ASSN OF SHERIFFS EMPLOYEES</t>
  </si>
  <si>
    <t>BASTROP CNTY ADULT PROBATION</t>
  </si>
  <si>
    <t>COLONIAL LIFE &amp; ACCIDENT INS. CO.</t>
  </si>
  <si>
    <t>CUNA MUTUAL</t>
  </si>
  <si>
    <t>DEBORAH B LANGEHENNIG</t>
  </si>
  <si>
    <t>GUARDIAN</t>
  </si>
  <si>
    <t>INTERNAL REVENUE SERVICE - ACS SUPPORT</t>
  </si>
  <si>
    <t>IRS-PAYROLL TAXES</t>
  </si>
  <si>
    <t>MICHIGAN STATE DISBURSEMENT UNIT(MiSDU)</t>
  </si>
  <si>
    <t>MONUMENTAL LIFE INS CO</t>
  </si>
  <si>
    <t>GERALD FLORES OLIVO</t>
  </si>
  <si>
    <t>TAC HEALTH BENEFITS POOL</t>
  </si>
  <si>
    <t>TEXAS ATTY.GENERAL'S OFFICE</t>
  </si>
  <si>
    <t>TEXAS CNTY &amp; DIST RETIREMENT SYS</t>
  </si>
  <si>
    <t>TEXAS LEGAL PROTECTION PLAN INC</t>
  </si>
  <si>
    <t>TG STUDENT LOAN</t>
  </si>
  <si>
    <t>U.S. DEPT OF EDUCATION - FINANCIAL  ASST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</si>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</sst>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95"/>
  <sheetViews>
    <sheetView tabSelected="1" workbookViewId="0">
      <selection activeCell="D2" sqref="D2"/>
    </sheetView>
  </sheetViews>
  <sheetFormatPr defaultRowHeight="14.4" x14ac:dyDescent="0.3"/>
  <cols>
    <col min="1" max="1" width="8.77734375" bestFit="1" customWidth="1"/>
    <col min="2" max="2" width="47" bestFit="1" customWidth="1"/>
    <col min="3" max="3" width="7.33203125" bestFit="1" customWidth="1"/>
    <col min="4" max="4" width="12.77734375" style="2" bestFit="1" customWidth="1"/>
    <col min="5" max="5" width="10.5546875" bestFit="1" customWidth="1"/>
    <col min="6" max="6" width="20.109375" bestFit="1" customWidth="1"/>
    <col min="7" max="7" width="34.44140625" bestFit="1" customWidth="1"/>
    <col min="8" max="8" width="28.21875" style="2" bestFit="1" customWidth="1"/>
    <col min="9" max="9" width="34.44140625" bestFit="1" customWidth="1"/>
    <col min="10" max="10" width="6" bestFit="1" customWidth="1"/>
  </cols>
  <sheetData>
    <row r="1" spans="1:9" x14ac:dyDescent="0.3">
      <c r="A1" t="s">
        <v>0</v>
      </c>
      <c r="B1" t="s">
        <v>1</v>
      </c>
      <c r="C1" t="s">
        <v>2</v>
      </c>
      <c r="D1" s="2" t="s">
        <v>3</v>
      </c>
      <c r="E1" t="s">
        <v>4</v>
      </c>
      <c r="F1" t="s">
        <v>5</v>
      </c>
      <c r="G1" t="s">
        <v>6</v>
      </c>
      <c r="H1" s="2" t="s">
        <v>7</v>
      </c>
      <c r="I1" t="s">
        <v>8</v>
      </c>
    </row>
    <row r="2" spans="1:9" x14ac:dyDescent="0.3">
      <c r="A2" t="str">
        <f>"005230"</f>
        <v>005230</v>
      </c>
      <c r="B2" t="s">
        <v>9</v>
      </c>
      <c r="C2">
        <v>999999</v>
      </c>
      <c r="D2" s="2">
        <v>18436</v>
      </c>
      <c r="E2" s="1">
        <v>43081</v>
      </c>
      <c r="F2" t="str">
        <f>"3327"</f>
        <v>3327</v>
      </c>
      <c r="G2" t="str">
        <f>"PTZ Cameras"</f>
        <v>PTZ Cameras</v>
      </c>
      <c r="H2" s="2">
        <v>18436</v>
      </c>
      <c r="I2" t="str">
        <f>"PTZ Cameras"</f>
        <v>PTZ Cameras</v>
      </c>
    </row>
    <row r="3" spans="1:9" x14ac:dyDescent="0.3">
      <c r="A3" t="str">
        <f>""</f>
        <v/>
      </c>
      <c r="F3" t="str">
        <f>""</f>
        <v/>
      </c>
      <c r="G3" t="str">
        <f>""</f>
        <v/>
      </c>
      <c r="I3" t="str">
        <f>"AXIS NVR"</f>
        <v>AXIS NVR</v>
      </c>
    </row>
    <row r="4" spans="1:9" x14ac:dyDescent="0.3">
      <c r="A4" t="str">
        <f>"000598"</f>
        <v>000598</v>
      </c>
      <c r="B4" t="s">
        <v>10</v>
      </c>
      <c r="C4">
        <v>74056</v>
      </c>
      <c r="D4" s="2">
        <v>51101.88</v>
      </c>
      <c r="E4" s="1">
        <v>43080</v>
      </c>
      <c r="F4" t="str">
        <f>"9725-001-96307"</f>
        <v>9725-001-96307</v>
      </c>
      <c r="G4" t="str">
        <f>"ACCT#9725-001/REC BASE/PCT#2"</f>
        <v>ACCT#9725-001/REC BASE/PCT#2</v>
      </c>
      <c r="H4" s="2">
        <v>906.33</v>
      </c>
      <c r="I4" t="str">
        <f>"ACCT#9725-001/REC BASE/PCT#2"</f>
        <v>ACCT#9725-001/REC BASE/PCT#2</v>
      </c>
    </row>
    <row r="5" spans="1:9" x14ac:dyDescent="0.3">
      <c r="A5" t="str">
        <f>""</f>
        <v/>
      </c>
      <c r="F5" t="str">
        <f>"9725-001-96339"</f>
        <v>9725-001-96339</v>
      </c>
      <c r="G5" t="str">
        <f>"ACCT#9725-001/REC BASE/PCT#2"</f>
        <v>ACCT#9725-001/REC BASE/PCT#2</v>
      </c>
      <c r="H5" s="2">
        <v>965.31</v>
      </c>
      <c r="I5" t="str">
        <f>"ACCT#9725-001/REC BASE/PCT#2"</f>
        <v>ACCT#9725-001/REC BASE/PCT#2</v>
      </c>
    </row>
    <row r="6" spans="1:9" x14ac:dyDescent="0.3">
      <c r="A6" t="str">
        <f>""</f>
        <v/>
      </c>
      <c r="F6" t="str">
        <f>"9725-001-96379"</f>
        <v>9725-001-96379</v>
      </c>
      <c r="G6" t="str">
        <f>"ACCT#9725-001/REC BASE/PCT#2"</f>
        <v>ACCT#9725-001/REC BASE/PCT#2</v>
      </c>
      <c r="H6" s="2">
        <v>856.02</v>
      </c>
      <c r="I6" t="str">
        <f>"ACCT#9725-001/REC BASE/PCT#2"</f>
        <v>ACCT#9725-001/REC BASE/PCT#2</v>
      </c>
    </row>
    <row r="7" spans="1:9" x14ac:dyDescent="0.3">
      <c r="A7" t="str">
        <f>""</f>
        <v/>
      </c>
      <c r="F7" t="str">
        <f>"9725-001-96416"</f>
        <v>9725-001-96416</v>
      </c>
      <c r="G7" t="str">
        <f>"ACCT#9725-001/REC BASE/PCT#2"</f>
        <v>ACCT#9725-001/REC BASE/PCT#2</v>
      </c>
      <c r="H7" s="2">
        <v>470.93</v>
      </c>
      <c r="I7" t="str">
        <f>"ACCT#9725-001/REC BASE/PCT#2"</f>
        <v>ACCT#9725-001/REC BASE/PCT#2</v>
      </c>
    </row>
    <row r="8" spans="1:9" x14ac:dyDescent="0.3">
      <c r="A8" t="str">
        <f>""</f>
        <v/>
      </c>
      <c r="F8" t="str">
        <f>"9725-004-96491"</f>
        <v>9725-004-96491</v>
      </c>
      <c r="G8" t="str">
        <f>"ACCT#9725-004/REC BASE/PCT#1"</f>
        <v>ACCT#9725-004/REC BASE/PCT#1</v>
      </c>
      <c r="H8" s="2">
        <v>120.49</v>
      </c>
      <c r="I8" t="str">
        <f>"ACCT#9725-004/REC BASE/PCT#1"</f>
        <v>ACCT#9725-004/REC BASE/PCT#1</v>
      </c>
    </row>
    <row r="9" spans="1:9" x14ac:dyDescent="0.3">
      <c r="A9" t="str">
        <f>""</f>
        <v/>
      </c>
      <c r="F9" t="str">
        <f>"9725-004-96536"</f>
        <v>9725-004-96536</v>
      </c>
      <c r="G9" t="str">
        <f>"ACCT#9725-004/REC/BASE/PCT#1"</f>
        <v>ACCT#9725-004/REC/BASE/PCT#1</v>
      </c>
      <c r="H9" s="2">
        <v>2080.6999999999998</v>
      </c>
      <c r="I9" t="str">
        <f>"ACCT#9725-004/REC/BASE/PCT#1"</f>
        <v>ACCT#9725-004/REC/BASE/PCT#1</v>
      </c>
    </row>
    <row r="10" spans="1:9" x14ac:dyDescent="0.3">
      <c r="A10" t="str">
        <f>""</f>
        <v/>
      </c>
      <c r="F10" t="str">
        <f>"9725-004-96571"</f>
        <v>9725-004-96571</v>
      </c>
      <c r="G10" t="str">
        <f>"ACCT#9725-004/REC BASE/PCT#2"</f>
        <v>ACCT#9725-004/REC BASE/PCT#2</v>
      </c>
      <c r="H10" s="2">
        <v>1984.96</v>
      </c>
      <c r="I10" t="str">
        <f>"ACCT#9725-004/REC BASE/PCT#2"</f>
        <v>ACCT#9725-004/REC BASE/PCT#2</v>
      </c>
    </row>
    <row r="11" spans="1:9" x14ac:dyDescent="0.3">
      <c r="A11" t="str">
        <f>""</f>
        <v/>
      </c>
      <c r="F11" t="str">
        <f>"9725-004-96597"</f>
        <v>9725-004-96597</v>
      </c>
      <c r="G11" t="str">
        <f>"ACCT#9725-004/REC BASE/PCT#1"</f>
        <v>ACCT#9725-004/REC BASE/PCT#1</v>
      </c>
      <c r="H11" s="2">
        <v>1125.98</v>
      </c>
      <c r="I11" t="str">
        <f>"ACCT#9725-004/REC BASE/PCT#1"</f>
        <v>ACCT#9725-004/REC BASE/PCT#1</v>
      </c>
    </row>
    <row r="12" spans="1:9" x14ac:dyDescent="0.3">
      <c r="A12" t="str">
        <f>""</f>
        <v/>
      </c>
      <c r="F12" t="str">
        <f>"9725-004-96635"</f>
        <v>9725-004-96635</v>
      </c>
      <c r="G12" t="str">
        <f>"ACCT#9725-004/REC BASE/PCT#1"</f>
        <v>ACCT#9725-004/REC BASE/PCT#1</v>
      </c>
      <c r="H12" s="2">
        <v>1753.69</v>
      </c>
      <c r="I12" t="str">
        <f>"ACCT#9725-004/REC BASE/PCT#1"</f>
        <v>ACCT#9725-004/REC BASE/PCT#1</v>
      </c>
    </row>
    <row r="13" spans="1:9" x14ac:dyDescent="0.3">
      <c r="A13" t="str">
        <f>""</f>
        <v/>
      </c>
      <c r="F13" t="str">
        <f>"9725-004-96678"</f>
        <v>9725-004-96678</v>
      </c>
      <c r="G13" t="str">
        <f>"ACCT#9725-004/REC BASE/PCT#1"</f>
        <v>ACCT#9725-004/REC BASE/PCT#1</v>
      </c>
      <c r="H13" s="2">
        <v>1151.69</v>
      </c>
      <c r="I13" t="str">
        <f>"ACCT#9725-004/REC BASE/PCT#1"</f>
        <v>ACCT#9725-004/REC BASE/PCT#1</v>
      </c>
    </row>
    <row r="14" spans="1:9" x14ac:dyDescent="0.3">
      <c r="A14" t="str">
        <f>""</f>
        <v/>
      </c>
      <c r="F14" t="str">
        <f>"9725-013-96515"</f>
        <v>9725-013-96515</v>
      </c>
      <c r="G14" t="str">
        <f t="shared" ref="G14:G22" si="0">"ACCT#9725-013/REC BASE/PCT#2"</f>
        <v>ACCT#9725-013/REC BASE/PCT#2</v>
      </c>
      <c r="H14" s="2">
        <v>3568.36</v>
      </c>
      <c r="I14" t="str">
        <f t="shared" ref="I14:I22" si="1">"ACCT#9725-013/REC BASE/PCT#2"</f>
        <v>ACCT#9725-013/REC BASE/PCT#2</v>
      </c>
    </row>
    <row r="15" spans="1:9" x14ac:dyDescent="0.3">
      <c r="A15" t="str">
        <f>""</f>
        <v/>
      </c>
      <c r="F15" t="str">
        <f>"9725-013-96548"</f>
        <v>9725-013-96548</v>
      </c>
      <c r="G15" t="str">
        <f t="shared" si="0"/>
        <v>ACCT#9725-013/REC BASE/PCT#2</v>
      </c>
      <c r="H15" s="2">
        <v>4036.14</v>
      </c>
      <c r="I15" t="str">
        <f t="shared" si="1"/>
        <v>ACCT#9725-013/REC BASE/PCT#2</v>
      </c>
    </row>
    <row r="16" spans="1:9" x14ac:dyDescent="0.3">
      <c r="A16" t="str">
        <f>""</f>
        <v/>
      </c>
      <c r="F16" t="str">
        <f>"9725-013-96577"</f>
        <v>9725-013-96577</v>
      </c>
      <c r="G16" t="str">
        <f t="shared" si="0"/>
        <v>ACCT#9725-013/REC BASE/PCT#2</v>
      </c>
      <c r="H16" s="2">
        <v>3794.54</v>
      </c>
      <c r="I16" t="str">
        <f t="shared" si="1"/>
        <v>ACCT#9725-013/REC BASE/PCT#2</v>
      </c>
    </row>
    <row r="17" spans="1:9" x14ac:dyDescent="0.3">
      <c r="A17" t="str">
        <f>""</f>
        <v/>
      </c>
      <c r="F17" t="str">
        <f>"9725-013-96606"</f>
        <v>9725-013-96606</v>
      </c>
      <c r="G17" t="str">
        <f t="shared" si="0"/>
        <v>ACCT#9725-013/REC BASE/PCT#2</v>
      </c>
      <c r="H17" s="2">
        <v>5641.02</v>
      </c>
      <c r="I17" t="str">
        <f t="shared" si="1"/>
        <v>ACCT#9725-013/REC BASE/PCT#2</v>
      </c>
    </row>
    <row r="18" spans="1:9" x14ac:dyDescent="0.3">
      <c r="A18" t="str">
        <f>""</f>
        <v/>
      </c>
      <c r="F18" t="str">
        <f>"9725-013-96659"</f>
        <v>9725-013-96659</v>
      </c>
      <c r="G18" t="str">
        <f t="shared" si="0"/>
        <v>ACCT#9725-013/REC BASE/PCT#2</v>
      </c>
      <c r="H18" s="2">
        <v>4057.34</v>
      </c>
      <c r="I18" t="str">
        <f t="shared" si="1"/>
        <v>ACCT#9725-013/REC BASE/PCT#2</v>
      </c>
    </row>
    <row r="19" spans="1:9" x14ac:dyDescent="0.3">
      <c r="A19" t="str">
        <f>""</f>
        <v/>
      </c>
      <c r="F19" t="str">
        <f>"9725-013-96691"</f>
        <v>9725-013-96691</v>
      </c>
      <c r="G19" t="str">
        <f t="shared" si="0"/>
        <v>ACCT#9725-013/REC BASE/PCT#2</v>
      </c>
      <c r="H19" s="2">
        <v>4163.8100000000004</v>
      </c>
      <c r="I19" t="str">
        <f t="shared" si="1"/>
        <v>ACCT#9725-013/REC BASE/PCT#2</v>
      </c>
    </row>
    <row r="20" spans="1:9" x14ac:dyDescent="0.3">
      <c r="A20" t="str">
        <f>""</f>
        <v/>
      </c>
      <c r="F20" t="str">
        <f>"9725-013-96723"</f>
        <v>9725-013-96723</v>
      </c>
      <c r="G20" t="str">
        <f t="shared" si="0"/>
        <v>ACCT#9725-013/REC BASE/PCT#2</v>
      </c>
      <c r="H20" s="2">
        <v>5083.17</v>
      </c>
      <c r="I20" t="str">
        <f t="shared" si="1"/>
        <v>ACCT#9725-013/REC BASE/PCT#2</v>
      </c>
    </row>
    <row r="21" spans="1:9" x14ac:dyDescent="0.3">
      <c r="A21" t="str">
        <f>""</f>
        <v/>
      </c>
      <c r="F21" t="str">
        <f>"9725-013-96745"</f>
        <v>9725-013-96745</v>
      </c>
      <c r="G21" t="str">
        <f t="shared" si="0"/>
        <v>ACCT#9725-013/REC BASE/PCT#2</v>
      </c>
      <c r="H21" s="2">
        <v>4257.79</v>
      </c>
      <c r="I21" t="str">
        <f t="shared" si="1"/>
        <v>ACCT#9725-013/REC BASE/PCT#2</v>
      </c>
    </row>
    <row r="22" spans="1:9" x14ac:dyDescent="0.3">
      <c r="A22" t="str">
        <f>""</f>
        <v/>
      </c>
      <c r="F22" t="str">
        <f>"9725-013-96789"</f>
        <v>9725-013-96789</v>
      </c>
      <c r="G22" t="str">
        <f t="shared" si="0"/>
        <v>ACCT#9725-013/REC BASE/PCT#2</v>
      </c>
      <c r="H22" s="2">
        <v>5083.6099999999997</v>
      </c>
      <c r="I22" t="str">
        <f t="shared" si="1"/>
        <v>ACCT#9725-013/REC BASE/PCT#2</v>
      </c>
    </row>
    <row r="23" spans="1:9" x14ac:dyDescent="0.3">
      <c r="A23" t="str">
        <f>"000598"</f>
        <v>000598</v>
      </c>
      <c r="B23" t="s">
        <v>10</v>
      </c>
      <c r="C23">
        <v>74331</v>
      </c>
      <c r="D23" s="2">
        <v>38279.760000000002</v>
      </c>
      <c r="E23" s="1">
        <v>43096</v>
      </c>
      <c r="F23" t="str">
        <f>"9725-001-96842"</f>
        <v>9725-001-96842</v>
      </c>
      <c r="G23" t="str">
        <f>"ACCT#9725-001/REC BASE/PCT#2"</f>
        <v>ACCT#9725-001/REC BASE/PCT#2</v>
      </c>
      <c r="H23" s="2">
        <v>417.12</v>
      </c>
      <c r="I23" t="str">
        <f>"ACCT#9725-001/REC BASE/PCT#2"</f>
        <v>ACCT#9725-001/REC BASE/PCT#2</v>
      </c>
    </row>
    <row r="24" spans="1:9" x14ac:dyDescent="0.3">
      <c r="A24" t="str">
        <f>""</f>
        <v/>
      </c>
      <c r="F24" t="str">
        <f>"9725-001-96886"</f>
        <v>9725-001-96886</v>
      </c>
      <c r="G24" t="str">
        <f>"ACCT#9725-001/REC BASE/PCT#2"</f>
        <v>ACCT#9725-001/REC BASE/PCT#2</v>
      </c>
      <c r="H24" s="2">
        <v>1958.79</v>
      </c>
      <c r="I24" t="str">
        <f>"ACCT#9725-001/REC BASE/PCT#2"</f>
        <v>ACCT#9725-001/REC BASE/PCT#2</v>
      </c>
    </row>
    <row r="25" spans="1:9" x14ac:dyDescent="0.3">
      <c r="A25" t="str">
        <f>""</f>
        <v/>
      </c>
      <c r="F25" t="str">
        <f>"9725-001-96961"</f>
        <v>9725-001-96961</v>
      </c>
      <c r="G25" t="str">
        <f>"ACCT#9725-001/REC BASE/PCT#2"</f>
        <v>ACCT#9725-001/REC BASE/PCT#2</v>
      </c>
      <c r="H25" s="2">
        <v>2013.47</v>
      </c>
      <c r="I25" t="str">
        <f>"ACCT#9725-001/REC BASE/PCT#2"</f>
        <v>ACCT#9725-001/REC BASE/PCT#2</v>
      </c>
    </row>
    <row r="26" spans="1:9" x14ac:dyDescent="0.3">
      <c r="A26" t="str">
        <f>""</f>
        <v/>
      </c>
      <c r="F26" t="str">
        <f>"9725-001-97006"</f>
        <v>9725-001-97006</v>
      </c>
      <c r="G26" t="str">
        <f>"ACCT#9725-001/REC BASE/PCT#2"</f>
        <v>ACCT#9725-001/REC BASE/PCT#2</v>
      </c>
      <c r="H26" s="2">
        <v>390.69</v>
      </c>
      <c r="I26" t="str">
        <f>"ACCT#9725-001/REC BASE/PCT#2"</f>
        <v>ACCT#9725-001/REC BASE/PCT#2</v>
      </c>
    </row>
    <row r="27" spans="1:9" x14ac:dyDescent="0.3">
      <c r="A27" t="str">
        <f>""</f>
        <v/>
      </c>
      <c r="F27" t="str">
        <f>"9725-004-97140"</f>
        <v>9725-004-97140</v>
      </c>
      <c r="G27" t="str">
        <f>"ACCT#9725-004/REC BASE/PCT#1"</f>
        <v>ACCT#9725-004/REC BASE/PCT#1</v>
      </c>
      <c r="H27" s="2">
        <v>413.62</v>
      </c>
      <c r="I27" t="str">
        <f>"ACCT#9725-004/PCT#1"</f>
        <v>ACCT#9725-004/PCT#1</v>
      </c>
    </row>
    <row r="28" spans="1:9" x14ac:dyDescent="0.3">
      <c r="A28" t="str">
        <f>""</f>
        <v/>
      </c>
      <c r="F28" t="str">
        <f>"9725-004-97163"</f>
        <v>9725-004-97163</v>
      </c>
      <c r="G28" t="str">
        <f>"ACCT#9725-004-97163/PCT#1"</f>
        <v>ACCT#9725-004-97163/PCT#1</v>
      </c>
      <c r="H28" s="2">
        <v>1787.46</v>
      </c>
      <c r="I28" t="str">
        <f>"ACCT#9725-004-97163/PCT#1"</f>
        <v>ACCT#9725-004-97163/PCT#1</v>
      </c>
    </row>
    <row r="29" spans="1:9" x14ac:dyDescent="0.3">
      <c r="A29" t="str">
        <f>""</f>
        <v/>
      </c>
      <c r="F29" t="str">
        <f>"9725-013-96837"</f>
        <v>9725-013-96837</v>
      </c>
      <c r="G29" t="str">
        <f t="shared" ref="G29:G34" si="2">"ACCT#9725-013/REC BASE/PCT#2"</f>
        <v>ACCT#9725-013/REC BASE/PCT#2</v>
      </c>
      <c r="H29" s="2">
        <v>6464.29</v>
      </c>
      <c r="I29" t="str">
        <f t="shared" ref="I29:I34" si="3">"ACCT#9725-013/REC BASE/PCT#2"</f>
        <v>ACCT#9725-013/REC BASE/PCT#2</v>
      </c>
    </row>
    <row r="30" spans="1:9" x14ac:dyDescent="0.3">
      <c r="A30" t="str">
        <f>""</f>
        <v/>
      </c>
      <c r="F30" t="str">
        <f>"9725-013-96869"</f>
        <v>9725-013-96869</v>
      </c>
      <c r="G30" t="str">
        <f t="shared" si="2"/>
        <v>ACCT#9725-013/REC BASE/PCT#2</v>
      </c>
      <c r="H30" s="2">
        <v>5381.71</v>
      </c>
      <c r="I30" t="str">
        <f t="shared" si="3"/>
        <v>ACCT#9725-013/REC BASE/PCT#2</v>
      </c>
    </row>
    <row r="31" spans="1:9" x14ac:dyDescent="0.3">
      <c r="A31" t="str">
        <f>""</f>
        <v/>
      </c>
      <c r="F31" t="str">
        <f>"9725-013-96883"</f>
        <v>9725-013-96883</v>
      </c>
      <c r="G31" t="str">
        <f t="shared" si="2"/>
        <v>ACCT#9725-013/REC BASE/PCT#2</v>
      </c>
      <c r="H31" s="2">
        <v>6882.98</v>
      </c>
      <c r="I31" t="str">
        <f t="shared" si="3"/>
        <v>ACCT#9725-013/REC BASE/PCT#2</v>
      </c>
    </row>
    <row r="32" spans="1:9" x14ac:dyDescent="0.3">
      <c r="A32" t="str">
        <f>""</f>
        <v/>
      </c>
      <c r="F32" t="str">
        <f>"9725-013-96900"</f>
        <v>9725-013-96900</v>
      </c>
      <c r="G32" t="str">
        <f t="shared" si="2"/>
        <v>ACCT#9725-013/REC BASE/PCT#2</v>
      </c>
      <c r="H32" s="2">
        <v>6394.46</v>
      </c>
      <c r="I32" t="str">
        <f t="shared" si="3"/>
        <v>ACCT#9725-013/REC BASE/PCT#2</v>
      </c>
    </row>
    <row r="33" spans="1:9" x14ac:dyDescent="0.3">
      <c r="A33" t="str">
        <f>""</f>
        <v/>
      </c>
      <c r="F33" t="str">
        <f>"9725-013-96927"</f>
        <v>9725-013-96927</v>
      </c>
      <c r="G33" t="str">
        <f t="shared" si="2"/>
        <v>ACCT#9725-013/REC BASE/PCT#2</v>
      </c>
      <c r="H33" s="2">
        <v>4632.1899999999996</v>
      </c>
      <c r="I33" t="str">
        <f t="shared" si="3"/>
        <v>ACCT#9725-013/REC BASE/PCT#2</v>
      </c>
    </row>
    <row r="34" spans="1:9" x14ac:dyDescent="0.3">
      <c r="A34" t="str">
        <f>""</f>
        <v/>
      </c>
      <c r="F34" t="str">
        <f>"9725-013-96956"</f>
        <v>9725-013-96956</v>
      </c>
      <c r="G34" t="str">
        <f t="shared" si="2"/>
        <v>ACCT#9725-013/REC BASE/PCT#2</v>
      </c>
      <c r="H34" s="2">
        <v>1542.98</v>
      </c>
      <c r="I34" t="str">
        <f t="shared" si="3"/>
        <v>ACCT#9725-013/REC BASE/PCT#2</v>
      </c>
    </row>
    <row r="35" spans="1:9" x14ac:dyDescent="0.3">
      <c r="A35" t="str">
        <f>"004643"</f>
        <v>004643</v>
      </c>
      <c r="B35" t="s">
        <v>11</v>
      </c>
      <c r="C35">
        <v>999999</v>
      </c>
      <c r="D35" s="2">
        <v>328</v>
      </c>
      <c r="E35" s="1">
        <v>43081</v>
      </c>
      <c r="F35" t="str">
        <f>"744136"</f>
        <v>744136</v>
      </c>
      <c r="G35" t="str">
        <f>"INV 744136"</f>
        <v>INV 744136</v>
      </c>
      <c r="H35" s="2">
        <v>122</v>
      </c>
      <c r="I35" t="str">
        <f>"INV 744136 - LAW EN"</f>
        <v>INV 744136 - LAW EN</v>
      </c>
    </row>
    <row r="36" spans="1:9" x14ac:dyDescent="0.3">
      <c r="A36" t="str">
        <f>""</f>
        <v/>
      </c>
      <c r="F36" t="str">
        <f>""</f>
        <v/>
      </c>
      <c r="G36" t="str">
        <f>""</f>
        <v/>
      </c>
      <c r="I36" t="str">
        <f>"INV 744136 - JAIL"</f>
        <v>INV 744136 - JAIL</v>
      </c>
    </row>
    <row r="37" spans="1:9" x14ac:dyDescent="0.3">
      <c r="A37" t="str">
        <f>""</f>
        <v/>
      </c>
      <c r="F37" t="str">
        <f>"744205"</f>
        <v>744205</v>
      </c>
      <c r="G37" t="str">
        <f>"SHREDDING CONTAINERS/TAX OFF"</f>
        <v>SHREDDING CONTAINERS/TAX OFF</v>
      </c>
      <c r="H37" s="2">
        <v>51.5</v>
      </c>
      <c r="I37" t="str">
        <f>"SHREDDING CONTAINERS/TAX OFF"</f>
        <v>SHREDDING CONTAINERS/TAX OFF</v>
      </c>
    </row>
    <row r="38" spans="1:9" x14ac:dyDescent="0.3">
      <c r="A38" t="str">
        <f>""</f>
        <v/>
      </c>
      <c r="F38" t="str">
        <f>"744289"</f>
        <v>744289</v>
      </c>
      <c r="G38" t="str">
        <f>"SHREDDING SVCS"</f>
        <v>SHREDDING SVCS</v>
      </c>
      <c r="H38" s="2">
        <v>103</v>
      </c>
      <c r="I38" t="str">
        <f t="shared" ref="I38:I44" si="4">"SHREDDING SVCS"</f>
        <v>SHREDDING SVCS</v>
      </c>
    </row>
    <row r="39" spans="1:9" x14ac:dyDescent="0.3">
      <c r="A39" t="str">
        <f>""</f>
        <v/>
      </c>
      <c r="F39" t="str">
        <f>""</f>
        <v/>
      </c>
      <c r="G39" t="str">
        <f>""</f>
        <v/>
      </c>
      <c r="I39" t="str">
        <f t="shared" si="4"/>
        <v>SHREDDING SVCS</v>
      </c>
    </row>
    <row r="40" spans="1:9" x14ac:dyDescent="0.3">
      <c r="A40" t="str">
        <f>""</f>
        <v/>
      </c>
      <c r="F40" t="str">
        <f>""</f>
        <v/>
      </c>
      <c r="G40" t="str">
        <f>""</f>
        <v/>
      </c>
      <c r="I40" t="str">
        <f t="shared" si="4"/>
        <v>SHREDDING SVCS</v>
      </c>
    </row>
    <row r="41" spans="1:9" x14ac:dyDescent="0.3">
      <c r="A41" t="str">
        <f>""</f>
        <v/>
      </c>
      <c r="F41" t="str">
        <f>""</f>
        <v/>
      </c>
      <c r="G41" t="str">
        <f>""</f>
        <v/>
      </c>
      <c r="I41" t="str">
        <f t="shared" si="4"/>
        <v>SHREDDING SVCS</v>
      </c>
    </row>
    <row r="42" spans="1:9" x14ac:dyDescent="0.3">
      <c r="A42" t="str">
        <f>""</f>
        <v/>
      </c>
      <c r="F42" t="str">
        <f>""</f>
        <v/>
      </c>
      <c r="G42" t="str">
        <f>""</f>
        <v/>
      </c>
      <c r="I42" t="str">
        <f t="shared" si="4"/>
        <v>SHREDDING SVCS</v>
      </c>
    </row>
    <row r="43" spans="1:9" x14ac:dyDescent="0.3">
      <c r="A43" t="str">
        <f>""</f>
        <v/>
      </c>
      <c r="F43" t="str">
        <f>""</f>
        <v/>
      </c>
      <c r="G43" t="str">
        <f>""</f>
        <v/>
      </c>
      <c r="I43" t="str">
        <f t="shared" si="4"/>
        <v>SHREDDING SVCS</v>
      </c>
    </row>
    <row r="44" spans="1:9" x14ac:dyDescent="0.3">
      <c r="A44" t="str">
        <f>""</f>
        <v/>
      </c>
      <c r="F44" t="str">
        <f>""</f>
        <v/>
      </c>
      <c r="G44" t="str">
        <f>""</f>
        <v/>
      </c>
      <c r="I44" t="str">
        <f t="shared" si="4"/>
        <v>SHREDDING SVCS</v>
      </c>
    </row>
    <row r="45" spans="1:9" x14ac:dyDescent="0.3">
      <c r="A45" t="str">
        <f>""</f>
        <v/>
      </c>
      <c r="F45" t="str">
        <f>"744429"</f>
        <v>744429</v>
      </c>
      <c r="G45" t="str">
        <f>"SHREDDING SVCS/JP#4"</f>
        <v>SHREDDING SVCS/JP#4</v>
      </c>
      <c r="H45" s="2">
        <v>51.5</v>
      </c>
      <c r="I45" t="str">
        <f>"SHREDDING SVCS/JP#4"</f>
        <v>SHREDDING SVCS/JP#4</v>
      </c>
    </row>
    <row r="46" spans="1:9" x14ac:dyDescent="0.3">
      <c r="A46" t="str">
        <f>"004643"</f>
        <v>004643</v>
      </c>
      <c r="B46" t="s">
        <v>11</v>
      </c>
      <c r="C46">
        <v>999999</v>
      </c>
      <c r="D46" s="2">
        <v>224</v>
      </c>
      <c r="E46" s="1">
        <v>43097</v>
      </c>
      <c r="F46" t="str">
        <f>"744758"</f>
        <v>744758</v>
      </c>
      <c r="G46" t="str">
        <f>"ADDITIONAL PAPER-PURCHASING"</f>
        <v>ADDITIONAL PAPER-PURCHASING</v>
      </c>
      <c r="H46" s="2">
        <v>224</v>
      </c>
      <c r="I46" t="str">
        <f>"ADDITIONAL PAPER-PURCHASING"</f>
        <v>ADDITIONAL PAPER-PURCHASING</v>
      </c>
    </row>
    <row r="47" spans="1:9" x14ac:dyDescent="0.3">
      <c r="A47" t="str">
        <f>"ALINE"</f>
        <v>ALINE</v>
      </c>
      <c r="B47" t="s">
        <v>12</v>
      </c>
      <c r="C47">
        <v>74057</v>
      </c>
      <c r="D47" s="2">
        <v>90.16</v>
      </c>
      <c r="E47" s="1">
        <v>43080</v>
      </c>
      <c r="F47" t="str">
        <f>"285034"</f>
        <v>285034</v>
      </c>
      <c r="G47" t="str">
        <f>"CUST#16500/PCT#4"</f>
        <v>CUST#16500/PCT#4</v>
      </c>
      <c r="H47" s="2">
        <v>90.16</v>
      </c>
      <c r="I47" t="str">
        <f>"CUST#16500/PCT#4"</f>
        <v>CUST#16500/PCT#4</v>
      </c>
    </row>
    <row r="48" spans="1:9" x14ac:dyDescent="0.3">
      <c r="A48" t="str">
        <f>"005360"</f>
        <v>005360</v>
      </c>
      <c r="B48" t="s">
        <v>13</v>
      </c>
      <c r="C48">
        <v>74332</v>
      </c>
      <c r="D48" s="2">
        <v>1800</v>
      </c>
      <c r="E48" s="1">
        <v>43096</v>
      </c>
      <c r="F48" t="str">
        <f>"201712207462"</f>
        <v>201712207462</v>
      </c>
      <c r="G48" t="str">
        <f>"ACCT#17181002/STATE OF TX"</f>
        <v>ACCT#17181002/STATE OF TX</v>
      </c>
      <c r="H48" s="2">
        <v>1800</v>
      </c>
      <c r="I48" t="str">
        <f>"ACCT#17181002/STATE OF TX"</f>
        <v>ACCT#17181002/STATE OF TX</v>
      </c>
    </row>
    <row r="49" spans="1:9" x14ac:dyDescent="0.3">
      <c r="A49" t="str">
        <f>"002048"</f>
        <v>002048</v>
      </c>
      <c r="B49" t="s">
        <v>14</v>
      </c>
      <c r="C49">
        <v>999999</v>
      </c>
      <c r="D49" s="2">
        <v>9485.7800000000007</v>
      </c>
      <c r="E49" s="1">
        <v>43081</v>
      </c>
      <c r="F49" t="str">
        <f>"201712057155"</f>
        <v>201712057155</v>
      </c>
      <c r="G49" t="str">
        <f>"HAULING FEE 11/17-12/04/PCT#4"</f>
        <v>HAULING FEE 11/17-12/04/PCT#4</v>
      </c>
      <c r="H49" s="2">
        <v>7192.5</v>
      </c>
      <c r="I49" t="str">
        <f>"HAULING FEE 11/17-12/04/PCT#4"</f>
        <v>HAULING FEE 11/17-12/04/PCT#4</v>
      </c>
    </row>
    <row r="50" spans="1:9" x14ac:dyDescent="0.3">
      <c r="A50" t="str">
        <f>""</f>
        <v/>
      </c>
      <c r="F50" t="str">
        <f>"201712057156"</f>
        <v>201712057156</v>
      </c>
      <c r="G50" t="str">
        <f>"HAULING EXP/11/27-11/29/PCT#1"</f>
        <v>HAULING EXP/11/27-11/29/PCT#1</v>
      </c>
      <c r="H50" s="2">
        <v>2293.2800000000002</v>
      </c>
      <c r="I50" t="str">
        <f>"HAULING EXP/11/27-11/29/PCT#1"</f>
        <v>HAULING EXP/11/27-11/29/PCT#1</v>
      </c>
    </row>
    <row r="51" spans="1:9" x14ac:dyDescent="0.3">
      <c r="A51" t="str">
        <f>"002048"</f>
        <v>002048</v>
      </c>
      <c r="B51" t="s">
        <v>14</v>
      </c>
      <c r="C51">
        <v>999999</v>
      </c>
      <c r="D51" s="2">
        <v>7001.73</v>
      </c>
      <c r="E51" s="1">
        <v>43097</v>
      </c>
      <c r="F51" t="str">
        <f>"201712187351"</f>
        <v>201712187351</v>
      </c>
      <c r="G51" t="str">
        <f>"HAULING EXPENSE 12/5-12/14/P1"</f>
        <v>HAULING EXPENSE 12/5-12/14/P1</v>
      </c>
      <c r="H51" s="2">
        <v>1150.97</v>
      </c>
      <c r="I51" t="str">
        <f>"HAULING EXPENSE 12/5-12/14/P1"</f>
        <v>HAULING EXPENSE 12/5-12/14/P1</v>
      </c>
    </row>
    <row r="52" spans="1:9" x14ac:dyDescent="0.3">
      <c r="A52" t="str">
        <f>""</f>
        <v/>
      </c>
      <c r="F52" t="str">
        <f>"201712187355"</f>
        <v>201712187355</v>
      </c>
      <c r="G52" t="str">
        <f>"HAULING EXPENSE 12/5-12/7/PCT4"</f>
        <v>HAULING EXPENSE 12/5-12/7/PCT4</v>
      </c>
      <c r="H52" s="2">
        <v>3881.16</v>
      </c>
      <c r="I52" t="str">
        <f>"HAULING EXPENSE 12/5-12/7/PCT4"</f>
        <v>HAULING EXPENSE 12/5-12/7/PCT4</v>
      </c>
    </row>
    <row r="53" spans="1:9" x14ac:dyDescent="0.3">
      <c r="A53" t="str">
        <f>""</f>
        <v/>
      </c>
      <c r="F53" t="str">
        <f>"201712197368"</f>
        <v>201712197368</v>
      </c>
      <c r="G53" t="str">
        <f>"HAULING EXP 12/5-12/15/PCT#4"</f>
        <v>HAULING EXP 12/5-12/15/PCT#4</v>
      </c>
      <c r="H53" s="2">
        <v>1969.6</v>
      </c>
      <c r="I53" t="str">
        <f>"HAULING EXP 12/5-12/15/PCT#4"</f>
        <v>HAULING EXP 12/5-12/15/PCT#4</v>
      </c>
    </row>
    <row r="54" spans="1:9" x14ac:dyDescent="0.3">
      <c r="A54" t="str">
        <f>"AAA"</f>
        <v>AAA</v>
      </c>
      <c r="B54" t="s">
        <v>15</v>
      </c>
      <c r="C54">
        <v>999999</v>
      </c>
      <c r="D54" s="2">
        <v>583</v>
      </c>
      <c r="E54" s="1">
        <v>43081</v>
      </c>
      <c r="F54" t="str">
        <f>"294537"</f>
        <v>294537</v>
      </c>
      <c r="G54" t="str">
        <f>"ANNUAL FIRE EXT. MAINT SVC"</f>
        <v>ANNUAL FIRE EXT. MAINT SVC</v>
      </c>
      <c r="H54" s="2">
        <v>35</v>
      </c>
      <c r="I54" t="str">
        <f>"ANNUAL FIRE EXT. MAINT SVC"</f>
        <v>ANNUAL FIRE EXT. MAINT SVC</v>
      </c>
    </row>
    <row r="55" spans="1:9" x14ac:dyDescent="0.3">
      <c r="A55" t="str">
        <f>""</f>
        <v/>
      </c>
      <c r="F55" t="str">
        <f>"INV296442/297218"</f>
        <v>INV296442/297218</v>
      </c>
      <c r="G55" t="str">
        <f>"INV296442"</f>
        <v>INV296442</v>
      </c>
      <c r="H55" s="2">
        <v>548</v>
      </c>
      <c r="I55" t="str">
        <f>"INV296442"</f>
        <v>INV296442</v>
      </c>
    </row>
    <row r="56" spans="1:9" x14ac:dyDescent="0.3">
      <c r="A56" t="str">
        <f>""</f>
        <v/>
      </c>
      <c r="F56" t="str">
        <f>""</f>
        <v/>
      </c>
      <c r="G56" t="str">
        <f>""</f>
        <v/>
      </c>
      <c r="I56" t="str">
        <f>"INV297218"</f>
        <v>INV297218</v>
      </c>
    </row>
    <row r="57" spans="1:9" x14ac:dyDescent="0.3">
      <c r="A57" t="str">
        <f>"005134"</f>
        <v>005134</v>
      </c>
      <c r="B57" t="s">
        <v>16</v>
      </c>
      <c r="C57">
        <v>74058</v>
      </c>
      <c r="D57" s="2">
        <v>750</v>
      </c>
      <c r="E57" s="1">
        <v>43080</v>
      </c>
      <c r="F57" t="str">
        <f>"B446"</f>
        <v>B446</v>
      </c>
      <c r="G57" t="str">
        <f>"LABOR &amp; MATERIALS/PCT#4"</f>
        <v>LABOR &amp; MATERIALS/PCT#4</v>
      </c>
      <c r="H57" s="2">
        <v>750</v>
      </c>
      <c r="I57" t="str">
        <f>"LABOR &amp; MATERIALS/PCT#4"</f>
        <v>LABOR &amp; MATERIALS/PCT#4</v>
      </c>
    </row>
    <row r="58" spans="1:9" x14ac:dyDescent="0.3">
      <c r="A58" t="str">
        <f>"001262"</f>
        <v>001262</v>
      </c>
      <c r="B58" t="s">
        <v>17</v>
      </c>
      <c r="C58">
        <v>74059</v>
      </c>
      <c r="D58" s="2">
        <v>95</v>
      </c>
      <c r="E58" s="1">
        <v>43080</v>
      </c>
      <c r="F58" t="str">
        <f>"7042371"</f>
        <v>7042371</v>
      </c>
      <c r="G58" t="str">
        <f>"TRAINING/CUST ACCT#AB00500"</f>
        <v>TRAINING/CUST ACCT#AB00500</v>
      </c>
      <c r="H58" s="2">
        <v>95</v>
      </c>
      <c r="I58" t="str">
        <f>"TRAINING/CUST ACCT#AB00500"</f>
        <v>TRAINING/CUST ACCT#AB00500</v>
      </c>
    </row>
    <row r="59" spans="1:9" x14ac:dyDescent="0.3">
      <c r="A59" t="str">
        <f>"000954"</f>
        <v>000954</v>
      </c>
      <c r="B59" t="s">
        <v>18</v>
      </c>
      <c r="C59">
        <v>74333</v>
      </c>
      <c r="D59" s="2">
        <v>1570</v>
      </c>
      <c r="E59" s="1">
        <v>43096</v>
      </c>
      <c r="F59" t="str">
        <f>"201712197375"</f>
        <v>201712197375</v>
      </c>
      <c r="G59" t="str">
        <f>"17-18738"</f>
        <v>17-18738</v>
      </c>
      <c r="H59" s="2">
        <v>37.5</v>
      </c>
      <c r="I59" t="str">
        <f>"17-18738"</f>
        <v>17-18738</v>
      </c>
    </row>
    <row r="60" spans="1:9" x14ac:dyDescent="0.3">
      <c r="A60" t="str">
        <f>""</f>
        <v/>
      </c>
      <c r="F60" t="str">
        <f>"201712197376"</f>
        <v>201712197376</v>
      </c>
      <c r="G60" t="str">
        <f>"14-16907"</f>
        <v>14-16907</v>
      </c>
      <c r="H60" s="2">
        <v>167.5</v>
      </c>
      <c r="I60" t="str">
        <f>"14-16907"</f>
        <v>14-16907</v>
      </c>
    </row>
    <row r="61" spans="1:9" x14ac:dyDescent="0.3">
      <c r="A61" t="str">
        <f>""</f>
        <v/>
      </c>
      <c r="F61" t="str">
        <f>"201712197377"</f>
        <v>201712197377</v>
      </c>
      <c r="G61" t="str">
        <f>"14-16917"</f>
        <v>14-16917</v>
      </c>
      <c r="H61" s="2">
        <v>100</v>
      </c>
      <c r="I61" t="str">
        <f>"14-16917"</f>
        <v>14-16917</v>
      </c>
    </row>
    <row r="62" spans="1:9" x14ac:dyDescent="0.3">
      <c r="A62" t="str">
        <f>""</f>
        <v/>
      </c>
      <c r="F62" t="str">
        <f>"201712197400"</f>
        <v>201712197400</v>
      </c>
      <c r="G62" t="str">
        <f>"17-18642"</f>
        <v>17-18642</v>
      </c>
      <c r="H62" s="2">
        <v>807.5</v>
      </c>
      <c r="I62" t="str">
        <f>"17-18642"</f>
        <v>17-18642</v>
      </c>
    </row>
    <row r="63" spans="1:9" x14ac:dyDescent="0.3">
      <c r="A63" t="str">
        <f>""</f>
        <v/>
      </c>
      <c r="F63" t="str">
        <f>"201712197401"</f>
        <v>201712197401</v>
      </c>
      <c r="G63" t="str">
        <f>"16-17713"</f>
        <v>16-17713</v>
      </c>
      <c r="H63" s="2">
        <v>457.5</v>
      </c>
      <c r="I63" t="str">
        <f>"16-17713"</f>
        <v>16-17713</v>
      </c>
    </row>
    <row r="64" spans="1:9" x14ac:dyDescent="0.3">
      <c r="A64" t="str">
        <f>"003117"</f>
        <v>003117</v>
      </c>
      <c r="B64" t="s">
        <v>19</v>
      </c>
      <c r="C64">
        <v>999999</v>
      </c>
      <c r="D64" s="2">
        <v>1421.45</v>
      </c>
      <c r="E64" s="1">
        <v>43097</v>
      </c>
      <c r="F64" t="str">
        <f>"201712137298"</f>
        <v>201712137298</v>
      </c>
      <c r="G64" t="str">
        <f>"REIMBURSE-TX LEG CONFERENCE"</f>
        <v>REIMBURSE-TX LEG CONFERENCE</v>
      </c>
      <c r="H64" s="2">
        <v>95</v>
      </c>
      <c r="I64" t="str">
        <f>"REIMBURSE-TX LEG CONFERENCE"</f>
        <v>REIMBURSE-TX LEG CONFERENCE</v>
      </c>
    </row>
    <row r="65" spans="1:10" x14ac:dyDescent="0.3">
      <c r="A65" t="str">
        <f>""</f>
        <v/>
      </c>
      <c r="F65" t="str">
        <f>"201712137299"</f>
        <v>201712137299</v>
      </c>
      <c r="G65" t="str">
        <f>"REIMBURSEMENT"</f>
        <v>REIMBURSEMENT</v>
      </c>
      <c r="H65" s="2">
        <v>326.57</v>
      </c>
      <c r="I65" t="str">
        <f>"REIMBURSEMENT"</f>
        <v>REIMBURSEMENT</v>
      </c>
    </row>
    <row r="66" spans="1:10" x14ac:dyDescent="0.3">
      <c r="A66" t="str">
        <f>""</f>
        <v/>
      </c>
      <c r="F66" t="str">
        <f>"201712197367"</f>
        <v>201712197367</v>
      </c>
      <c r="G66" t="str">
        <f>"REIMBURSE-HOTEL &amp; PARKING"</f>
        <v>REIMBURSE-HOTEL &amp; PARKING</v>
      </c>
      <c r="H66" s="2">
        <v>999.88</v>
      </c>
      <c r="I66" t="str">
        <f>"REIMBURSE-HOTEL &amp; PARKING"</f>
        <v>REIMBURSE-HOTEL &amp; PARKING</v>
      </c>
    </row>
    <row r="67" spans="1:10" x14ac:dyDescent="0.3">
      <c r="A67" t="str">
        <f>"AG"</f>
        <v>AG</v>
      </c>
      <c r="B67" t="s">
        <v>20</v>
      </c>
      <c r="C67">
        <v>74060</v>
      </c>
      <c r="D67" s="2">
        <v>147.25</v>
      </c>
      <c r="E67" s="1">
        <v>43080</v>
      </c>
      <c r="F67" t="str">
        <f>"6013699"</f>
        <v>6013699</v>
      </c>
      <c r="G67" t="str">
        <f>"ORD#4789495-S6/PCT#4"</f>
        <v>ORD#4789495-S6/PCT#4</v>
      </c>
      <c r="H67" s="2">
        <v>21.87</v>
      </c>
      <c r="I67" t="str">
        <f>"ORD#4789495-S6/PCT#4"</f>
        <v>ORD#4789495-S6/PCT#4</v>
      </c>
    </row>
    <row r="68" spans="1:10" x14ac:dyDescent="0.3">
      <c r="A68" t="str">
        <f>""</f>
        <v/>
      </c>
      <c r="F68" t="str">
        <f>"6014754"</f>
        <v>6014754</v>
      </c>
      <c r="G68" t="str">
        <f>"CUST#17295/ORD#4789495-S6/P4"</f>
        <v>CUST#17295/ORD#4789495-S6/P4</v>
      </c>
      <c r="H68" s="2">
        <v>125.38</v>
      </c>
      <c r="I68" t="str">
        <f>"CUST#17295/ORD#4789495-S6/P4"</f>
        <v>CUST#17295/ORD#4789495-S6/P4</v>
      </c>
    </row>
    <row r="69" spans="1:10" x14ac:dyDescent="0.3">
      <c r="A69" t="str">
        <f>"AG"</f>
        <v>AG</v>
      </c>
      <c r="B69" t="s">
        <v>20</v>
      </c>
      <c r="C69">
        <v>74334</v>
      </c>
      <c r="D69" s="2">
        <v>64.040000000000006</v>
      </c>
      <c r="E69" s="1">
        <v>43096</v>
      </c>
      <c r="F69" t="str">
        <f>"201712127283"</f>
        <v>201712127283</v>
      </c>
      <c r="G69" t="str">
        <f>"CUST#17295/FREIGHT &amp; HANDLING"</f>
        <v>CUST#17295/FREIGHT &amp; HANDLING</v>
      </c>
      <c r="H69" s="2">
        <v>64.040000000000006</v>
      </c>
      <c r="I69" t="str">
        <f>"CUST#17295/FREIGHT &amp; HANDLING"</f>
        <v>CUST#17295/FREIGHT &amp; HANDLING</v>
      </c>
    </row>
    <row r="70" spans="1:10" x14ac:dyDescent="0.3">
      <c r="A70" t="str">
        <f>"NPP"</f>
        <v>NPP</v>
      </c>
      <c r="B70" t="s">
        <v>21</v>
      </c>
      <c r="C70">
        <v>999999</v>
      </c>
      <c r="D70" s="2">
        <v>400</v>
      </c>
      <c r="E70" s="1">
        <v>43081</v>
      </c>
      <c r="F70" t="str">
        <f>"201712016874"</f>
        <v>201712016874</v>
      </c>
      <c r="G70" t="str">
        <f>"16306"</f>
        <v>16306</v>
      </c>
      <c r="H70" s="2">
        <v>400</v>
      </c>
      <c r="I70" t="str">
        <f>"16306"</f>
        <v>16306</v>
      </c>
    </row>
    <row r="71" spans="1:10" x14ac:dyDescent="0.3">
      <c r="A71" t="str">
        <f>"005335"</f>
        <v>005335</v>
      </c>
      <c r="B71" t="s">
        <v>22</v>
      </c>
      <c r="C71">
        <v>74061</v>
      </c>
      <c r="D71" s="2">
        <v>50</v>
      </c>
      <c r="E71" s="1">
        <v>43080</v>
      </c>
      <c r="F71" t="s">
        <v>23</v>
      </c>
      <c r="G71" t="s">
        <v>24</v>
      </c>
      <c r="H71" s="2" t="str">
        <f>"RESTITUTION-T. CHURCH"</f>
        <v>RESTITUTION-T. CHURCH</v>
      </c>
      <c r="I71" t="str">
        <f>"210-0000"</f>
        <v>210-0000</v>
      </c>
      <c r="J71">
        <v>50</v>
      </c>
    </row>
    <row r="72" spans="1:10" x14ac:dyDescent="0.3">
      <c r="A72" t="str">
        <f>"004450"</f>
        <v>004450</v>
      </c>
      <c r="B72" t="s">
        <v>25</v>
      </c>
      <c r="C72">
        <v>74062</v>
      </c>
      <c r="D72" s="2">
        <v>10</v>
      </c>
      <c r="E72" s="1">
        <v>43080</v>
      </c>
      <c r="F72" t="str">
        <f>"201711286776"</f>
        <v>201711286776</v>
      </c>
      <c r="G72" t="str">
        <f>"FERAL HOG"</f>
        <v>FERAL HOG</v>
      </c>
      <c r="H72" s="2">
        <v>10</v>
      </c>
      <c r="I72" t="str">
        <f>"FERAL HOG"</f>
        <v>FERAL HOG</v>
      </c>
    </row>
    <row r="73" spans="1:10" x14ac:dyDescent="0.3">
      <c r="A73" t="str">
        <f>"004642"</f>
        <v>004642</v>
      </c>
      <c r="B73" t="s">
        <v>26</v>
      </c>
      <c r="C73">
        <v>74063</v>
      </c>
      <c r="D73" s="2">
        <v>764.71</v>
      </c>
      <c r="E73" s="1">
        <v>43080</v>
      </c>
      <c r="F73" t="str">
        <f>"27291"</f>
        <v>27291</v>
      </c>
      <c r="G73" t="str">
        <f>"CUST#000894-000002/RENTAL"</f>
        <v>CUST#000894-000002/RENTAL</v>
      </c>
      <c r="H73" s="2">
        <v>435.71</v>
      </c>
      <c r="I73" t="str">
        <f>"CUST#000894-000002/RENTAL"</f>
        <v>CUST#000894-000002/RENTAL</v>
      </c>
    </row>
    <row r="74" spans="1:10" x14ac:dyDescent="0.3">
      <c r="A74" t="str">
        <f>""</f>
        <v/>
      </c>
      <c r="F74" t="str">
        <f>"27292"</f>
        <v>27292</v>
      </c>
      <c r="G74" t="str">
        <f>"CUST#000894-000003/PCT#1"</f>
        <v>CUST#000894-000003/PCT#1</v>
      </c>
      <c r="H74" s="2">
        <v>329</v>
      </c>
      <c r="I74" t="str">
        <f>"CUST#000894-000003/PCT#1"</f>
        <v>CUST#000894-000003/PCT#1</v>
      </c>
    </row>
    <row r="75" spans="1:10" x14ac:dyDescent="0.3">
      <c r="A75" t="str">
        <f>"005237"</f>
        <v>005237</v>
      </c>
      <c r="B75" t="s">
        <v>27</v>
      </c>
      <c r="C75">
        <v>999999</v>
      </c>
      <c r="D75" s="2">
        <v>376.83</v>
      </c>
      <c r="E75" s="1">
        <v>43081</v>
      </c>
      <c r="F75" t="str">
        <f>"16QD-N1RL-6JH9"</f>
        <v>16QD-N1RL-6JH9</v>
      </c>
      <c r="G75" t="str">
        <f>"Digital Camera"</f>
        <v>Digital Camera</v>
      </c>
      <c r="H75" s="2">
        <v>169.99</v>
      </c>
      <c r="I75" t="str">
        <f>"Digital Camera"</f>
        <v>Digital Camera</v>
      </c>
    </row>
    <row r="76" spans="1:10" x14ac:dyDescent="0.3">
      <c r="A76" t="str">
        <f>""</f>
        <v/>
      </c>
      <c r="F76" t="str">
        <f>"19VT-QCND-N6ND"</f>
        <v>19VT-QCND-N6ND</v>
      </c>
      <c r="G76" t="str">
        <f>"Logitech"</f>
        <v>Logitech</v>
      </c>
      <c r="H76" s="2">
        <v>69.989999999999995</v>
      </c>
      <c r="I76" t="str">
        <f>"Logitech"</f>
        <v>Logitech</v>
      </c>
    </row>
    <row r="77" spans="1:10" x14ac:dyDescent="0.3">
      <c r="A77" t="str">
        <f>""</f>
        <v/>
      </c>
      <c r="F77" t="str">
        <f>"1PD3-LWP1-KP4J"</f>
        <v>1PD3-LWP1-KP4J</v>
      </c>
      <c r="G77" t="str">
        <f>"25FT Ethernet Cable"</f>
        <v>25FT Ethernet Cable</v>
      </c>
      <c r="H77" s="2">
        <v>26.88</v>
      </c>
      <c r="I77" t="str">
        <f>"25FT Ethernet Cable"</f>
        <v>25FT Ethernet Cable</v>
      </c>
    </row>
    <row r="78" spans="1:10" x14ac:dyDescent="0.3">
      <c r="A78" t="str">
        <f>""</f>
        <v/>
      </c>
      <c r="F78" t="str">
        <f>""</f>
        <v/>
      </c>
      <c r="G78" t="str">
        <f>""</f>
        <v/>
      </c>
      <c r="I78" t="str">
        <f>"Shipping"</f>
        <v>Shipping</v>
      </c>
    </row>
    <row r="79" spans="1:10" x14ac:dyDescent="0.3">
      <c r="A79" t="str">
        <f>""</f>
        <v/>
      </c>
      <c r="F79" t="str">
        <f>"ANTENNA/CABLE"</f>
        <v>ANTENNA/CABLE</v>
      </c>
      <c r="G79" t="str">
        <f>"AMAZON CAPITAL SERVICES INC"</f>
        <v>AMAZON CAPITAL SERVICES INC</v>
      </c>
      <c r="H79" s="2">
        <v>109.97</v>
      </c>
      <c r="I79" t="str">
        <f>"Antenna 4G"</f>
        <v>Antenna 4G</v>
      </c>
    </row>
    <row r="80" spans="1:10" x14ac:dyDescent="0.3">
      <c r="A80" t="str">
        <f>""</f>
        <v/>
      </c>
      <c r="F80" t="str">
        <f>""</f>
        <v/>
      </c>
      <c r="G80" t="str">
        <f>""</f>
        <v/>
      </c>
      <c r="I80" t="str">
        <f>"EDL Cable"</f>
        <v>EDL Cable</v>
      </c>
    </row>
    <row r="81" spans="1:9" x14ac:dyDescent="0.3">
      <c r="A81" t="str">
        <f>""</f>
        <v/>
      </c>
      <c r="F81" t="str">
        <f>""</f>
        <v/>
      </c>
      <c r="G81" t="str">
        <f>""</f>
        <v/>
      </c>
      <c r="I81" t="str">
        <f>"Shipping"</f>
        <v>Shipping</v>
      </c>
    </row>
    <row r="82" spans="1:9" x14ac:dyDescent="0.3">
      <c r="A82" t="str">
        <f>"005237"</f>
        <v>005237</v>
      </c>
      <c r="B82" t="s">
        <v>27</v>
      </c>
      <c r="C82">
        <v>999999</v>
      </c>
      <c r="D82" s="2">
        <v>1799.35</v>
      </c>
      <c r="E82" s="1">
        <v>43097</v>
      </c>
      <c r="F82" t="str">
        <f>"1PC3-WGX6-P9H9"</f>
        <v>1PC3-WGX6-P9H9</v>
      </c>
      <c r="G82" t="str">
        <f>"Safety equipment"</f>
        <v>Safety equipment</v>
      </c>
      <c r="H82" s="2">
        <v>791.35</v>
      </c>
      <c r="I82" t="str">
        <f>"4 ft. Std. Ketch-Al"</f>
        <v>4 ft. Std. Ketch-Al</v>
      </c>
    </row>
    <row r="83" spans="1:9" x14ac:dyDescent="0.3">
      <c r="A83" t="str">
        <f>""</f>
        <v/>
      </c>
      <c r="F83" t="str">
        <f>""</f>
        <v/>
      </c>
      <c r="G83" t="str">
        <f>""</f>
        <v/>
      </c>
      <c r="I83" t="str">
        <f>"Pet Stick"</f>
        <v>Pet Stick</v>
      </c>
    </row>
    <row r="84" spans="1:9" x14ac:dyDescent="0.3">
      <c r="A84" t="str">
        <f>""</f>
        <v/>
      </c>
      <c r="F84" t="str">
        <f>""</f>
        <v/>
      </c>
      <c r="G84" t="str">
        <f>""</f>
        <v/>
      </c>
      <c r="I84" t="str">
        <f>"Shipping"</f>
        <v>Shipping</v>
      </c>
    </row>
    <row r="85" spans="1:9" x14ac:dyDescent="0.3">
      <c r="A85" t="str">
        <f>""</f>
        <v/>
      </c>
      <c r="F85" t="str">
        <f>"1R9P-XG9X-L1WP"</f>
        <v>1R9P-XG9X-L1WP</v>
      </c>
      <c r="G85" t="str">
        <f>"Hooker Merlin Chair"</f>
        <v>Hooker Merlin Chair</v>
      </c>
      <c r="H85" s="2">
        <v>1008</v>
      </c>
      <c r="I85" t="str">
        <f>"Hooker Merlin Chair"</f>
        <v>Hooker Merlin Chair</v>
      </c>
    </row>
    <row r="86" spans="1:9" x14ac:dyDescent="0.3">
      <c r="A86" t="str">
        <f>"T6702"</f>
        <v>T6702</v>
      </c>
      <c r="B86" t="s">
        <v>28</v>
      </c>
      <c r="C86">
        <v>74064</v>
      </c>
      <c r="D86" s="2">
        <v>41.85</v>
      </c>
      <c r="E86" s="1">
        <v>43080</v>
      </c>
      <c r="F86" t="str">
        <f>"01-17911972"</f>
        <v>01-17911972</v>
      </c>
      <c r="G86" t="str">
        <f>"INV 01-17911972"</f>
        <v>INV 01-17911972</v>
      </c>
      <c r="H86" s="2">
        <v>41.85</v>
      </c>
      <c r="I86" t="str">
        <f>"INV 01-17911972"</f>
        <v>INV 01-17911972</v>
      </c>
    </row>
    <row r="87" spans="1:9" x14ac:dyDescent="0.3">
      <c r="A87" t="str">
        <f>"T6702"</f>
        <v>T6702</v>
      </c>
      <c r="B87" t="s">
        <v>28</v>
      </c>
      <c r="C87">
        <v>74335</v>
      </c>
      <c r="D87" s="2">
        <v>183.88</v>
      </c>
      <c r="E87" s="1">
        <v>43096</v>
      </c>
      <c r="F87" t="str">
        <f>"NOTARY APPLICATION"</f>
        <v>NOTARY APPLICATION</v>
      </c>
      <c r="G87" t="str">
        <f>"Applications"</f>
        <v>Applications</v>
      </c>
      <c r="H87" s="2">
        <v>183.88</v>
      </c>
      <c r="I87" t="str">
        <f>"Cynthia Ingram"</f>
        <v>Cynthia Ingram</v>
      </c>
    </row>
    <row r="88" spans="1:9" x14ac:dyDescent="0.3">
      <c r="A88" t="str">
        <f>""</f>
        <v/>
      </c>
      <c r="F88" t="str">
        <f>""</f>
        <v/>
      </c>
      <c r="G88" t="str">
        <f>""</f>
        <v/>
      </c>
      <c r="I88" t="str">
        <f>"Dora Sanchez"</f>
        <v>Dora Sanchez</v>
      </c>
    </row>
    <row r="89" spans="1:9" x14ac:dyDescent="0.3">
      <c r="A89" t="str">
        <f>"AMERIC"</f>
        <v>AMERIC</v>
      </c>
      <c r="B89" t="s">
        <v>29</v>
      </c>
      <c r="C89">
        <v>74065</v>
      </c>
      <c r="D89" s="2">
        <v>47.94</v>
      </c>
      <c r="E89" s="1">
        <v>43080</v>
      </c>
      <c r="F89" t="str">
        <f>"5299770"</f>
        <v>5299770</v>
      </c>
      <c r="G89" t="str">
        <f>"CUST#100074/ORD#1381443/PCT#3"</f>
        <v>CUST#100074/ORD#1381443/PCT#3</v>
      </c>
      <c r="H89" s="2">
        <v>47.94</v>
      </c>
      <c r="I89" t="str">
        <f>"CUST#100074/ORD#1381443/PCT#3"</f>
        <v>CUST#100074/ORD#1381443/PCT#3</v>
      </c>
    </row>
    <row r="90" spans="1:9" x14ac:dyDescent="0.3">
      <c r="A90" t="str">
        <f>"003253"</f>
        <v>003253</v>
      </c>
      <c r="B90" t="s">
        <v>30</v>
      </c>
      <c r="C90">
        <v>74336</v>
      </c>
      <c r="D90" s="2">
        <v>19</v>
      </c>
      <c r="E90" s="1">
        <v>43096</v>
      </c>
      <c r="F90" t="str">
        <f>"927968-1-1"</f>
        <v>927968-1-1</v>
      </c>
      <c r="G90" t="str">
        <f>"CUST#235716/HOOK"</f>
        <v>CUST#235716/HOOK</v>
      </c>
      <c r="H90" s="2">
        <v>19</v>
      </c>
      <c r="I90" t="str">
        <f>"CUST#235716/HOOK"</f>
        <v>CUST#235716/HOOK</v>
      </c>
    </row>
    <row r="91" spans="1:9" x14ac:dyDescent="0.3">
      <c r="A91" t="str">
        <f>"002148"</f>
        <v>002148</v>
      </c>
      <c r="B91" t="s">
        <v>31</v>
      </c>
      <c r="C91">
        <v>74066</v>
      </c>
      <c r="D91" s="2">
        <v>589.08000000000004</v>
      </c>
      <c r="E91" s="1">
        <v>43080</v>
      </c>
      <c r="F91" t="str">
        <f>"928751519"</f>
        <v>928751519</v>
      </c>
      <c r="G91" t="str">
        <f>"INV 928751519"</f>
        <v>INV 928751519</v>
      </c>
      <c r="H91" s="2">
        <v>589.08000000000004</v>
      </c>
      <c r="I91" t="str">
        <f>"INV 928751519"</f>
        <v>INV 928751519</v>
      </c>
    </row>
    <row r="92" spans="1:9" x14ac:dyDescent="0.3">
      <c r="A92" t="str">
        <f>"002148"</f>
        <v>002148</v>
      </c>
      <c r="B92" t="s">
        <v>31</v>
      </c>
      <c r="C92">
        <v>74337</v>
      </c>
      <c r="D92" s="2">
        <v>122.53</v>
      </c>
      <c r="E92" s="1">
        <v>43096</v>
      </c>
      <c r="F92" t="str">
        <f>"929082879/880"</f>
        <v>929082879/880</v>
      </c>
      <c r="G92" t="str">
        <f>"INV 929082879"</f>
        <v>INV 929082879</v>
      </c>
      <c r="H92" s="2">
        <v>122.53</v>
      </c>
      <c r="I92" t="str">
        <f>"INV 929082879"</f>
        <v>INV 929082879</v>
      </c>
    </row>
    <row r="93" spans="1:9" x14ac:dyDescent="0.3">
      <c r="A93" t="str">
        <f>""</f>
        <v/>
      </c>
      <c r="F93" t="str">
        <f>""</f>
        <v/>
      </c>
      <c r="G93" t="str">
        <f>""</f>
        <v/>
      </c>
      <c r="I93" t="str">
        <f>"INV 929082880"</f>
        <v>INV 929082880</v>
      </c>
    </row>
    <row r="94" spans="1:9" x14ac:dyDescent="0.3">
      <c r="A94" t="str">
        <f>"T14545"</f>
        <v>T14545</v>
      </c>
      <c r="B94" t="s">
        <v>32</v>
      </c>
      <c r="C94">
        <v>74067</v>
      </c>
      <c r="D94" s="2">
        <v>3290.45</v>
      </c>
      <c r="E94" s="1">
        <v>43080</v>
      </c>
      <c r="F94" t="str">
        <f>"107592"</f>
        <v>107592</v>
      </c>
      <c r="G94" t="str">
        <f>"MASS MAILING/VOTER CARDS/POST"</f>
        <v>MASS MAILING/VOTER CARDS/POST</v>
      </c>
      <c r="H94" s="2">
        <v>3290.45</v>
      </c>
      <c r="I94" t="str">
        <f>"MASS MAILING/VOTER CARDS/POST"</f>
        <v>MASS MAILING/VOTER CARDS/POST</v>
      </c>
    </row>
    <row r="95" spans="1:9" x14ac:dyDescent="0.3">
      <c r="A95" t="str">
        <f>"T7520"</f>
        <v>T7520</v>
      </c>
      <c r="B95" t="s">
        <v>33</v>
      </c>
      <c r="C95">
        <v>999999</v>
      </c>
      <c r="D95" s="2">
        <v>250</v>
      </c>
      <c r="E95" s="1">
        <v>43081</v>
      </c>
      <c r="F95" t="str">
        <f>"201712057169"</f>
        <v>201712057169</v>
      </c>
      <c r="G95" t="str">
        <f>"55 121"</f>
        <v>55 121</v>
      </c>
      <c r="H95" s="2">
        <v>250</v>
      </c>
      <c r="I95" t="str">
        <f>"55 121"</f>
        <v>55 121</v>
      </c>
    </row>
    <row r="96" spans="1:9" x14ac:dyDescent="0.3">
      <c r="A96" t="str">
        <f>"T7520"</f>
        <v>T7520</v>
      </c>
      <c r="B96" t="s">
        <v>33</v>
      </c>
      <c r="C96">
        <v>999999</v>
      </c>
      <c r="D96" s="2">
        <v>2750</v>
      </c>
      <c r="E96" s="1">
        <v>43097</v>
      </c>
      <c r="F96" t="str">
        <f>"201712147300"</f>
        <v>201712147300</v>
      </c>
      <c r="G96" t="str">
        <f>"661-21"</f>
        <v>661-21</v>
      </c>
      <c r="H96" s="2">
        <v>100</v>
      </c>
      <c r="I96" t="str">
        <f>"661-21"</f>
        <v>661-21</v>
      </c>
    </row>
    <row r="97" spans="1:9" x14ac:dyDescent="0.3">
      <c r="A97" t="str">
        <f>""</f>
        <v/>
      </c>
      <c r="F97" t="str">
        <f>"201712147301"</f>
        <v>201712147301</v>
      </c>
      <c r="G97" t="str">
        <f>"423-5395"</f>
        <v>423-5395</v>
      </c>
      <c r="H97" s="2">
        <v>100</v>
      </c>
      <c r="I97" t="str">
        <f>"423-5395"</f>
        <v>423-5395</v>
      </c>
    </row>
    <row r="98" spans="1:9" x14ac:dyDescent="0.3">
      <c r="A98" t="str">
        <f>""</f>
        <v/>
      </c>
      <c r="F98" t="str">
        <f>"201712147302"</f>
        <v>201712147302</v>
      </c>
      <c r="G98" t="str">
        <f>"16 244"</f>
        <v>16 244</v>
      </c>
      <c r="H98" s="2">
        <v>400</v>
      </c>
      <c r="I98" t="str">
        <f>"16 244"</f>
        <v>16 244</v>
      </c>
    </row>
    <row r="99" spans="1:9" x14ac:dyDescent="0.3">
      <c r="A99" t="str">
        <f>""</f>
        <v/>
      </c>
      <c r="F99" t="str">
        <f>"201712147303"</f>
        <v>201712147303</v>
      </c>
      <c r="G99" t="str">
        <f>"423-5327"</f>
        <v>423-5327</v>
      </c>
      <c r="H99" s="2">
        <v>100</v>
      </c>
      <c r="I99" t="str">
        <f>"423-5327"</f>
        <v>423-5327</v>
      </c>
    </row>
    <row r="100" spans="1:9" x14ac:dyDescent="0.3">
      <c r="A100" t="str">
        <f>""</f>
        <v/>
      </c>
      <c r="F100" t="str">
        <f>"201712147304"</f>
        <v>201712147304</v>
      </c>
      <c r="G100" t="str">
        <f>"16 395"</f>
        <v>16 395</v>
      </c>
      <c r="H100" s="2">
        <v>400</v>
      </c>
      <c r="I100" t="str">
        <f>"16 395"</f>
        <v>16 395</v>
      </c>
    </row>
    <row r="101" spans="1:9" x14ac:dyDescent="0.3">
      <c r="A101" t="str">
        <f>""</f>
        <v/>
      </c>
      <c r="F101" t="str">
        <f>"201712147305"</f>
        <v>201712147305</v>
      </c>
      <c r="G101" t="str">
        <f>"16 174"</f>
        <v>16 174</v>
      </c>
      <c r="H101" s="2">
        <v>400</v>
      </c>
      <c r="I101" t="str">
        <f>"16 174"</f>
        <v>16 174</v>
      </c>
    </row>
    <row r="102" spans="1:9" x14ac:dyDescent="0.3">
      <c r="A102" t="str">
        <f>""</f>
        <v/>
      </c>
      <c r="F102" t="str">
        <f>"201712147306"</f>
        <v>201712147306</v>
      </c>
      <c r="G102" t="str">
        <f>"16 059"</f>
        <v>16 059</v>
      </c>
      <c r="H102" s="2">
        <v>400</v>
      </c>
      <c r="I102" t="str">
        <f>"16 059"</f>
        <v>16 059</v>
      </c>
    </row>
    <row r="103" spans="1:9" x14ac:dyDescent="0.3">
      <c r="A103" t="str">
        <f>""</f>
        <v/>
      </c>
      <c r="F103" t="str">
        <f>"201712197378"</f>
        <v>201712197378</v>
      </c>
      <c r="G103" t="str">
        <f>"17-18724"</f>
        <v>17-18724</v>
      </c>
      <c r="H103" s="2">
        <v>100</v>
      </c>
      <c r="I103" t="str">
        <f>"17-18724"</f>
        <v>17-18724</v>
      </c>
    </row>
    <row r="104" spans="1:9" x14ac:dyDescent="0.3">
      <c r="A104" t="str">
        <f>""</f>
        <v/>
      </c>
      <c r="F104" t="str">
        <f>"201712197405"</f>
        <v>201712197405</v>
      </c>
      <c r="G104" t="str">
        <f>"54 795"</f>
        <v>54 795</v>
      </c>
      <c r="H104" s="2">
        <v>250</v>
      </c>
      <c r="I104" t="str">
        <f>"54 795"</f>
        <v>54 795</v>
      </c>
    </row>
    <row r="105" spans="1:9" x14ac:dyDescent="0.3">
      <c r="A105" t="str">
        <f>""</f>
        <v/>
      </c>
      <c r="F105" t="str">
        <f>"201712197406"</f>
        <v>201712197406</v>
      </c>
      <c r="G105" t="str">
        <f>"CH20150105"</f>
        <v>CH20150105</v>
      </c>
      <c r="H105" s="2">
        <v>250</v>
      </c>
      <c r="I105" t="str">
        <f>"CH20150105"</f>
        <v>CH20150105</v>
      </c>
    </row>
    <row r="106" spans="1:9" x14ac:dyDescent="0.3">
      <c r="A106" t="str">
        <f>""</f>
        <v/>
      </c>
      <c r="F106" t="str">
        <f>"201712197412"</f>
        <v>201712197412</v>
      </c>
      <c r="G106" t="str">
        <f>"55 574"</f>
        <v>55 574</v>
      </c>
      <c r="H106" s="2">
        <v>250</v>
      </c>
      <c r="I106" t="str">
        <f>"55 574"</f>
        <v>55 574</v>
      </c>
    </row>
    <row r="107" spans="1:9" x14ac:dyDescent="0.3">
      <c r="A107" t="str">
        <f>"AMC"</f>
        <v>AMC</v>
      </c>
      <c r="B107" t="s">
        <v>34</v>
      </c>
      <c r="C107">
        <v>74338</v>
      </c>
      <c r="D107" s="2">
        <v>1055.9000000000001</v>
      </c>
      <c r="E107" s="1">
        <v>43096</v>
      </c>
      <c r="F107" t="str">
        <f>"A9105"</f>
        <v>A9105</v>
      </c>
      <c r="G107" t="str">
        <f>"PARTS/PCT#1"</f>
        <v>PARTS/PCT#1</v>
      </c>
      <c r="H107" s="2">
        <v>1055.9000000000001</v>
      </c>
      <c r="I107" t="str">
        <f>"PARTS/PCT#1"</f>
        <v>PARTS/PCT#1</v>
      </c>
    </row>
    <row r="108" spans="1:9" x14ac:dyDescent="0.3">
      <c r="A108" t="str">
        <f>"005309"</f>
        <v>005309</v>
      </c>
      <c r="B108" t="s">
        <v>35</v>
      </c>
      <c r="C108">
        <v>74068</v>
      </c>
      <c r="D108" s="2">
        <v>50</v>
      </c>
      <c r="E108" s="1">
        <v>43080</v>
      </c>
      <c r="F108" t="str">
        <f>"201711286777"</f>
        <v>201711286777</v>
      </c>
      <c r="G108" t="str">
        <f>"FERAL HOGS"</f>
        <v>FERAL HOGS</v>
      </c>
      <c r="H108" s="2">
        <v>50</v>
      </c>
      <c r="I108" t="str">
        <f>"FERAL HOGS"</f>
        <v>FERAL HOGS</v>
      </c>
    </row>
    <row r="109" spans="1:9" x14ac:dyDescent="0.3">
      <c r="A109" t="str">
        <f>"002661"</f>
        <v>002661</v>
      </c>
      <c r="B109" t="s">
        <v>36</v>
      </c>
      <c r="C109">
        <v>74069</v>
      </c>
      <c r="D109" s="2">
        <v>105.8</v>
      </c>
      <c r="E109" s="1">
        <v>43080</v>
      </c>
      <c r="F109" t="str">
        <f>"1711-368492"</f>
        <v>1711-368492</v>
      </c>
      <c r="G109" t="str">
        <f>"ACCT#3-3053/PCT#2"</f>
        <v>ACCT#3-3053/PCT#2</v>
      </c>
      <c r="H109" s="2">
        <v>105.8</v>
      </c>
      <c r="I109" t="str">
        <f>"ACCT#3-3053/PCT#2"</f>
        <v>ACCT#3-3053/PCT#2</v>
      </c>
    </row>
    <row r="110" spans="1:9" x14ac:dyDescent="0.3">
      <c r="A110" t="str">
        <f>""</f>
        <v/>
      </c>
      <c r="F110" t="str">
        <f>""</f>
        <v/>
      </c>
      <c r="G110" t="str">
        <f>""</f>
        <v/>
      </c>
      <c r="I110" t="str">
        <f>"ACCT#3-3053/PCT#2"</f>
        <v>ACCT#3-3053/PCT#2</v>
      </c>
    </row>
    <row r="111" spans="1:9" x14ac:dyDescent="0.3">
      <c r="A111" t="str">
        <f>"004902"</f>
        <v>004902</v>
      </c>
      <c r="B111" t="s">
        <v>37</v>
      </c>
      <c r="C111">
        <v>999999</v>
      </c>
      <c r="D111" s="2">
        <v>382.05</v>
      </c>
      <c r="E111" s="1">
        <v>43097</v>
      </c>
      <c r="F111" t="str">
        <f>"201712137293"</f>
        <v>201712137293</v>
      </c>
      <c r="G111" t="str">
        <f>"NOVEMBER MILEAGE REIMBURSEMENT"</f>
        <v>NOVEMBER MILEAGE REIMBURSEMENT</v>
      </c>
      <c r="H111" s="2">
        <v>191.53</v>
      </c>
      <c r="I111" t="str">
        <f>"NOVEMBER MILEAGE REIMBURSEMENT"</f>
        <v>NOVEMBER MILEAGE REIMBURSEMENT</v>
      </c>
    </row>
    <row r="112" spans="1:9" x14ac:dyDescent="0.3">
      <c r="A112" t="str">
        <f>""</f>
        <v/>
      </c>
      <c r="F112" t="str">
        <f>"201712207471"</f>
        <v>201712207471</v>
      </c>
      <c r="G112" t="str">
        <f>"REIMBURSE-MILEAGE/LODGING"</f>
        <v>REIMBURSE-MILEAGE/LODGING</v>
      </c>
      <c r="H112" s="2">
        <v>190.52</v>
      </c>
      <c r="I112" t="str">
        <f>"REIMBURSE-MILEAGE/LODGING"</f>
        <v>REIMBURSE-MILEAGE/LODGING</v>
      </c>
    </row>
    <row r="113" spans="1:9" x14ac:dyDescent="0.3">
      <c r="A113" t="str">
        <f>"AQUAB"</f>
        <v>AQUAB</v>
      </c>
      <c r="B113" t="s">
        <v>38</v>
      </c>
      <c r="C113">
        <v>74339</v>
      </c>
      <c r="D113" s="2">
        <v>877.63</v>
      </c>
      <c r="E113" s="1">
        <v>43096</v>
      </c>
      <c r="F113" t="str">
        <f>"201712117246"</f>
        <v>201712117246</v>
      </c>
      <c r="G113" t="str">
        <f>"ACCT#012571/TREASURER"</f>
        <v>ACCT#012571/TREASURER</v>
      </c>
      <c r="H113" s="2">
        <v>24</v>
      </c>
      <c r="I113" t="str">
        <f>"ACCT#012571/TREASURER"</f>
        <v>ACCT#012571/TREASURER</v>
      </c>
    </row>
    <row r="114" spans="1:9" x14ac:dyDescent="0.3">
      <c r="A114" t="str">
        <f>""</f>
        <v/>
      </c>
      <c r="F114" t="str">
        <f>"201712117247"</f>
        <v>201712117247</v>
      </c>
      <c r="G114" t="str">
        <f>"ACCT#012260/D.A.'S OFFICE"</f>
        <v>ACCT#012260/D.A.'S OFFICE</v>
      </c>
      <c r="H114" s="2">
        <v>75</v>
      </c>
      <c r="I114" t="str">
        <f>"ACCT#012260/D.A.'S OFFICE"</f>
        <v>ACCT#012260/D.A.'S OFFICE</v>
      </c>
    </row>
    <row r="115" spans="1:9" x14ac:dyDescent="0.3">
      <c r="A115" t="str">
        <f>""</f>
        <v/>
      </c>
      <c r="F115" t="str">
        <f>"201712117248"</f>
        <v>201712117248</v>
      </c>
      <c r="G115" t="str">
        <f>"ACCT#010238/GENERAL SVCS"</f>
        <v>ACCT#010238/GENERAL SVCS</v>
      </c>
      <c r="H115" s="2">
        <v>78.25</v>
      </c>
      <c r="I115" t="str">
        <f>"ACCT#010238/GENERAL SVCS"</f>
        <v>ACCT#010238/GENERAL SVCS</v>
      </c>
    </row>
    <row r="116" spans="1:9" x14ac:dyDescent="0.3">
      <c r="A116" t="str">
        <f>""</f>
        <v/>
      </c>
      <c r="F116" t="str">
        <f>"201712117249"</f>
        <v>201712117249</v>
      </c>
      <c r="G116" t="str">
        <f>"ACCT#015538/EMER COMM"</f>
        <v>ACCT#015538/EMER COMM</v>
      </c>
      <c r="H116" s="2">
        <v>84.34</v>
      </c>
      <c r="I116" t="str">
        <f>"ACCT#015538/EMER COMM"</f>
        <v>ACCT#015538/EMER COMM</v>
      </c>
    </row>
    <row r="117" spans="1:9" x14ac:dyDescent="0.3">
      <c r="A117" t="str">
        <f>""</f>
        <v/>
      </c>
      <c r="F117" t="str">
        <f>"201712117250"</f>
        <v>201712117250</v>
      </c>
      <c r="G117" t="str">
        <f>"ACCT#010057/AUDITOR"</f>
        <v>ACCT#010057/AUDITOR</v>
      </c>
      <c r="H117" s="2">
        <v>9</v>
      </c>
      <c r="I117" t="str">
        <f>"ACCT#010057/AUDITOR"</f>
        <v>ACCT#010057/AUDITOR</v>
      </c>
    </row>
    <row r="118" spans="1:9" x14ac:dyDescent="0.3">
      <c r="A118" t="str">
        <f>""</f>
        <v/>
      </c>
      <c r="F118" t="str">
        <f>"201712117251"</f>
        <v>201712117251</v>
      </c>
      <c r="G118" t="str">
        <f>"ACCT#015199/JP#1"</f>
        <v>ACCT#015199/JP#1</v>
      </c>
      <c r="H118" s="2">
        <v>19.34</v>
      </c>
      <c r="I118" t="str">
        <f>"ACCT#015199/JP#1"</f>
        <v>ACCT#015199/JP#1</v>
      </c>
    </row>
    <row r="119" spans="1:9" x14ac:dyDescent="0.3">
      <c r="A119" t="str">
        <f>""</f>
        <v/>
      </c>
      <c r="F119" t="str">
        <f>"201712117252"</f>
        <v>201712117252</v>
      </c>
      <c r="G119" t="str">
        <f>"ACCT#013393/BASTROP CO H.R."</f>
        <v>ACCT#013393/BASTROP CO H.R.</v>
      </c>
      <c r="H119" s="2">
        <v>40</v>
      </c>
      <c r="I119" t="str">
        <f>"ACCT#013393/BASTROP CO H.R."</f>
        <v>ACCT#013393/BASTROP CO H.R.</v>
      </c>
    </row>
    <row r="120" spans="1:9" x14ac:dyDescent="0.3">
      <c r="A120" t="str">
        <f>""</f>
        <v/>
      </c>
      <c r="F120" t="str">
        <f>"201712117253"</f>
        <v>201712117253</v>
      </c>
      <c r="G120" t="str">
        <f>"ACCT#012231/DIST JUDGE OFFICE"</f>
        <v>ACCT#012231/DIST JUDGE OFFICE</v>
      </c>
      <c r="H120" s="2">
        <v>26</v>
      </c>
      <c r="I120" t="str">
        <f>"ACCT#012231/DIST JUDGE OFFICE"</f>
        <v>ACCT#012231/DIST JUDGE OFFICE</v>
      </c>
    </row>
    <row r="121" spans="1:9" x14ac:dyDescent="0.3">
      <c r="A121" t="str">
        <f>""</f>
        <v/>
      </c>
      <c r="F121" t="str">
        <f>"201712117254"</f>
        <v>201712117254</v>
      </c>
      <c r="G121" t="str">
        <f>"ACCT#010311/COUNTY COURT"</f>
        <v>ACCT#010311/COUNTY COURT</v>
      </c>
      <c r="H121" s="2">
        <v>46.5</v>
      </c>
      <c r="I121" t="str">
        <f>"ACCT#010311/COUNTY COURT"</f>
        <v>ACCT#010311/COUNTY COURT</v>
      </c>
    </row>
    <row r="122" spans="1:9" x14ac:dyDescent="0.3">
      <c r="A122" t="str">
        <f>""</f>
        <v/>
      </c>
      <c r="F122" t="str">
        <f>"201712117255"</f>
        <v>201712117255</v>
      </c>
      <c r="G122" t="str">
        <f>"ACCT#010602/COMMISSIONER OFF"</f>
        <v>ACCT#010602/COMMISSIONER OFF</v>
      </c>
      <c r="H122" s="2">
        <v>60</v>
      </c>
      <c r="I122" t="str">
        <f>"ACCT#010602/COMMISSIONER OFF"</f>
        <v>ACCT#010602/COMMISSIONER OFF</v>
      </c>
    </row>
    <row r="123" spans="1:9" x14ac:dyDescent="0.3">
      <c r="A123" t="str">
        <f>""</f>
        <v/>
      </c>
      <c r="F123" t="str">
        <f>"201712117256"</f>
        <v>201712117256</v>
      </c>
      <c r="G123" t="str">
        <f>"ACCT#010149/TEXAS AGRI LIFE EX"</f>
        <v>ACCT#010149/TEXAS AGRI LIFE EX</v>
      </c>
      <c r="H123" s="2">
        <v>33.840000000000003</v>
      </c>
      <c r="I123" t="str">
        <f>"ACCT#010149/TEXAS AGRI LIFE EX"</f>
        <v>ACCT#010149/TEXAS AGRI LIFE EX</v>
      </c>
    </row>
    <row r="124" spans="1:9" x14ac:dyDescent="0.3">
      <c r="A124" t="str">
        <f>""</f>
        <v/>
      </c>
      <c r="F124" t="str">
        <f>"201712117257"</f>
        <v>201712117257</v>
      </c>
      <c r="G124" t="str">
        <f>"ACCT#011955/DIST JUDGE"</f>
        <v>ACCT#011955/DIST JUDGE</v>
      </c>
      <c r="H124" s="2">
        <v>57</v>
      </c>
      <c r="I124" t="str">
        <f>"ACCT#011955/DIST JUDGE"</f>
        <v>ACCT#011955/DIST JUDGE</v>
      </c>
    </row>
    <row r="125" spans="1:9" x14ac:dyDescent="0.3">
      <c r="A125" t="str">
        <f>""</f>
        <v/>
      </c>
      <c r="F125" t="str">
        <f>"201712127259"</f>
        <v>201712127259</v>
      </c>
      <c r="G125" t="str">
        <f>"ACCT#011280/COUNTY CLERK"</f>
        <v>ACCT#011280/COUNTY CLERK</v>
      </c>
      <c r="H125" s="2">
        <v>46.5</v>
      </c>
      <c r="I125" t="str">
        <f>"ACCT#011280/COUNTY CLERK"</f>
        <v>ACCT#011280/COUNTY CLERK</v>
      </c>
    </row>
    <row r="126" spans="1:9" x14ac:dyDescent="0.3">
      <c r="A126" t="str">
        <f>""</f>
        <v/>
      </c>
      <c r="F126" t="str">
        <f>"201712127263"</f>
        <v>201712127263</v>
      </c>
      <c r="G126" t="str">
        <f>"ACCT#011474/ELECTIONS"</f>
        <v>ACCT#011474/ELECTIONS</v>
      </c>
      <c r="H126" s="2">
        <v>32.5</v>
      </c>
      <c r="I126" t="str">
        <f>"ACCT#011474/ELECTIONS"</f>
        <v>ACCT#011474/ELECTIONS</v>
      </c>
    </row>
    <row r="127" spans="1:9" x14ac:dyDescent="0.3">
      <c r="A127" t="str">
        <f>""</f>
        <v/>
      </c>
      <c r="F127" t="str">
        <f>"201712127264"</f>
        <v>201712127264</v>
      </c>
      <c r="G127" t="str">
        <f>"ACCT#010835/PCT#1"</f>
        <v>ACCT#010835/PCT#1</v>
      </c>
      <c r="H127" s="2">
        <v>44.68</v>
      </c>
      <c r="I127" t="str">
        <f>"ACCT#010835/PCT#1"</f>
        <v>ACCT#010835/PCT#1</v>
      </c>
    </row>
    <row r="128" spans="1:9" x14ac:dyDescent="0.3">
      <c r="A128" t="str">
        <f>""</f>
        <v/>
      </c>
      <c r="F128" t="str">
        <f>"201712127287"</f>
        <v>201712127287</v>
      </c>
      <c r="G128" t="str">
        <f>"ACCT#014877/OEM"</f>
        <v>ACCT#014877/OEM</v>
      </c>
      <c r="H128" s="2">
        <v>9</v>
      </c>
      <c r="I128" t="str">
        <f>"ACCT#014877/OEM"</f>
        <v>ACCT#014877/OEM</v>
      </c>
    </row>
    <row r="129" spans="1:9" x14ac:dyDescent="0.3">
      <c r="A129" t="str">
        <f>""</f>
        <v/>
      </c>
      <c r="F129" t="str">
        <f>"201712147323"</f>
        <v>201712147323</v>
      </c>
      <c r="G129" t="str">
        <f>"ACCT#012803/BASTROP CO JUDGE"</f>
        <v>ACCT#012803/BASTROP CO JUDGE</v>
      </c>
      <c r="H129" s="2">
        <v>16.5</v>
      </c>
      <c r="I129" t="str">
        <f>"ACCT#012803/BASTROP CO JUDGE"</f>
        <v>ACCT#012803/BASTROP CO JUDGE</v>
      </c>
    </row>
    <row r="130" spans="1:9" x14ac:dyDescent="0.3">
      <c r="A130" t="str">
        <f>""</f>
        <v/>
      </c>
      <c r="F130" t="str">
        <f>"201712187356"</f>
        <v>201712187356</v>
      </c>
      <c r="G130" t="str">
        <f>"ACCT#012259/DIST CLERK"</f>
        <v>ACCT#012259/DIST CLERK</v>
      </c>
      <c r="H130" s="2">
        <v>138</v>
      </c>
      <c r="I130" t="str">
        <f>"ACCT#012259/DIST CLERK"</f>
        <v>ACCT#012259/DIST CLERK</v>
      </c>
    </row>
    <row r="131" spans="1:9" x14ac:dyDescent="0.3">
      <c r="A131" t="str">
        <f>""</f>
        <v/>
      </c>
      <c r="F131" t="str">
        <f>"201712197438"</f>
        <v>201712197438</v>
      </c>
      <c r="G131" t="str">
        <f>"ACCT#013789/BASTROP COUNTY"</f>
        <v>ACCT#013789/BASTROP COUNTY</v>
      </c>
      <c r="H131" s="2">
        <v>34.340000000000003</v>
      </c>
      <c r="I131" t="str">
        <f>"ACCT#013789/BASTROP COUNTY"</f>
        <v>ACCT#013789/BASTROP COUNTY</v>
      </c>
    </row>
    <row r="132" spans="1:9" x14ac:dyDescent="0.3">
      <c r="A132" t="str">
        <f>""</f>
        <v/>
      </c>
      <c r="F132" t="str">
        <f>"201712207441"</f>
        <v>201712207441</v>
      </c>
      <c r="G132" t="str">
        <f>"ACCT#014737/BAST CO ANIMAL CON"</f>
        <v>ACCT#014737/BAST CO ANIMAL CON</v>
      </c>
      <c r="H132" s="2">
        <v>2.84</v>
      </c>
      <c r="I132" t="str">
        <f>"ACCT#014737/BAST CO ANIMAL CON"</f>
        <v>ACCT#014737/BAST CO ANIMAL CON</v>
      </c>
    </row>
    <row r="133" spans="1:9" x14ac:dyDescent="0.3">
      <c r="A133" t="str">
        <f>"AWS"</f>
        <v>AWS</v>
      </c>
      <c r="B133" t="s">
        <v>39</v>
      </c>
      <c r="C133">
        <v>74053</v>
      </c>
      <c r="D133" s="2">
        <v>859.13</v>
      </c>
      <c r="E133" s="1">
        <v>43076</v>
      </c>
      <c r="F133" t="str">
        <f>"201712077231"</f>
        <v>201712077231</v>
      </c>
      <c r="G133" t="str">
        <f>"ACCT#0201855301 / 12012017"</f>
        <v>ACCT#0201855301 / 12012017</v>
      </c>
      <c r="H133" s="2">
        <v>50.04</v>
      </c>
      <c r="I133" t="str">
        <f>"ACCT#0201855301 / 12012017"</f>
        <v>ACCT#0201855301 / 12012017</v>
      </c>
    </row>
    <row r="134" spans="1:9" x14ac:dyDescent="0.3">
      <c r="A134" t="str">
        <f>""</f>
        <v/>
      </c>
      <c r="F134" t="str">
        <f>"201712077232"</f>
        <v>201712077232</v>
      </c>
      <c r="G134" t="str">
        <f>"ACCT#0400785803 / 12012017"</f>
        <v>ACCT#0400785803 / 12012017</v>
      </c>
      <c r="H134" s="2">
        <v>204.99</v>
      </c>
      <c r="I134" t="str">
        <f>"ACCT#0400785803 / 12012017"</f>
        <v>ACCT#0400785803 / 12012017</v>
      </c>
    </row>
    <row r="135" spans="1:9" x14ac:dyDescent="0.3">
      <c r="A135" t="str">
        <f>""</f>
        <v/>
      </c>
      <c r="F135" t="str">
        <f>"201712077233"</f>
        <v>201712077233</v>
      </c>
      <c r="G135" t="str">
        <f>"ACCT#0401408501 / 12012017"</f>
        <v>ACCT#0401408501 / 12012017</v>
      </c>
      <c r="H135" s="2">
        <v>604.1</v>
      </c>
      <c r="I135" t="str">
        <f>"ACCT#0401408501 / 12012017"</f>
        <v>ACCT#0401408501 / 12012017</v>
      </c>
    </row>
    <row r="136" spans="1:9" x14ac:dyDescent="0.3">
      <c r="A136" t="str">
        <f>"AWS"</f>
        <v>AWS</v>
      </c>
      <c r="B136" t="s">
        <v>39</v>
      </c>
      <c r="C136">
        <v>74340</v>
      </c>
      <c r="D136" s="2">
        <v>881.5</v>
      </c>
      <c r="E136" s="1">
        <v>43096</v>
      </c>
      <c r="F136" t="str">
        <f>"201712197360"</f>
        <v>201712197360</v>
      </c>
      <c r="G136" t="str">
        <f>"ACCT#7700010025/30 LOADS WATER"</f>
        <v>ACCT#7700010025/30 LOADS WATER</v>
      </c>
      <c r="H136" s="2">
        <v>307.5</v>
      </c>
      <c r="I136" t="str">
        <f>"ACCT#7700010025/30 LOADS WATER"</f>
        <v>ACCT#7700010025/30 LOADS WATER</v>
      </c>
    </row>
    <row r="137" spans="1:9" x14ac:dyDescent="0.3">
      <c r="A137" t="str">
        <f>""</f>
        <v/>
      </c>
      <c r="F137" t="str">
        <f>"201712197361"</f>
        <v>201712197361</v>
      </c>
      <c r="G137" t="str">
        <f>"ACCT#7700010026/56 LOADS WATER"</f>
        <v>ACCT#7700010026/56 LOADS WATER</v>
      </c>
      <c r="H137" s="2">
        <v>574</v>
      </c>
      <c r="I137" t="str">
        <f>"ACCT#7700010026/56 LOADS WATER"</f>
        <v>ACCT#7700010026/56 LOADS WATER</v>
      </c>
    </row>
    <row r="138" spans="1:9" x14ac:dyDescent="0.3">
      <c r="A138" t="str">
        <f>"000987"</f>
        <v>000987</v>
      </c>
      <c r="B138" t="s">
        <v>40</v>
      </c>
      <c r="C138">
        <v>74341</v>
      </c>
      <c r="D138" s="2">
        <v>320.26</v>
      </c>
      <c r="E138" s="1">
        <v>43096</v>
      </c>
      <c r="F138" t="str">
        <f>"201712207475"</f>
        <v>201712207475</v>
      </c>
      <c r="G138" t="str">
        <f>"INDIGENT HEALTH"</f>
        <v>INDIGENT HEALTH</v>
      </c>
      <c r="H138" s="2">
        <v>320.26</v>
      </c>
      <c r="I138" t="str">
        <f>"INDIGENT HEALTH"</f>
        <v>INDIGENT HEALTH</v>
      </c>
    </row>
    <row r="139" spans="1:9" x14ac:dyDescent="0.3">
      <c r="A139" t="str">
        <f>"003673"</f>
        <v>003673</v>
      </c>
      <c r="B139" t="s">
        <v>41</v>
      </c>
      <c r="C139">
        <v>74070</v>
      </c>
      <c r="D139" s="2">
        <v>5010.47</v>
      </c>
      <c r="E139" s="1">
        <v>43080</v>
      </c>
      <c r="F139" t="str">
        <f>"201712057093"</f>
        <v>201712057093</v>
      </c>
      <c r="G139" t="str">
        <f>"ACCT#512A490048 193 3"</f>
        <v>ACCT#512A490048 193 3</v>
      </c>
      <c r="H139" s="2">
        <v>4448.34</v>
      </c>
      <c r="I139" t="str">
        <f>"ACCT#512A490048 193 3"</f>
        <v>ACCT#512A490048 193 3</v>
      </c>
    </row>
    <row r="140" spans="1:9" x14ac:dyDescent="0.3">
      <c r="A140" t="str">
        <f>""</f>
        <v/>
      </c>
      <c r="F140" t="str">
        <f>""</f>
        <v/>
      </c>
      <c r="G140" t="str">
        <f>""</f>
        <v/>
      </c>
      <c r="I140" t="str">
        <f>"ACCT#512A490048 193 3"</f>
        <v>ACCT#512A490048 193 3</v>
      </c>
    </row>
    <row r="141" spans="1:9" x14ac:dyDescent="0.3">
      <c r="A141" t="str">
        <f>""</f>
        <v/>
      </c>
      <c r="F141" t="str">
        <f>"201712057094"</f>
        <v>201712057094</v>
      </c>
      <c r="G141" t="str">
        <f>"ACCT#512A49-0048 193 3/PCT#2"</f>
        <v>ACCT#512A49-0048 193 3/PCT#2</v>
      </c>
      <c r="H141" s="2">
        <v>244.98</v>
      </c>
      <c r="I141" t="str">
        <f>"ACCT#512A49-0048 193 3/PCT#2"</f>
        <v>ACCT#512A49-0048 193 3/PCT#2</v>
      </c>
    </row>
    <row r="142" spans="1:9" x14ac:dyDescent="0.3">
      <c r="A142" t="str">
        <f>""</f>
        <v/>
      </c>
      <c r="F142" t="str">
        <f>"201712057095"</f>
        <v>201712057095</v>
      </c>
      <c r="G142" t="str">
        <f>"ACCT#512A49-0048 193 3/PCT#3"</f>
        <v>ACCT#512A49-0048 193 3/PCT#3</v>
      </c>
      <c r="H142" s="2">
        <v>181.28</v>
      </c>
      <c r="I142" t="str">
        <f>"ACCT#512A49-0048 193 3/PCT#3"</f>
        <v>ACCT#512A49-0048 193 3/PCT#3</v>
      </c>
    </row>
    <row r="143" spans="1:9" x14ac:dyDescent="0.3">
      <c r="A143" t="str">
        <f>""</f>
        <v/>
      </c>
      <c r="F143" t="str">
        <f>"201712057096"</f>
        <v>201712057096</v>
      </c>
      <c r="G143" t="str">
        <f>"ACCT#512A49-0048 193 3/PCT#4"</f>
        <v>ACCT#512A49-0048 193 3/PCT#4</v>
      </c>
      <c r="H143" s="2">
        <v>135.87</v>
      </c>
      <c r="I143" t="str">
        <f>"ACCT#512A49-0048 193 3/PCT#4"</f>
        <v>ACCT#512A49-0048 193 3/PCT#4</v>
      </c>
    </row>
    <row r="144" spans="1:9" x14ac:dyDescent="0.3">
      <c r="A144" t="str">
        <f>"003673"</f>
        <v>003673</v>
      </c>
      <c r="B144" t="s">
        <v>41</v>
      </c>
      <c r="C144">
        <v>74342</v>
      </c>
      <c r="D144" s="2">
        <v>1802.78</v>
      </c>
      <c r="E144" s="1">
        <v>43096</v>
      </c>
      <c r="F144" t="str">
        <f>"201712207445"</f>
        <v>201712207445</v>
      </c>
      <c r="G144" t="str">
        <f>"ACCT#512 303-1080 238 5"</f>
        <v>ACCT#512 303-1080 238 5</v>
      </c>
      <c r="H144" s="2">
        <v>1802.78</v>
      </c>
      <c r="I144" t="str">
        <f>"ACCT#512 303-1080 238 5"</f>
        <v>ACCT#512 303-1080 238 5</v>
      </c>
    </row>
    <row r="145" spans="1:9" x14ac:dyDescent="0.3">
      <c r="A145" t="str">
        <f>"AT&amp;TLO"</f>
        <v>AT&amp;TLO</v>
      </c>
      <c r="B145" t="s">
        <v>42</v>
      </c>
      <c r="C145">
        <v>74071</v>
      </c>
      <c r="D145" s="2">
        <v>3888.23</v>
      </c>
      <c r="E145" s="1">
        <v>43080</v>
      </c>
      <c r="F145" t="str">
        <f>"201711286768"</f>
        <v>201711286768</v>
      </c>
      <c r="G145" t="str">
        <f>"ACCT#831-000-6982-602"</f>
        <v>ACCT#831-000-6982-602</v>
      </c>
      <c r="H145" s="2">
        <v>991.79</v>
      </c>
      <c r="I145" t="str">
        <f>"ACCT#831-000-6982-602"</f>
        <v>ACCT#831-000-6982-602</v>
      </c>
    </row>
    <row r="146" spans="1:9" x14ac:dyDescent="0.3">
      <c r="A146" t="str">
        <f>""</f>
        <v/>
      </c>
      <c r="F146" t="str">
        <f>"201711286769"</f>
        <v>201711286769</v>
      </c>
      <c r="G146" t="str">
        <f>"ACCT#831-000-6084-095"</f>
        <v>ACCT#831-000-6084-095</v>
      </c>
      <c r="H146" s="2">
        <v>1905.79</v>
      </c>
      <c r="I146" t="str">
        <f>"ACCT#831-000-6084-095"</f>
        <v>ACCT#831-000-6084-095</v>
      </c>
    </row>
    <row r="147" spans="1:9" x14ac:dyDescent="0.3">
      <c r="A147" t="str">
        <f>""</f>
        <v/>
      </c>
      <c r="F147" t="str">
        <f>"201711286770"</f>
        <v>201711286770</v>
      </c>
      <c r="G147" t="str">
        <f>"ACCT#831-000-7218-923"</f>
        <v>ACCT#831-000-7218-923</v>
      </c>
      <c r="H147" s="2">
        <v>990.65</v>
      </c>
      <c r="I147" t="str">
        <f>"ACCT#831-000-7218-923"</f>
        <v>ACCT#831-000-7218-923</v>
      </c>
    </row>
    <row r="148" spans="1:9" x14ac:dyDescent="0.3">
      <c r="A148" t="str">
        <f>"AT&amp;TMO"</f>
        <v>AT&amp;TMO</v>
      </c>
      <c r="B148" t="s">
        <v>43</v>
      </c>
      <c r="C148">
        <v>74072</v>
      </c>
      <c r="D148" s="2">
        <v>3758.16</v>
      </c>
      <c r="E148" s="1">
        <v>43080</v>
      </c>
      <c r="F148" t="str">
        <f>"201711276752"</f>
        <v>201711276752</v>
      </c>
      <c r="G148" t="str">
        <f>"ACCT#287263291654"</f>
        <v>ACCT#287263291654</v>
      </c>
      <c r="H148" s="2">
        <v>1560.08</v>
      </c>
      <c r="I148" t="str">
        <f t="shared" ref="I148:I161" si="5">"ACCT#287263291654"</f>
        <v>ACCT#287263291654</v>
      </c>
    </row>
    <row r="149" spans="1:9" x14ac:dyDescent="0.3">
      <c r="A149" t="str">
        <f>""</f>
        <v/>
      </c>
      <c r="F149" t="str">
        <f>""</f>
        <v/>
      </c>
      <c r="G149" t="str">
        <f>""</f>
        <v/>
      </c>
      <c r="I149" t="str">
        <f t="shared" si="5"/>
        <v>ACCT#287263291654</v>
      </c>
    </row>
    <row r="150" spans="1:9" x14ac:dyDescent="0.3">
      <c r="A150" t="str">
        <f>""</f>
        <v/>
      </c>
      <c r="F150" t="str">
        <f>""</f>
        <v/>
      </c>
      <c r="G150" t="str">
        <f>""</f>
        <v/>
      </c>
      <c r="I150" t="str">
        <f t="shared" si="5"/>
        <v>ACCT#287263291654</v>
      </c>
    </row>
    <row r="151" spans="1:9" x14ac:dyDescent="0.3">
      <c r="A151" t="str">
        <f>""</f>
        <v/>
      </c>
      <c r="F151" t="str">
        <f>""</f>
        <v/>
      </c>
      <c r="G151" t="str">
        <f>""</f>
        <v/>
      </c>
      <c r="I151" t="str">
        <f t="shared" si="5"/>
        <v>ACCT#287263291654</v>
      </c>
    </row>
    <row r="152" spans="1:9" x14ac:dyDescent="0.3">
      <c r="A152" t="str">
        <f>""</f>
        <v/>
      </c>
      <c r="F152" t="str">
        <f>""</f>
        <v/>
      </c>
      <c r="G152" t="str">
        <f>""</f>
        <v/>
      </c>
      <c r="I152" t="str">
        <f t="shared" si="5"/>
        <v>ACCT#287263291654</v>
      </c>
    </row>
    <row r="153" spans="1:9" x14ac:dyDescent="0.3">
      <c r="A153" t="str">
        <f>""</f>
        <v/>
      </c>
      <c r="F153" t="str">
        <f>""</f>
        <v/>
      </c>
      <c r="G153" t="str">
        <f>""</f>
        <v/>
      </c>
      <c r="I153" t="str">
        <f t="shared" si="5"/>
        <v>ACCT#287263291654</v>
      </c>
    </row>
    <row r="154" spans="1:9" x14ac:dyDescent="0.3">
      <c r="A154" t="str">
        <f>""</f>
        <v/>
      </c>
      <c r="F154" t="str">
        <f>""</f>
        <v/>
      </c>
      <c r="G154" t="str">
        <f>""</f>
        <v/>
      </c>
      <c r="I154" t="str">
        <f t="shared" si="5"/>
        <v>ACCT#287263291654</v>
      </c>
    </row>
    <row r="155" spans="1:9" x14ac:dyDescent="0.3">
      <c r="A155" t="str">
        <f>""</f>
        <v/>
      </c>
      <c r="F155" t="str">
        <f>""</f>
        <v/>
      </c>
      <c r="G155" t="str">
        <f>""</f>
        <v/>
      </c>
      <c r="I155" t="str">
        <f t="shared" si="5"/>
        <v>ACCT#287263291654</v>
      </c>
    </row>
    <row r="156" spans="1:9" x14ac:dyDescent="0.3">
      <c r="A156" t="str">
        <f>""</f>
        <v/>
      </c>
      <c r="F156" t="str">
        <f>""</f>
        <v/>
      </c>
      <c r="G156" t="str">
        <f>""</f>
        <v/>
      </c>
      <c r="I156" t="str">
        <f t="shared" si="5"/>
        <v>ACCT#287263291654</v>
      </c>
    </row>
    <row r="157" spans="1:9" x14ac:dyDescent="0.3">
      <c r="A157" t="str">
        <f>""</f>
        <v/>
      </c>
      <c r="F157" t="str">
        <f>""</f>
        <v/>
      </c>
      <c r="G157" t="str">
        <f>""</f>
        <v/>
      </c>
      <c r="I157" t="str">
        <f t="shared" si="5"/>
        <v>ACCT#287263291654</v>
      </c>
    </row>
    <row r="158" spans="1:9" x14ac:dyDescent="0.3">
      <c r="A158" t="str">
        <f>""</f>
        <v/>
      </c>
      <c r="F158" t="str">
        <f>""</f>
        <v/>
      </c>
      <c r="G158" t="str">
        <f>""</f>
        <v/>
      </c>
      <c r="I158" t="str">
        <f t="shared" si="5"/>
        <v>ACCT#287263291654</v>
      </c>
    </row>
    <row r="159" spans="1:9" x14ac:dyDescent="0.3">
      <c r="A159" t="str">
        <f>""</f>
        <v/>
      </c>
      <c r="F159" t="str">
        <f>""</f>
        <v/>
      </c>
      <c r="G159" t="str">
        <f>""</f>
        <v/>
      </c>
      <c r="I159" t="str">
        <f t="shared" si="5"/>
        <v>ACCT#287263291654</v>
      </c>
    </row>
    <row r="160" spans="1:9" x14ac:dyDescent="0.3">
      <c r="A160" t="str">
        <f>""</f>
        <v/>
      </c>
      <c r="F160" t="str">
        <f>""</f>
        <v/>
      </c>
      <c r="G160" t="str">
        <f>""</f>
        <v/>
      </c>
      <c r="I160" t="str">
        <f t="shared" si="5"/>
        <v>ACCT#287263291654</v>
      </c>
    </row>
    <row r="161" spans="1:9" x14ac:dyDescent="0.3">
      <c r="A161" t="str">
        <f>""</f>
        <v/>
      </c>
      <c r="F161" t="str">
        <f>""</f>
        <v/>
      </c>
      <c r="G161" t="str">
        <f>""</f>
        <v/>
      </c>
      <c r="I161" t="str">
        <f t="shared" si="5"/>
        <v>ACCT#287263291654</v>
      </c>
    </row>
    <row r="162" spans="1:9" x14ac:dyDescent="0.3">
      <c r="A162" t="str">
        <f>""</f>
        <v/>
      </c>
      <c r="F162" t="str">
        <f>"201711286755"</f>
        <v>201711286755</v>
      </c>
      <c r="G162" t="str">
        <f>"ACCT#287263291654/PLANNING&amp;PRO"</f>
        <v>ACCT#287263291654/PLANNING&amp;PRO</v>
      </c>
      <c r="H162" s="2">
        <v>37.99</v>
      </c>
      <c r="I162" t="str">
        <f>"ACCT#287263291654/PLANNING&amp;PRO"</f>
        <v>ACCT#287263291654/PLANNING&amp;PRO</v>
      </c>
    </row>
    <row r="163" spans="1:9" x14ac:dyDescent="0.3">
      <c r="A163" t="str">
        <f>""</f>
        <v/>
      </c>
      <c r="F163" t="str">
        <f>"201711286756"</f>
        <v>201711286756</v>
      </c>
      <c r="G163" t="str">
        <f>"ACCT#287263291654/PCT#2"</f>
        <v>ACCT#287263291654/PCT#2</v>
      </c>
      <c r="H163" s="2">
        <v>113.97</v>
      </c>
      <c r="I163" t="str">
        <f>"ACCT#287263291654/PCT#2"</f>
        <v>ACCT#287263291654/PCT#2</v>
      </c>
    </row>
    <row r="164" spans="1:9" x14ac:dyDescent="0.3">
      <c r="A164" t="str">
        <f>""</f>
        <v/>
      </c>
      <c r="F164" t="str">
        <f>"201711286758"</f>
        <v>201711286758</v>
      </c>
      <c r="G164" t="str">
        <f>"ACCT#287263291654/PCT#4"</f>
        <v>ACCT#287263291654/PCT#4</v>
      </c>
      <c r="H164" s="2">
        <v>35.99</v>
      </c>
      <c r="I164" t="str">
        <f>"ACCT#287263291654/PCT#4"</f>
        <v>ACCT#287263291654/PCT#4</v>
      </c>
    </row>
    <row r="165" spans="1:9" x14ac:dyDescent="0.3">
      <c r="A165" t="str">
        <f>""</f>
        <v/>
      </c>
      <c r="F165" t="str">
        <f>"287263291729X11202"</f>
        <v>287263291729X11202</v>
      </c>
      <c r="G165" t="str">
        <f>"ACCT#287263291729"</f>
        <v>ACCT#287263291729</v>
      </c>
      <c r="H165" s="2">
        <v>1976.26</v>
      </c>
      <c r="I165" t="str">
        <f>"ACCT#287263291729"</f>
        <v>ACCT#287263291729</v>
      </c>
    </row>
    <row r="166" spans="1:9" x14ac:dyDescent="0.3">
      <c r="A166" t="str">
        <f>""</f>
        <v/>
      </c>
      <c r="F166" t="str">
        <f>"287263291729X1120A"</f>
        <v>287263291729X1120A</v>
      </c>
      <c r="G166" t="str">
        <f>"ACCT#287263291729/PCT#2"</f>
        <v>ACCT#287263291729/PCT#2</v>
      </c>
      <c r="H166" s="2">
        <v>33.869999999999997</v>
      </c>
      <c r="I166" t="str">
        <f>"ACCT#287263291729/PCT#2"</f>
        <v>ACCT#287263291729/PCT#2</v>
      </c>
    </row>
    <row r="167" spans="1:9" x14ac:dyDescent="0.3">
      <c r="A167" t="str">
        <f>"AT&amp;T13"</f>
        <v>AT&amp;T13</v>
      </c>
      <c r="B167" t="s">
        <v>44</v>
      </c>
      <c r="C167">
        <v>74073</v>
      </c>
      <c r="D167" s="2">
        <v>203.58</v>
      </c>
      <c r="E167" s="1">
        <v>43080</v>
      </c>
      <c r="F167" t="str">
        <f>"201712046926"</f>
        <v>201712046926</v>
      </c>
      <c r="G167" t="str">
        <f>"ACCT#826392401"</f>
        <v>ACCT#826392401</v>
      </c>
      <c r="H167" s="2">
        <v>203.58</v>
      </c>
      <c r="I167" t="str">
        <f>"ACCT#826392401"</f>
        <v>ACCT#826392401</v>
      </c>
    </row>
    <row r="168" spans="1:9" x14ac:dyDescent="0.3">
      <c r="A168" t="str">
        <f>"AA-S"</f>
        <v>AA-S</v>
      </c>
      <c r="B168" t="s">
        <v>45</v>
      </c>
      <c r="C168">
        <v>74343</v>
      </c>
      <c r="D168" s="2">
        <v>485.79</v>
      </c>
      <c r="E168" s="1">
        <v>43096</v>
      </c>
      <c r="F168" t="str">
        <f>"201712147324"</f>
        <v>201712147324</v>
      </c>
      <c r="G168" t="str">
        <f>"ACCT#5373859/BASTROP CO JUDGE"</f>
        <v>ACCT#5373859/BASTROP CO JUDGE</v>
      </c>
      <c r="H168" s="2">
        <v>485.79</v>
      </c>
      <c r="I168" t="str">
        <f>"ACCT#5373859/BASTROP CO JUDGE"</f>
        <v>ACCT#5373859/BASTROP CO JUDGE</v>
      </c>
    </row>
    <row r="169" spans="1:9" x14ac:dyDescent="0.3">
      <c r="A169" t="str">
        <f>"003291"</f>
        <v>003291</v>
      </c>
      <c r="B169" t="s">
        <v>46</v>
      </c>
      <c r="C169">
        <v>999999</v>
      </c>
      <c r="D169" s="2">
        <v>6746.04</v>
      </c>
      <c r="E169" s="1">
        <v>43081</v>
      </c>
      <c r="F169" t="str">
        <f>"0000239554"</f>
        <v>0000239554</v>
      </c>
      <c r="G169" t="str">
        <f>"Ad# 0000239554"</f>
        <v>Ad# 0000239554</v>
      </c>
      <c r="H169" s="2">
        <v>2536.96</v>
      </c>
      <c r="I169" t="str">
        <f>"Ad# 0000239554"</f>
        <v>Ad# 0000239554</v>
      </c>
    </row>
    <row r="170" spans="1:9" x14ac:dyDescent="0.3">
      <c r="A170" t="str">
        <f>""</f>
        <v/>
      </c>
      <c r="F170" t="str">
        <f>"0000245027"</f>
        <v>0000245027</v>
      </c>
      <c r="G170" t="str">
        <f>"Ad# 0000245027"</f>
        <v>Ad# 0000245027</v>
      </c>
      <c r="H170" s="2">
        <v>2418.04</v>
      </c>
      <c r="I170" t="str">
        <f>"Ad# 0000245027"</f>
        <v>Ad# 0000245027</v>
      </c>
    </row>
    <row r="171" spans="1:9" x14ac:dyDescent="0.3">
      <c r="A171" t="str">
        <f>""</f>
        <v/>
      </c>
      <c r="F171" t="str">
        <f>"192275 227905"</f>
        <v>192275 227905</v>
      </c>
      <c r="G171" t="str">
        <f>"Invoices"</f>
        <v>Invoices</v>
      </c>
      <c r="H171" s="2">
        <v>987.52</v>
      </c>
      <c r="I171" t="str">
        <f>"AD# 227905"</f>
        <v>AD# 227905</v>
      </c>
    </row>
    <row r="172" spans="1:9" x14ac:dyDescent="0.3">
      <c r="A172" t="str">
        <f>""</f>
        <v/>
      </c>
      <c r="F172" t="str">
        <f>""</f>
        <v/>
      </c>
      <c r="G172" t="str">
        <f>""</f>
        <v/>
      </c>
      <c r="I172" t="str">
        <f>"AD# 192275"</f>
        <v>AD# 192275</v>
      </c>
    </row>
    <row r="173" spans="1:9" x14ac:dyDescent="0.3">
      <c r="A173" t="str">
        <f>""</f>
        <v/>
      </c>
      <c r="F173" t="str">
        <f>"RFB 17BCP09A/B"</f>
        <v>RFB 17BCP09A/B</v>
      </c>
      <c r="G173" t="str">
        <f>"Public Notice for Bids"</f>
        <v>Public Notice for Bids</v>
      </c>
      <c r="H173" s="2">
        <v>803.52</v>
      </c>
      <c r="I173" t="str">
        <f>"RFB 17BCP09A"</f>
        <v>RFB 17BCP09A</v>
      </c>
    </row>
    <row r="174" spans="1:9" x14ac:dyDescent="0.3">
      <c r="A174" t="str">
        <f>""</f>
        <v/>
      </c>
      <c r="F174" t="str">
        <f>""</f>
        <v/>
      </c>
      <c r="G174" t="str">
        <f>""</f>
        <v/>
      </c>
      <c r="I174" t="str">
        <f>"RFB 17BCP09B"</f>
        <v>RFB 17BCP09B</v>
      </c>
    </row>
    <row r="175" spans="1:9" x14ac:dyDescent="0.3">
      <c r="A175" t="str">
        <f>"005262"</f>
        <v>005262</v>
      </c>
      <c r="B175" t="s">
        <v>47</v>
      </c>
      <c r="C175">
        <v>74344</v>
      </c>
      <c r="D175" s="2">
        <v>216.38</v>
      </c>
      <c r="E175" s="1">
        <v>43096</v>
      </c>
      <c r="F175" t="str">
        <f>"712020"</f>
        <v>712020</v>
      </c>
      <c r="G175" t="str">
        <f>"TRANSLATION/MILEAGE"</f>
        <v>TRANSLATION/MILEAGE</v>
      </c>
      <c r="H175" s="2">
        <v>216.38</v>
      </c>
      <c r="I175" t="str">
        <f>"TRANSLATION/MILEAGE"</f>
        <v>TRANSLATION/MILEAGE</v>
      </c>
    </row>
    <row r="176" spans="1:9" x14ac:dyDescent="0.3">
      <c r="A176" t="str">
        <f>"005206"</f>
        <v>005206</v>
      </c>
      <c r="B176" t="s">
        <v>48</v>
      </c>
      <c r="C176">
        <v>74345</v>
      </c>
      <c r="D176" s="2">
        <v>1336.59</v>
      </c>
      <c r="E176" s="1">
        <v>43096</v>
      </c>
      <c r="F176" t="str">
        <f>"201712207447"</f>
        <v>201712207447</v>
      </c>
      <c r="G176" t="str">
        <f>"FEMA DOCUMENTATION/MILEAGE"</f>
        <v>FEMA DOCUMENTATION/MILEAGE</v>
      </c>
      <c r="H176" s="2">
        <v>1336.59</v>
      </c>
      <c r="I176" t="str">
        <f>"FEMA DOCUMENTATION/MILEAGE"</f>
        <v>FEMA DOCUMENTATION/MILEAGE</v>
      </c>
    </row>
    <row r="177" spans="1:10" x14ac:dyDescent="0.3">
      <c r="A177" t="str">
        <f>"T1251"</f>
        <v>T1251</v>
      </c>
      <c r="B177" t="s">
        <v>49</v>
      </c>
      <c r="C177">
        <v>74074</v>
      </c>
      <c r="D177" s="2">
        <v>68.959999999999994</v>
      </c>
      <c r="E177" s="1">
        <v>43080</v>
      </c>
      <c r="F177" t="str">
        <f>"201712067213"</f>
        <v>201712067213</v>
      </c>
      <c r="G177" t="str">
        <f>"INDIGENT HEALTH"</f>
        <v>INDIGENT HEALTH</v>
      </c>
      <c r="H177" s="2">
        <v>68.959999999999994</v>
      </c>
      <c r="I177" t="str">
        <f>"INDIGENT HEALTH"</f>
        <v>INDIGENT HEALTH</v>
      </c>
    </row>
    <row r="178" spans="1:10" x14ac:dyDescent="0.3">
      <c r="A178" t="str">
        <f>"T1251"</f>
        <v>T1251</v>
      </c>
      <c r="B178" t="s">
        <v>49</v>
      </c>
      <c r="C178">
        <v>74346</v>
      </c>
      <c r="D178" s="2">
        <v>246.18</v>
      </c>
      <c r="E178" s="1">
        <v>43096</v>
      </c>
      <c r="F178" t="str">
        <f>"201712207476"</f>
        <v>201712207476</v>
      </c>
      <c r="G178" t="str">
        <f>"INDIGENT HEALTH"</f>
        <v>INDIGENT HEALTH</v>
      </c>
      <c r="H178" s="2">
        <v>246.18</v>
      </c>
      <c r="I178" t="str">
        <f>"INDIGENT HEALTH"</f>
        <v>INDIGENT HEALTH</v>
      </c>
    </row>
    <row r="179" spans="1:10" x14ac:dyDescent="0.3">
      <c r="A179" t="str">
        <f>"B&amp;B"</f>
        <v>B&amp;B</v>
      </c>
      <c r="B179" t="s">
        <v>50</v>
      </c>
      <c r="C179">
        <v>74075</v>
      </c>
      <c r="D179" s="2">
        <v>1202.21</v>
      </c>
      <c r="E179" s="1">
        <v>43080</v>
      </c>
      <c r="F179" t="str">
        <f>"201712046932"</f>
        <v>201712046932</v>
      </c>
      <c r="G179" t="str">
        <f>"CUST#1750/PCT#3"</f>
        <v>CUST#1750/PCT#3</v>
      </c>
      <c r="H179" s="2">
        <v>527.54999999999995</v>
      </c>
      <c r="I179" t="str">
        <f>"CUST#1750/PCT#3"</f>
        <v>CUST#1750/PCT#3</v>
      </c>
    </row>
    <row r="180" spans="1:10" x14ac:dyDescent="0.3">
      <c r="A180" t="str">
        <f>""</f>
        <v/>
      </c>
      <c r="F180" t="str">
        <f>"201712067212"</f>
        <v>201712067212</v>
      </c>
      <c r="G180" t="str">
        <f>"CUST#1650/PCT#1"</f>
        <v>CUST#1650/PCT#1</v>
      </c>
      <c r="H180" s="2">
        <v>484.37</v>
      </c>
      <c r="I180" t="str">
        <f>"CUST#1650/PCT#1"</f>
        <v>CUST#1650/PCT#1</v>
      </c>
    </row>
    <row r="181" spans="1:10" x14ac:dyDescent="0.3">
      <c r="A181" t="str">
        <f>""</f>
        <v/>
      </c>
      <c r="F181" t="str">
        <f>"201712067229"</f>
        <v>201712067229</v>
      </c>
      <c r="G181" t="str">
        <f>"CUST#1650/PCT#1"</f>
        <v>CUST#1650/PCT#1</v>
      </c>
      <c r="H181" s="2">
        <v>98.28</v>
      </c>
      <c r="I181" t="str">
        <f>"CUST#1650/PCT#1"</f>
        <v>CUST#1650/PCT#1</v>
      </c>
    </row>
    <row r="182" spans="1:10" x14ac:dyDescent="0.3">
      <c r="A182" t="str">
        <f>""</f>
        <v/>
      </c>
      <c r="F182" t="str">
        <f>"9205-550047"</f>
        <v>9205-550047</v>
      </c>
      <c r="G182" t="str">
        <f>"CUST#1700/PCT#2"</f>
        <v>CUST#1700/PCT#2</v>
      </c>
      <c r="H182" s="2">
        <v>92.01</v>
      </c>
      <c r="I182" t="str">
        <f>"CUST#1700/PCT#2"</f>
        <v>CUST#1700/PCT#2</v>
      </c>
    </row>
    <row r="183" spans="1:10" x14ac:dyDescent="0.3">
      <c r="A183" t="str">
        <f>"B&amp;B"</f>
        <v>B&amp;B</v>
      </c>
      <c r="B183" t="s">
        <v>50</v>
      </c>
      <c r="C183">
        <v>74347</v>
      </c>
      <c r="D183" s="2">
        <v>27.99</v>
      </c>
      <c r="E183" s="1">
        <v>43096</v>
      </c>
      <c r="F183" t="str">
        <f>"201712137291"</f>
        <v>201712137291</v>
      </c>
      <c r="G183" t="str">
        <f>"CUST#1590/ANIMAL CONTROL"</f>
        <v>CUST#1590/ANIMAL CONTROL</v>
      </c>
      <c r="H183" s="2">
        <v>27.99</v>
      </c>
      <c r="I183" t="str">
        <f>"CUST#1590/ANIMAL CONTROL"</f>
        <v>CUST#1590/ANIMAL CONTROL</v>
      </c>
    </row>
    <row r="184" spans="1:10" x14ac:dyDescent="0.3">
      <c r="A184" t="str">
        <f>"BTW"</f>
        <v>BTW</v>
      </c>
      <c r="B184" t="s">
        <v>51</v>
      </c>
      <c r="C184">
        <v>74076</v>
      </c>
      <c r="D184" s="2">
        <v>1168.92</v>
      </c>
      <c r="E184" s="1">
        <v>43080</v>
      </c>
      <c r="F184" t="str">
        <f>"201712046930"</f>
        <v>201712046930</v>
      </c>
      <c r="G184" t="str">
        <f>"ACCT#0010/SERVICE/PCT#2"</f>
        <v>ACCT#0010/SERVICE/PCT#2</v>
      </c>
      <c r="H184" s="2">
        <v>365</v>
      </c>
      <c r="I184" t="str">
        <f>"ACCT#0010/SERVICE/PCT#2"</f>
        <v>ACCT#0010/SERVICE/PCT#2</v>
      </c>
    </row>
    <row r="185" spans="1:10" x14ac:dyDescent="0.3">
      <c r="A185" t="str">
        <f>""</f>
        <v/>
      </c>
      <c r="F185" t="str">
        <f>"345623/345626"</f>
        <v>345623/345626</v>
      </c>
      <c r="G185" t="str">
        <f>"ACCT#0009/VEHICLE SVCS/PCT#1"</f>
        <v>ACCT#0009/VEHICLE SVCS/PCT#1</v>
      </c>
      <c r="H185" s="2">
        <v>233.99</v>
      </c>
      <c r="I185" t="str">
        <f>"ACCT#0009/VEHICLE SVCS/PCT#1"</f>
        <v>ACCT#0009/VEHICLE SVCS/PCT#1</v>
      </c>
    </row>
    <row r="186" spans="1:10" x14ac:dyDescent="0.3">
      <c r="A186" t="str">
        <f>""</f>
        <v/>
      </c>
      <c r="F186" t="str">
        <f>"345961"</f>
        <v>345961</v>
      </c>
      <c r="G186" t="str">
        <f>"2010 FORD/REPAIR TIRE/SIGN SHP"</f>
        <v>2010 FORD/REPAIR TIRE/SIGN SHP</v>
      </c>
      <c r="H186" s="2">
        <v>18</v>
      </c>
      <c r="I186" t="str">
        <f>"SERVICE 2010 FORD/REPAIR TIRE"</f>
        <v>SERVICE 2010 FORD/REPAIR TIRE</v>
      </c>
    </row>
    <row r="187" spans="1:10" x14ac:dyDescent="0.3">
      <c r="A187" t="str">
        <f>""</f>
        <v/>
      </c>
      <c r="F187" t="str">
        <f>"346005"</f>
        <v>346005</v>
      </c>
      <c r="G187" t="str">
        <f>"2003 FORD/OIL CHANGE/ENVIR SAN"</f>
        <v>2003 FORD/OIL CHANGE/ENVIR SAN</v>
      </c>
      <c r="H187" s="2">
        <v>39.950000000000003</v>
      </c>
      <c r="I187" t="str">
        <f>"2003 FORD/OIL CHANGE/ENVIR SAN"</f>
        <v>2003 FORD/OIL CHANGE/ENVIR SAN</v>
      </c>
    </row>
    <row r="188" spans="1:10" x14ac:dyDescent="0.3">
      <c r="A188" t="str">
        <f>""</f>
        <v/>
      </c>
      <c r="F188" t="str">
        <f>"346035 346071"</f>
        <v>346035 346071</v>
      </c>
      <c r="G188" t="str">
        <f>"SERVICE FOR 2004 DODGE/PCT#3"</f>
        <v>SERVICE FOR 2004 DODGE/PCT#3</v>
      </c>
      <c r="H188" s="2">
        <v>511.98</v>
      </c>
      <c r="I188" t="str">
        <f>"SERVICE FOR 2004 DODGE/PCT#3"</f>
        <v>SERVICE FOR 2004 DODGE/PCT#3</v>
      </c>
    </row>
    <row r="189" spans="1:10" x14ac:dyDescent="0.3">
      <c r="A189" t="str">
        <f>"001769"</f>
        <v>001769</v>
      </c>
      <c r="B189" t="s">
        <v>52</v>
      </c>
      <c r="C189">
        <v>999999</v>
      </c>
      <c r="D189" s="2">
        <v>2850</v>
      </c>
      <c r="E189" s="1">
        <v>43097</v>
      </c>
      <c r="F189" t="str">
        <f>"1526"</f>
        <v>1526</v>
      </c>
      <c r="G189" t="str">
        <f>"INSTALLED 10' CHAIN LINK/PCT#2"</f>
        <v>INSTALLED 10' CHAIN LINK/PCT#2</v>
      </c>
      <c r="H189" s="2">
        <v>2850</v>
      </c>
      <c r="I189" t="str">
        <f>"INSTALLED 10' CHAIN LINK/PCT#2"</f>
        <v>INSTALLED 10' CHAIN LINK/PCT#2</v>
      </c>
    </row>
    <row r="190" spans="1:10" x14ac:dyDescent="0.3">
      <c r="A190" t="str">
        <f>"T8883"</f>
        <v>T8883</v>
      </c>
      <c r="B190" t="s">
        <v>53</v>
      </c>
      <c r="C190">
        <v>74348</v>
      </c>
      <c r="D190" s="2">
        <v>275</v>
      </c>
      <c r="E190" s="1">
        <v>43096</v>
      </c>
      <c r="F190" t="str">
        <f>"1013"</f>
        <v>1013</v>
      </c>
      <c r="G190" t="str">
        <f>"INV 1013 / UNIT 3102"</f>
        <v>INV 1013 / UNIT 3102</v>
      </c>
      <c r="H190" s="2">
        <v>275</v>
      </c>
      <c r="I190" t="str">
        <f>"INV 1013 / UNIT 3102"</f>
        <v>INV 1013 / UNIT 3102</v>
      </c>
    </row>
    <row r="191" spans="1:10" x14ac:dyDescent="0.3">
      <c r="A191" t="str">
        <f>"BCAD"</f>
        <v>BCAD</v>
      </c>
      <c r="B191" t="s">
        <v>54</v>
      </c>
      <c r="C191">
        <v>74077</v>
      </c>
      <c r="D191" s="2">
        <v>139820.5</v>
      </c>
      <c r="E191" s="1">
        <v>43080</v>
      </c>
      <c r="F191" t="str">
        <f>"201711276749"</f>
        <v>201711276749</v>
      </c>
      <c r="G191" t="str">
        <f>"INVOICE FOR 1ST QTR 2018"</f>
        <v>INVOICE FOR 1ST QTR 2018</v>
      </c>
      <c r="H191" s="2">
        <v>139820.5</v>
      </c>
      <c r="I191" t="str">
        <f>"INVOICE FOR 1ST QTR 2018"</f>
        <v>INVOICE FOR 1ST QTR 2018</v>
      </c>
    </row>
    <row r="192" spans="1:10" x14ac:dyDescent="0.3">
      <c r="A192" t="str">
        <f>"T1636"</f>
        <v>T1636</v>
      </c>
      <c r="B192" t="s">
        <v>55</v>
      </c>
      <c r="C192">
        <v>74078</v>
      </c>
      <c r="D192" s="2">
        <v>875</v>
      </c>
      <c r="E192" s="1">
        <v>43080</v>
      </c>
      <c r="F192" t="s">
        <v>56</v>
      </c>
      <c r="G192" t="s">
        <v>57</v>
      </c>
      <c r="H192" s="2" t="str">
        <f>"SERVICE"</f>
        <v>SERVICE</v>
      </c>
      <c r="I192" t="str">
        <f>"995-4110"</f>
        <v>995-4110</v>
      </c>
      <c r="J192">
        <v>600</v>
      </c>
    </row>
    <row r="193" spans="1:9" x14ac:dyDescent="0.3">
      <c r="A193" t="str">
        <f>""</f>
        <v/>
      </c>
      <c r="F193" t="str">
        <f>"11777"</f>
        <v>11777</v>
      </c>
      <c r="G193" t="str">
        <f>"SERVICE"</f>
        <v>SERVICE</v>
      </c>
      <c r="H193" s="2">
        <v>275</v>
      </c>
      <c r="I193" t="str">
        <f>"SERVICE"</f>
        <v>SERVICE</v>
      </c>
    </row>
    <row r="194" spans="1:9" x14ac:dyDescent="0.3">
      <c r="A194" t="str">
        <f>"BASCO"</f>
        <v>BASCO</v>
      </c>
      <c r="B194" t="s">
        <v>58</v>
      </c>
      <c r="C194">
        <v>74079</v>
      </c>
      <c r="D194" s="2">
        <v>752.62</v>
      </c>
      <c r="E194" s="1">
        <v>43080</v>
      </c>
      <c r="F194" t="str">
        <f>"10600"</f>
        <v>10600</v>
      </c>
      <c r="G194" t="str">
        <f>"INV 10600"</f>
        <v>INV 10600</v>
      </c>
      <c r="H194" s="2">
        <v>15</v>
      </c>
      <c r="I194" t="str">
        <f>"INV 10600"</f>
        <v>INV 10600</v>
      </c>
    </row>
    <row r="195" spans="1:9" x14ac:dyDescent="0.3">
      <c r="A195" t="str">
        <f>""</f>
        <v/>
      </c>
      <c r="F195" t="str">
        <f>"201712067211"</f>
        <v>201712067211</v>
      </c>
      <c r="G195" t="str">
        <f>"ACCT#BC01/OFFICE SUPPLIES"</f>
        <v>ACCT#BC01/OFFICE SUPPLIES</v>
      </c>
      <c r="H195" s="2">
        <v>737.62</v>
      </c>
      <c r="I195" t="str">
        <f t="shared" ref="I195:I201" si="6">"ACCT#BC01/OFFICE SUPPLIES"</f>
        <v>ACCT#BC01/OFFICE SUPPLIES</v>
      </c>
    </row>
    <row r="196" spans="1:9" x14ac:dyDescent="0.3">
      <c r="A196" t="str">
        <f>""</f>
        <v/>
      </c>
      <c r="F196" t="str">
        <f>""</f>
        <v/>
      </c>
      <c r="G196" t="str">
        <f>""</f>
        <v/>
      </c>
      <c r="I196" t="str">
        <f t="shared" si="6"/>
        <v>ACCT#BC01/OFFICE SUPPLIES</v>
      </c>
    </row>
    <row r="197" spans="1:9" x14ac:dyDescent="0.3">
      <c r="A197" t="str">
        <f>""</f>
        <v/>
      </c>
      <c r="F197" t="str">
        <f>""</f>
        <v/>
      </c>
      <c r="G197" t="str">
        <f>""</f>
        <v/>
      </c>
      <c r="I197" t="str">
        <f t="shared" si="6"/>
        <v>ACCT#BC01/OFFICE SUPPLIES</v>
      </c>
    </row>
    <row r="198" spans="1:9" x14ac:dyDescent="0.3">
      <c r="A198" t="str">
        <f>""</f>
        <v/>
      </c>
      <c r="F198" t="str">
        <f>""</f>
        <v/>
      </c>
      <c r="G198" t="str">
        <f>""</f>
        <v/>
      </c>
      <c r="I198" t="str">
        <f t="shared" si="6"/>
        <v>ACCT#BC01/OFFICE SUPPLIES</v>
      </c>
    </row>
    <row r="199" spans="1:9" x14ac:dyDescent="0.3">
      <c r="A199" t="str">
        <f>""</f>
        <v/>
      </c>
      <c r="F199" t="str">
        <f>""</f>
        <v/>
      </c>
      <c r="G199" t="str">
        <f>""</f>
        <v/>
      </c>
      <c r="I199" t="str">
        <f t="shared" si="6"/>
        <v>ACCT#BC01/OFFICE SUPPLIES</v>
      </c>
    </row>
    <row r="200" spans="1:9" x14ac:dyDescent="0.3">
      <c r="A200" t="str">
        <f>""</f>
        <v/>
      </c>
      <c r="F200" t="str">
        <f>""</f>
        <v/>
      </c>
      <c r="G200" t="str">
        <f>""</f>
        <v/>
      </c>
      <c r="I200" t="str">
        <f t="shared" si="6"/>
        <v>ACCT#BC01/OFFICE SUPPLIES</v>
      </c>
    </row>
    <row r="201" spans="1:9" x14ac:dyDescent="0.3">
      <c r="A201" t="str">
        <f>""</f>
        <v/>
      </c>
      <c r="F201" t="str">
        <f>""</f>
        <v/>
      </c>
      <c r="G201" t="str">
        <f>""</f>
        <v/>
      </c>
      <c r="I201" t="str">
        <f t="shared" si="6"/>
        <v>ACCT#BC01/OFFICE SUPPLIES</v>
      </c>
    </row>
    <row r="202" spans="1:9" x14ac:dyDescent="0.3">
      <c r="A202" t="str">
        <f>"T3799"</f>
        <v>T3799</v>
      </c>
      <c r="B202" t="s">
        <v>59</v>
      </c>
      <c r="C202">
        <v>74349</v>
      </c>
      <c r="D202" s="2">
        <v>876.08</v>
      </c>
      <c r="E202" s="1">
        <v>43096</v>
      </c>
      <c r="F202" t="str">
        <f>"171"</f>
        <v>171</v>
      </c>
      <c r="G202" t="str">
        <f>"NOVEMBER 2017 FUEL USE"</f>
        <v>NOVEMBER 2017 FUEL USE</v>
      </c>
      <c r="H202" s="2">
        <v>876.08</v>
      </c>
      <c r="I202" t="str">
        <f>"NOVEMBER 2017 FUEL USE"</f>
        <v>NOVEMBER 2017 FUEL USE</v>
      </c>
    </row>
    <row r="203" spans="1:9" x14ac:dyDescent="0.3">
      <c r="A203" t="str">
        <f>"T13544"</f>
        <v>T13544</v>
      </c>
      <c r="B203" t="s">
        <v>60</v>
      </c>
      <c r="C203">
        <v>999999</v>
      </c>
      <c r="D203" s="2">
        <v>320.43</v>
      </c>
      <c r="E203" s="1">
        <v>43081</v>
      </c>
      <c r="F203" t="str">
        <f>"201712067214"</f>
        <v>201712067214</v>
      </c>
      <c r="G203" t="str">
        <f>"INDIGENT HEALTH"</f>
        <v>INDIGENT HEALTH</v>
      </c>
      <c r="H203" s="2">
        <v>320.43</v>
      </c>
      <c r="I203" t="str">
        <f>"INDIGENT HEALTH"</f>
        <v>INDIGENT HEALTH</v>
      </c>
    </row>
    <row r="204" spans="1:9" x14ac:dyDescent="0.3">
      <c r="A204" t="str">
        <f>""</f>
        <v/>
      </c>
      <c r="F204" t="str">
        <f>""</f>
        <v/>
      </c>
      <c r="G204" t="str">
        <f>""</f>
        <v/>
      </c>
      <c r="I204" t="str">
        <f>"INDIGENT HEALTH"</f>
        <v>INDIGENT HEALTH</v>
      </c>
    </row>
    <row r="205" spans="1:9" x14ac:dyDescent="0.3">
      <c r="A205" t="str">
        <f>"001542"</f>
        <v>001542</v>
      </c>
      <c r="B205" t="s">
        <v>61</v>
      </c>
      <c r="C205">
        <v>999999</v>
      </c>
      <c r="D205" s="2">
        <v>1380</v>
      </c>
      <c r="E205" s="1">
        <v>43081</v>
      </c>
      <c r="F205" t="str">
        <f>"2017139"</f>
        <v>2017139</v>
      </c>
      <c r="G205" t="str">
        <f>"TRANSPORT-J.SCHUELKE"</f>
        <v>TRANSPORT-J.SCHUELKE</v>
      </c>
      <c r="H205" s="2">
        <v>495</v>
      </c>
      <c r="I205" t="str">
        <f>"TRANSPORT-J.SCHUELKE"</f>
        <v>TRANSPORT-J.SCHUELKE</v>
      </c>
    </row>
    <row r="206" spans="1:9" x14ac:dyDescent="0.3">
      <c r="A206" t="str">
        <f>""</f>
        <v/>
      </c>
      <c r="F206" t="str">
        <f>"2017140"</f>
        <v>2017140</v>
      </c>
      <c r="G206" t="str">
        <f>"TRANSPORT-R. SCHNEIDER"</f>
        <v>TRANSPORT-R. SCHNEIDER</v>
      </c>
      <c r="H206" s="2">
        <v>495</v>
      </c>
      <c r="I206" t="str">
        <f>"TRANSPORT-R. SCHNEIDER"</f>
        <v>TRANSPORT-R. SCHNEIDER</v>
      </c>
    </row>
    <row r="207" spans="1:9" x14ac:dyDescent="0.3">
      <c r="A207" t="str">
        <f>""</f>
        <v/>
      </c>
      <c r="F207" t="str">
        <f>"2017149"</f>
        <v>2017149</v>
      </c>
      <c r="G207" t="str">
        <f>"TRANSPORT-J. KYLES"</f>
        <v>TRANSPORT-J. KYLES</v>
      </c>
      <c r="H207" s="2">
        <v>390</v>
      </c>
      <c r="I207" t="str">
        <f>"TRANSPORT-J. KYLES"</f>
        <v>TRANSPORT-J. KYLES</v>
      </c>
    </row>
    <row r="208" spans="1:9" x14ac:dyDescent="0.3">
      <c r="A208" t="str">
        <f>"001542"</f>
        <v>001542</v>
      </c>
      <c r="B208" t="s">
        <v>61</v>
      </c>
      <c r="C208">
        <v>999999</v>
      </c>
      <c r="D208" s="2">
        <v>1685</v>
      </c>
      <c r="E208" s="1">
        <v>43097</v>
      </c>
      <c r="F208" t="str">
        <f>"2017143"</f>
        <v>2017143</v>
      </c>
      <c r="G208" t="str">
        <f>"TRANSPORT-S.P. BLOUNT"</f>
        <v>TRANSPORT-S.P. BLOUNT</v>
      </c>
      <c r="H208" s="2">
        <v>400</v>
      </c>
      <c r="I208" t="str">
        <f>"TRANSPORT-S.P. BLOUNT"</f>
        <v>TRANSPORT-S.P. BLOUNT</v>
      </c>
    </row>
    <row r="209" spans="1:9" x14ac:dyDescent="0.3">
      <c r="A209" t="str">
        <f>""</f>
        <v/>
      </c>
      <c r="F209" t="str">
        <f>"2017148"</f>
        <v>2017148</v>
      </c>
      <c r="G209" t="str">
        <f>"TRANSPORT-B.R. CADZOW"</f>
        <v>TRANSPORT-B.R. CADZOW</v>
      </c>
      <c r="H209" s="2">
        <v>400</v>
      </c>
      <c r="I209" t="str">
        <f>"TRANSPORT-B.R. CADZOW"</f>
        <v>TRANSPORT-B.R. CADZOW</v>
      </c>
    </row>
    <row r="210" spans="1:9" x14ac:dyDescent="0.3">
      <c r="A210" t="str">
        <f>""</f>
        <v/>
      </c>
      <c r="F210" t="str">
        <f>"2017152"</f>
        <v>2017152</v>
      </c>
      <c r="G210" t="str">
        <f>"TRANSPORT-E. SALINAS"</f>
        <v>TRANSPORT-E. SALINAS</v>
      </c>
      <c r="H210" s="2">
        <v>390</v>
      </c>
      <c r="I210" t="str">
        <f>"TRANSPORT-E. SALINAS"</f>
        <v>TRANSPORT-E. SALINAS</v>
      </c>
    </row>
    <row r="211" spans="1:9" x14ac:dyDescent="0.3">
      <c r="A211" t="str">
        <f>""</f>
        <v/>
      </c>
      <c r="F211" t="str">
        <f>"2017155"</f>
        <v>2017155</v>
      </c>
      <c r="G211" t="str">
        <f>"TRANSPORT-O.D JOHNSON"</f>
        <v>TRANSPORT-O.D JOHNSON</v>
      </c>
      <c r="H211" s="2">
        <v>495</v>
      </c>
      <c r="I211" t="str">
        <f>"TRANSPORT-O.D JOHNSON"</f>
        <v>TRANSPORT-O.D JOHNSON</v>
      </c>
    </row>
    <row r="212" spans="1:9" x14ac:dyDescent="0.3">
      <c r="A212" t="str">
        <f>"002504"</f>
        <v>002504</v>
      </c>
      <c r="B212" t="s">
        <v>62</v>
      </c>
      <c r="C212">
        <v>74350</v>
      </c>
      <c r="D212" s="2">
        <v>721.84</v>
      </c>
      <c r="E212" s="1">
        <v>43096</v>
      </c>
      <c r="F212" t="str">
        <f>"4650"</f>
        <v>4650</v>
      </c>
      <c r="G212" t="str">
        <f>"BLACK 3-D LETTERING/TREASURER"</f>
        <v>BLACK 3-D LETTERING/TREASURER</v>
      </c>
      <c r="H212" s="2">
        <v>579</v>
      </c>
      <c r="I212" t="str">
        <f>"BLACK 3-D LETTERING/TREASURER"</f>
        <v>BLACK 3-D LETTERING/TREASURER</v>
      </c>
    </row>
    <row r="213" spans="1:9" x14ac:dyDescent="0.3">
      <c r="A213" t="str">
        <f>""</f>
        <v/>
      </c>
      <c r="F213" t="str">
        <f>"4758"</f>
        <v>4758</v>
      </c>
      <c r="G213" t="str">
        <f>"Inv# 4758"</f>
        <v>Inv# 4758</v>
      </c>
      <c r="H213" s="2">
        <v>142.84</v>
      </c>
      <c r="I213" t="str">
        <f>"Signs"</f>
        <v>Signs</v>
      </c>
    </row>
    <row r="214" spans="1:9" x14ac:dyDescent="0.3">
      <c r="A214" t="str">
        <f>""</f>
        <v/>
      </c>
      <c r="F214" t="str">
        <f>""</f>
        <v/>
      </c>
      <c r="G214" t="str">
        <f>""</f>
        <v/>
      </c>
      <c r="I214" t="str">
        <f>"Design Fee"</f>
        <v>Design Fee</v>
      </c>
    </row>
    <row r="215" spans="1:9" x14ac:dyDescent="0.3">
      <c r="A215" t="str">
        <f>""</f>
        <v/>
      </c>
      <c r="F215" t="str">
        <f>""</f>
        <v/>
      </c>
      <c r="G215" t="str">
        <f>""</f>
        <v/>
      </c>
      <c r="I215" t="str">
        <f>"Rush Fee"</f>
        <v>Rush Fee</v>
      </c>
    </row>
    <row r="216" spans="1:9" x14ac:dyDescent="0.3">
      <c r="A216" t="str">
        <f>"T5228"</f>
        <v>T5228</v>
      </c>
      <c r="B216" t="s">
        <v>63</v>
      </c>
      <c r="C216">
        <v>74080</v>
      </c>
      <c r="D216" s="2">
        <v>3353.89</v>
      </c>
      <c r="E216" s="1">
        <v>43080</v>
      </c>
      <c r="F216" t="str">
        <f>"1-26657"</f>
        <v>1-26657</v>
      </c>
      <c r="G216" t="str">
        <f>"2015 FORD PK REPAIRS"</f>
        <v>2015 FORD PK REPAIRS</v>
      </c>
      <c r="H216" s="2">
        <v>549.58000000000004</v>
      </c>
      <c r="I216" t="str">
        <f>"2015 FORD PK REPAIRS"</f>
        <v>2015 FORD PK REPAIRS</v>
      </c>
    </row>
    <row r="217" spans="1:9" x14ac:dyDescent="0.3">
      <c r="A217" t="str">
        <f>""</f>
        <v/>
      </c>
      <c r="F217" t="str">
        <f>"1-26697"</f>
        <v>1-26697</v>
      </c>
      <c r="G217" t="str">
        <f>"2010 FORD PK REPAIRS"</f>
        <v>2010 FORD PK REPAIRS</v>
      </c>
      <c r="H217" s="2">
        <v>1412.53</v>
      </c>
      <c r="I217" t="str">
        <f>"2010 FORD PK REPAIRS"</f>
        <v>2010 FORD PK REPAIRS</v>
      </c>
    </row>
    <row r="218" spans="1:9" x14ac:dyDescent="0.3">
      <c r="A218" t="str">
        <f>""</f>
        <v/>
      </c>
      <c r="F218" t="str">
        <f>"1-26698"</f>
        <v>1-26698</v>
      </c>
      <c r="G218" t="str">
        <f>"2011 FORD PK REPAIRS"</f>
        <v>2011 FORD PK REPAIRS</v>
      </c>
      <c r="H218" s="2">
        <v>1391.78</v>
      </c>
      <c r="I218" t="str">
        <f>"2011 FORD PK REPAIRS"</f>
        <v>2011 FORD PK REPAIRS</v>
      </c>
    </row>
    <row r="219" spans="1:9" x14ac:dyDescent="0.3">
      <c r="A219" t="str">
        <f>"T5228"</f>
        <v>T5228</v>
      </c>
      <c r="B219" t="s">
        <v>63</v>
      </c>
      <c r="C219">
        <v>74351</v>
      </c>
      <c r="D219" s="2">
        <v>288.26</v>
      </c>
      <c r="E219" s="1">
        <v>43096</v>
      </c>
      <c r="F219" t="str">
        <f>"1-26793"</f>
        <v>1-26793</v>
      </c>
      <c r="G219" t="str">
        <f>"2015 FORD REPAIRS/ANIMAL CONTR"</f>
        <v>2015 FORD REPAIRS/ANIMAL CONTR</v>
      </c>
      <c r="H219" s="2">
        <v>288.26</v>
      </c>
      <c r="I219" t="str">
        <f>"2015 FORD REPAIRS/ANIMAL CONTR"</f>
        <v>2015 FORD REPAIRS/ANIMAL CONTR</v>
      </c>
    </row>
    <row r="220" spans="1:9" x14ac:dyDescent="0.3">
      <c r="A220" t="str">
        <f>"000485"</f>
        <v>000485</v>
      </c>
      <c r="B220" t="s">
        <v>64</v>
      </c>
      <c r="C220">
        <v>74081</v>
      </c>
      <c r="D220" s="2">
        <v>350</v>
      </c>
      <c r="E220" s="1">
        <v>43080</v>
      </c>
      <c r="F220" t="str">
        <f>"5497"</f>
        <v>5497</v>
      </c>
      <c r="G220" t="str">
        <f>"TREE SVCS/PCT#1"</f>
        <v>TREE SVCS/PCT#1</v>
      </c>
      <c r="H220" s="2">
        <v>350</v>
      </c>
    </row>
    <row r="221" spans="1:9" x14ac:dyDescent="0.3">
      <c r="A221" t="str">
        <f>"000485"</f>
        <v>000485</v>
      </c>
      <c r="B221" t="s">
        <v>64</v>
      </c>
      <c r="C221">
        <v>74081</v>
      </c>
      <c r="D221" s="2">
        <v>350</v>
      </c>
      <c r="E221" s="1">
        <v>43080</v>
      </c>
      <c r="F221" t="str">
        <f>"CHECK"</f>
        <v>CHECK</v>
      </c>
      <c r="G221" t="str">
        <f>""</f>
        <v/>
      </c>
      <c r="H221" s="2">
        <v>350</v>
      </c>
    </row>
    <row r="222" spans="1:9" x14ac:dyDescent="0.3">
      <c r="A222" t="str">
        <f>"000110"</f>
        <v>000110</v>
      </c>
      <c r="B222" t="s">
        <v>65</v>
      </c>
      <c r="C222">
        <v>999999</v>
      </c>
      <c r="D222" s="2">
        <v>402.5</v>
      </c>
      <c r="E222" s="1">
        <v>43081</v>
      </c>
      <c r="F222" t="str">
        <f>"201712057157"</f>
        <v>201712057157</v>
      </c>
      <c r="G222" t="str">
        <f>"SERVICES SEPT-OCT 2017/911 ER"</f>
        <v>SERVICES SEPT-OCT 2017/911 ER</v>
      </c>
      <c r="H222" s="2">
        <v>402.5</v>
      </c>
      <c r="I222" t="str">
        <f>"SERVICES SEPT-OCT 2017/911 ER"</f>
        <v>SERVICES SEPT-OCT 2017/911 ER</v>
      </c>
    </row>
    <row r="223" spans="1:9" x14ac:dyDescent="0.3">
      <c r="A223" t="str">
        <f>"000110"</f>
        <v>000110</v>
      </c>
      <c r="B223" t="s">
        <v>65</v>
      </c>
      <c r="C223">
        <v>999999</v>
      </c>
      <c r="D223" s="2">
        <v>1995</v>
      </c>
      <c r="E223" s="1">
        <v>43097</v>
      </c>
      <c r="F223" t="str">
        <f>"INVESTIGATIONS"</f>
        <v>INVESTIGATIONS</v>
      </c>
      <c r="G223" t="str">
        <f>"NOVEMBER SERVICES"</f>
        <v>NOVEMBER SERVICES</v>
      </c>
      <c r="H223" s="2">
        <v>1995</v>
      </c>
      <c r="I223" t="str">
        <f>"LE BACKGROUNDS"</f>
        <v>LE BACKGROUNDS</v>
      </c>
    </row>
    <row r="224" spans="1:9" x14ac:dyDescent="0.3">
      <c r="A224" t="str">
        <f>""</f>
        <v/>
      </c>
      <c r="F224" t="str">
        <f>""</f>
        <v/>
      </c>
      <c r="G224" t="str">
        <f>""</f>
        <v/>
      </c>
      <c r="I224" t="str">
        <f>"JAIL BACKGROUNDS"</f>
        <v>JAIL BACKGROUNDS</v>
      </c>
    </row>
    <row r="225" spans="1:9" x14ac:dyDescent="0.3">
      <c r="A225" t="str">
        <f>"002543"</f>
        <v>002543</v>
      </c>
      <c r="B225" t="s">
        <v>66</v>
      </c>
      <c r="C225">
        <v>74082</v>
      </c>
      <c r="D225" s="2">
        <v>140</v>
      </c>
      <c r="E225" s="1">
        <v>43080</v>
      </c>
      <c r="F225" t="str">
        <f>"11777"</f>
        <v>11777</v>
      </c>
      <c r="G225" t="str">
        <f>"SERVICE"</f>
        <v>SERVICE</v>
      </c>
      <c r="H225" s="2">
        <v>140</v>
      </c>
      <c r="I225" t="str">
        <f>"SERVICE"</f>
        <v>SERVICE</v>
      </c>
    </row>
    <row r="226" spans="1:9" x14ac:dyDescent="0.3">
      <c r="A226" t="str">
        <f>"KEITH"</f>
        <v>KEITH</v>
      </c>
      <c r="B226" t="s">
        <v>67</v>
      </c>
      <c r="C226">
        <v>74083</v>
      </c>
      <c r="D226" s="2">
        <v>3654.35</v>
      </c>
      <c r="E226" s="1">
        <v>43080</v>
      </c>
      <c r="F226" t="str">
        <f>"74505984 74512043"</f>
        <v>74505984 74512043</v>
      </c>
      <c r="G226" t="str">
        <f>"INV 74505984"</f>
        <v>INV 74505984</v>
      </c>
      <c r="H226" s="2">
        <v>3654.35</v>
      </c>
      <c r="I226" t="str">
        <f>"INV 74505984"</f>
        <v>INV 74505984</v>
      </c>
    </row>
    <row r="227" spans="1:9" x14ac:dyDescent="0.3">
      <c r="A227" t="str">
        <f>""</f>
        <v/>
      </c>
      <c r="F227" t="str">
        <f>""</f>
        <v/>
      </c>
      <c r="G227" t="str">
        <f>""</f>
        <v/>
      </c>
      <c r="I227" t="str">
        <f>"INV 74512043"</f>
        <v>INV 74512043</v>
      </c>
    </row>
    <row r="228" spans="1:9" x14ac:dyDescent="0.3">
      <c r="A228" t="str">
        <f>""</f>
        <v/>
      </c>
      <c r="F228" t="str">
        <f>""</f>
        <v/>
      </c>
      <c r="G228" t="str">
        <f>""</f>
        <v/>
      </c>
      <c r="I228" t="str">
        <f>"INV 74518820"</f>
        <v>INV 74518820</v>
      </c>
    </row>
    <row r="229" spans="1:9" x14ac:dyDescent="0.3">
      <c r="A229" t="str">
        <f>"KEITH"</f>
        <v>KEITH</v>
      </c>
      <c r="B229" t="s">
        <v>67</v>
      </c>
      <c r="C229">
        <v>74352</v>
      </c>
      <c r="D229" s="2">
        <v>1892.79</v>
      </c>
      <c r="E229" s="1">
        <v>43096</v>
      </c>
      <c r="F229" t="str">
        <f>"74525954 74532885"</f>
        <v>74525954 74532885</v>
      </c>
      <c r="G229" t="str">
        <f>"INV 74525954"</f>
        <v>INV 74525954</v>
      </c>
      <c r="H229" s="2">
        <v>1892.79</v>
      </c>
      <c r="I229" t="str">
        <f>"INV 74525954"</f>
        <v>INV 74525954</v>
      </c>
    </row>
    <row r="230" spans="1:9" x14ac:dyDescent="0.3">
      <c r="A230" t="str">
        <f>""</f>
        <v/>
      </c>
      <c r="F230" t="str">
        <f>""</f>
        <v/>
      </c>
      <c r="G230" t="str">
        <f>""</f>
        <v/>
      </c>
      <c r="I230" t="str">
        <f>"INV 74532885"</f>
        <v>INV 74532885</v>
      </c>
    </row>
    <row r="231" spans="1:9" x14ac:dyDescent="0.3">
      <c r="A231" t="str">
        <f>"004075"</f>
        <v>004075</v>
      </c>
      <c r="B231" t="s">
        <v>68</v>
      </c>
      <c r="C231">
        <v>999999</v>
      </c>
      <c r="D231" s="2">
        <v>2046.61</v>
      </c>
      <c r="E231" s="1">
        <v>43081</v>
      </c>
      <c r="F231" t="str">
        <f>"194780-00"</f>
        <v>194780-00</v>
      </c>
      <c r="G231" t="str">
        <f>"INV 194780-00"</f>
        <v>INV 194780-00</v>
      </c>
      <c r="H231" s="2">
        <v>2046.61</v>
      </c>
      <c r="I231" t="str">
        <f>"INV 194780-00"</f>
        <v>INV 194780-00</v>
      </c>
    </row>
    <row r="232" spans="1:9" x14ac:dyDescent="0.3">
      <c r="A232" t="str">
        <f>"004075"</f>
        <v>004075</v>
      </c>
      <c r="B232" t="s">
        <v>68</v>
      </c>
      <c r="C232">
        <v>999999</v>
      </c>
      <c r="D232" s="2">
        <v>2563.63</v>
      </c>
      <c r="E232" s="1">
        <v>43097</v>
      </c>
      <c r="F232" t="str">
        <f>"198241-00/0A"</f>
        <v>198241-00/0A</v>
      </c>
      <c r="G232" t="str">
        <f>"INV 198241-00"</f>
        <v>INV 198241-00</v>
      </c>
      <c r="H232" s="2">
        <v>2563.63</v>
      </c>
      <c r="I232" t="str">
        <f>"INV 198241-00"</f>
        <v>INV 198241-00</v>
      </c>
    </row>
    <row r="233" spans="1:9" x14ac:dyDescent="0.3">
      <c r="A233" t="str">
        <f>""</f>
        <v/>
      </c>
      <c r="F233" t="str">
        <f>""</f>
        <v/>
      </c>
      <c r="G233" t="str">
        <f>""</f>
        <v/>
      </c>
      <c r="I233" t="str">
        <f>"INV 198241-0A"</f>
        <v>INV 198241-0A</v>
      </c>
    </row>
    <row r="234" spans="1:9" x14ac:dyDescent="0.3">
      <c r="A234" t="str">
        <f>"004371"</f>
        <v>004371</v>
      </c>
      <c r="B234" t="s">
        <v>69</v>
      </c>
      <c r="C234">
        <v>74084</v>
      </c>
      <c r="D234" s="2">
        <v>160</v>
      </c>
      <c r="E234" s="1">
        <v>43080</v>
      </c>
      <c r="F234" t="str">
        <f>"201711286778"</f>
        <v>201711286778</v>
      </c>
      <c r="G234" t="str">
        <f>"FERAL HOGS"</f>
        <v>FERAL HOGS</v>
      </c>
      <c r="H234" s="2">
        <v>160</v>
      </c>
      <c r="I234" t="str">
        <f>"FERAL HOGS"</f>
        <v>FERAL HOGS</v>
      </c>
    </row>
    <row r="235" spans="1:9" x14ac:dyDescent="0.3">
      <c r="A235" t="str">
        <f>"001112"</f>
        <v>001112</v>
      </c>
      <c r="B235" t="s">
        <v>70</v>
      </c>
      <c r="C235">
        <v>74085</v>
      </c>
      <c r="D235" s="2">
        <v>9.99</v>
      </c>
      <c r="E235" s="1">
        <v>43080</v>
      </c>
      <c r="F235" t="str">
        <f>"2961278"</f>
        <v>2961278</v>
      </c>
      <c r="G235" t="str">
        <f>"STMT# 01465920171128"</f>
        <v>STMT# 01465920171128</v>
      </c>
      <c r="H235" s="2">
        <v>9.99</v>
      </c>
      <c r="I235" t="str">
        <f>"inv# 2961278"</f>
        <v>inv# 2961278</v>
      </c>
    </row>
    <row r="236" spans="1:9" x14ac:dyDescent="0.3">
      <c r="A236" t="str">
        <f>"T11119"</f>
        <v>T11119</v>
      </c>
      <c r="B236" t="s">
        <v>71</v>
      </c>
      <c r="C236">
        <v>74086</v>
      </c>
      <c r="D236" s="2">
        <v>1509.1</v>
      </c>
      <c r="E236" s="1">
        <v>43080</v>
      </c>
      <c r="F236" t="str">
        <f>"23405"</f>
        <v>23405</v>
      </c>
      <c r="G236" t="str">
        <f>"INV 23405"</f>
        <v>INV 23405</v>
      </c>
      <c r="H236" s="2">
        <v>1509.1</v>
      </c>
      <c r="I236" t="str">
        <f>"INV 23405"</f>
        <v>INV 23405</v>
      </c>
    </row>
    <row r="237" spans="1:9" x14ac:dyDescent="0.3">
      <c r="A237" t="str">
        <f>"005362"</f>
        <v>005362</v>
      </c>
      <c r="B237" t="s">
        <v>72</v>
      </c>
      <c r="C237">
        <v>74510</v>
      </c>
      <c r="D237" s="2">
        <v>14650</v>
      </c>
      <c r="E237" s="1">
        <v>43097</v>
      </c>
      <c r="F237" t="str">
        <f>"L212717"</f>
        <v>L212717</v>
      </c>
      <c r="G237" t="str">
        <f>"TRAILER - P3"</f>
        <v>TRAILER - P3</v>
      </c>
      <c r="H237" s="2">
        <v>14650</v>
      </c>
      <c r="I237" t="str">
        <f>"TRAILER - P3"</f>
        <v>TRAILER - P3</v>
      </c>
    </row>
    <row r="238" spans="1:9" x14ac:dyDescent="0.3">
      <c r="A238" t="str">
        <f>"004147"</f>
        <v>004147</v>
      </c>
      <c r="B238" t="s">
        <v>73</v>
      </c>
      <c r="C238">
        <v>999999</v>
      </c>
      <c r="D238" s="2">
        <v>1367.5</v>
      </c>
      <c r="E238" s="1">
        <v>43081</v>
      </c>
      <c r="F238" t="str">
        <f>"4289"</f>
        <v>4289</v>
      </c>
      <c r="G238" t="str">
        <f>"2003 FORD REPAIRS/PCT#4"</f>
        <v>2003 FORD REPAIRS/PCT#4</v>
      </c>
      <c r="H238" s="2">
        <v>465</v>
      </c>
      <c r="I238" t="str">
        <f>"2003 FORD REPAIRS/PCT#4"</f>
        <v>2003 FORD REPAIRS/PCT#4</v>
      </c>
    </row>
    <row r="239" spans="1:9" x14ac:dyDescent="0.3">
      <c r="A239" t="str">
        <f>""</f>
        <v/>
      </c>
      <c r="F239" t="str">
        <f>"4315"</f>
        <v>4315</v>
      </c>
      <c r="G239" t="str">
        <f>"JOHN DEERE REPAIRS/PCT#4"</f>
        <v>JOHN DEERE REPAIRS/PCT#4</v>
      </c>
      <c r="H239" s="2">
        <v>597.5</v>
      </c>
      <c r="I239" t="str">
        <f>"JOHN DEERE REPAIRS/PCT#4"</f>
        <v>JOHN DEERE REPAIRS/PCT#4</v>
      </c>
    </row>
    <row r="240" spans="1:9" x14ac:dyDescent="0.3">
      <c r="A240" t="str">
        <f>""</f>
        <v/>
      </c>
      <c r="F240" t="str">
        <f>"4335"</f>
        <v>4335</v>
      </c>
      <c r="G240" t="str">
        <f>"2002 FORD REPAIRS/PCT#4"</f>
        <v>2002 FORD REPAIRS/PCT#4</v>
      </c>
      <c r="H240" s="2">
        <v>305</v>
      </c>
      <c r="I240" t="str">
        <f>"2002 FORD REPAIRS/PCT#4"</f>
        <v>2002 FORD REPAIRS/PCT#4</v>
      </c>
    </row>
    <row r="241" spans="1:9" x14ac:dyDescent="0.3">
      <c r="A241" t="str">
        <f>"000309"</f>
        <v>000309</v>
      </c>
      <c r="B241" t="s">
        <v>74</v>
      </c>
      <c r="C241">
        <v>999999</v>
      </c>
      <c r="D241" s="2">
        <v>390</v>
      </c>
      <c r="E241" s="1">
        <v>43081</v>
      </c>
      <c r="F241" t="str">
        <f>"17159"</f>
        <v>17159</v>
      </c>
      <c r="G241" t="str">
        <f>"INTERPRETER SVCS/423-5230"</f>
        <v>INTERPRETER SVCS/423-5230</v>
      </c>
      <c r="H241" s="2">
        <v>390</v>
      </c>
      <c r="I241" t="str">
        <f>"INTERPRETER SVCS/423-5230"</f>
        <v>INTERPRETER SVCS/423-5230</v>
      </c>
    </row>
    <row r="242" spans="1:9" x14ac:dyDescent="0.3">
      <c r="A242" t="str">
        <f>"000593"</f>
        <v>000593</v>
      </c>
      <c r="B242" t="s">
        <v>75</v>
      </c>
      <c r="C242">
        <v>74087</v>
      </c>
      <c r="D242" s="2">
        <v>543.74</v>
      </c>
      <c r="E242" s="1">
        <v>43080</v>
      </c>
      <c r="F242" t="str">
        <f>"84078930837/919"</f>
        <v>84078930837/919</v>
      </c>
      <c r="G242" t="str">
        <f>"INV 84078930837"</f>
        <v>INV 84078930837</v>
      </c>
      <c r="H242" s="2">
        <v>543.74</v>
      </c>
      <c r="I242" t="str">
        <f>"INV 84078930837"</f>
        <v>INV 84078930837</v>
      </c>
    </row>
    <row r="243" spans="1:9" x14ac:dyDescent="0.3">
      <c r="A243" t="str">
        <f>""</f>
        <v/>
      </c>
      <c r="F243" t="str">
        <f>""</f>
        <v/>
      </c>
      <c r="G243" t="str">
        <f>""</f>
        <v/>
      </c>
      <c r="I243" t="str">
        <f>"INV 84078930919"</f>
        <v>INV 84078930919</v>
      </c>
    </row>
    <row r="244" spans="1:9" x14ac:dyDescent="0.3">
      <c r="A244" t="str">
        <f>"000593"</f>
        <v>000593</v>
      </c>
      <c r="B244" t="s">
        <v>75</v>
      </c>
      <c r="C244">
        <v>74353</v>
      </c>
      <c r="D244" s="2">
        <v>584.88</v>
      </c>
      <c r="E244" s="1">
        <v>43096</v>
      </c>
      <c r="F244" t="str">
        <f>"84078931010/1134"</f>
        <v>84078931010/1134</v>
      </c>
      <c r="G244" t="str">
        <f>"INV 84078931010"</f>
        <v>INV 84078931010</v>
      </c>
      <c r="H244" s="2">
        <v>584.88</v>
      </c>
      <c r="I244" t="str">
        <f>"INV 84078931010"</f>
        <v>INV 84078931010</v>
      </c>
    </row>
    <row r="245" spans="1:9" x14ac:dyDescent="0.3">
      <c r="A245" t="str">
        <f>""</f>
        <v/>
      </c>
      <c r="F245" t="str">
        <f>""</f>
        <v/>
      </c>
      <c r="G245" t="str">
        <f>""</f>
        <v/>
      </c>
      <c r="I245" t="str">
        <f>"INV 84078931134"</f>
        <v>INV 84078931134</v>
      </c>
    </row>
    <row r="246" spans="1:9" x14ac:dyDescent="0.3">
      <c r="A246" t="str">
        <f>"003732"</f>
        <v>003732</v>
      </c>
      <c r="B246" t="s">
        <v>76</v>
      </c>
      <c r="C246">
        <v>999999</v>
      </c>
      <c r="D246" s="2">
        <v>1469.04</v>
      </c>
      <c r="E246" s="1">
        <v>43081</v>
      </c>
      <c r="F246" t="str">
        <f>"201712016866"</f>
        <v>201712016866</v>
      </c>
      <c r="G246" t="str">
        <f>"54 856"</f>
        <v>54 856</v>
      </c>
      <c r="H246" s="2">
        <v>250</v>
      </c>
      <c r="I246" t="str">
        <f>"54 856"</f>
        <v>54 856</v>
      </c>
    </row>
    <row r="247" spans="1:9" x14ac:dyDescent="0.3">
      <c r="A247" t="str">
        <f>""</f>
        <v/>
      </c>
      <c r="F247" t="str">
        <f>"201712016867"</f>
        <v>201712016867</v>
      </c>
      <c r="G247" t="str">
        <f>"55 391"</f>
        <v>55 391</v>
      </c>
      <c r="H247" s="2">
        <v>250</v>
      </c>
      <c r="I247" t="str">
        <f>"55 391"</f>
        <v>55 391</v>
      </c>
    </row>
    <row r="248" spans="1:9" x14ac:dyDescent="0.3">
      <c r="A248" t="str">
        <f>""</f>
        <v/>
      </c>
      <c r="F248" t="str">
        <f>"201712016868"</f>
        <v>201712016868</v>
      </c>
      <c r="G248" t="str">
        <f>"410047-8"</f>
        <v>410047-8</v>
      </c>
      <c r="H248" s="2">
        <v>250</v>
      </c>
      <c r="I248" t="str">
        <f>"410047-8"</f>
        <v>410047-8</v>
      </c>
    </row>
    <row r="249" spans="1:9" x14ac:dyDescent="0.3">
      <c r="A249" t="str">
        <f>""</f>
        <v/>
      </c>
      <c r="F249" t="str">
        <f>"201712046884"</f>
        <v>201712046884</v>
      </c>
      <c r="G249" t="str">
        <f>"16-17977"</f>
        <v>16-17977</v>
      </c>
      <c r="H249" s="2">
        <v>100</v>
      </c>
      <c r="I249" t="str">
        <f>"16-17977"</f>
        <v>16-17977</v>
      </c>
    </row>
    <row r="250" spans="1:9" x14ac:dyDescent="0.3">
      <c r="A250" t="str">
        <f>""</f>
        <v/>
      </c>
      <c r="F250" t="str">
        <f>"201712046885"</f>
        <v>201712046885</v>
      </c>
      <c r="G250" t="str">
        <f>"17-18643"</f>
        <v>17-18643</v>
      </c>
      <c r="H250" s="2">
        <v>100</v>
      </c>
      <c r="I250" t="str">
        <f>"17-18643"</f>
        <v>17-18643</v>
      </c>
    </row>
    <row r="251" spans="1:9" x14ac:dyDescent="0.3">
      <c r="A251" t="str">
        <f>""</f>
        <v/>
      </c>
      <c r="F251" t="str">
        <f>"201712046886"</f>
        <v>201712046886</v>
      </c>
      <c r="G251" t="str">
        <f>"JUVENILE"</f>
        <v>JUVENILE</v>
      </c>
      <c r="H251" s="2">
        <v>100</v>
      </c>
      <c r="I251" t="str">
        <f>"JUVENILE"</f>
        <v>JUVENILE</v>
      </c>
    </row>
    <row r="252" spans="1:9" x14ac:dyDescent="0.3">
      <c r="A252" t="str">
        <f>""</f>
        <v/>
      </c>
      <c r="F252" t="str">
        <f>"201712046999"</f>
        <v>201712046999</v>
      </c>
      <c r="G252" t="str">
        <f>"423-5214"</f>
        <v>423-5214</v>
      </c>
      <c r="H252" s="2">
        <v>419.04</v>
      </c>
      <c r="I252" t="str">
        <f>"423-5214"</f>
        <v>423-5214</v>
      </c>
    </row>
    <row r="253" spans="1:9" x14ac:dyDescent="0.3">
      <c r="A253" t="str">
        <f>"003732"</f>
        <v>003732</v>
      </c>
      <c r="B253" t="s">
        <v>76</v>
      </c>
      <c r="C253">
        <v>999999</v>
      </c>
      <c r="D253" s="2">
        <v>250</v>
      </c>
      <c r="E253" s="1">
        <v>43097</v>
      </c>
      <c r="F253" t="str">
        <f>"201712197373"</f>
        <v>201712197373</v>
      </c>
      <c r="G253" t="str">
        <f>"J-3060"</f>
        <v>J-3060</v>
      </c>
      <c r="H253" s="2">
        <v>250</v>
      </c>
      <c r="I253" t="str">
        <f>"J-3060"</f>
        <v>J-3060</v>
      </c>
    </row>
    <row r="254" spans="1:9" x14ac:dyDescent="0.3">
      <c r="A254" t="str">
        <f>"005298"</f>
        <v>005298</v>
      </c>
      <c r="B254" t="s">
        <v>77</v>
      </c>
      <c r="C254">
        <v>74088</v>
      </c>
      <c r="D254" s="2">
        <v>100.5</v>
      </c>
      <c r="E254" s="1">
        <v>43080</v>
      </c>
      <c r="F254" t="str">
        <f>"INV-6095"</f>
        <v>INV-6095</v>
      </c>
      <c r="G254" t="str">
        <f>"ORD#170006110/BOOKS"</f>
        <v>ORD#170006110/BOOKS</v>
      </c>
      <c r="H254" s="2">
        <v>100.5</v>
      </c>
      <c r="I254" t="str">
        <f>"ORD#170006110/BOOKS"</f>
        <v>ORD#170006110/BOOKS</v>
      </c>
    </row>
    <row r="255" spans="1:9" x14ac:dyDescent="0.3">
      <c r="A255" t="str">
        <f>"005298"</f>
        <v>005298</v>
      </c>
      <c r="B255" t="s">
        <v>77</v>
      </c>
      <c r="C255">
        <v>74354</v>
      </c>
      <c r="D255" s="2">
        <v>1790.73</v>
      </c>
      <c r="E255" s="1">
        <v>43096</v>
      </c>
      <c r="F255" t="str">
        <f>"13621"</f>
        <v>13621</v>
      </c>
      <c r="G255" t="str">
        <f>"INV 13621"</f>
        <v>INV 13621</v>
      </c>
      <c r="H255" s="2">
        <v>1790.73</v>
      </c>
      <c r="I255" t="str">
        <f>"INV 13621"</f>
        <v>INV 13621</v>
      </c>
    </row>
    <row r="256" spans="1:9" x14ac:dyDescent="0.3">
      <c r="A256" t="str">
        <f>""</f>
        <v/>
      </c>
      <c r="F256" t="str">
        <f>""</f>
        <v/>
      </c>
      <c r="G256" t="str">
        <f>""</f>
        <v/>
      </c>
      <c r="I256" t="str">
        <f>"INV 13621"</f>
        <v>INV 13621</v>
      </c>
    </row>
    <row r="257" spans="1:10" x14ac:dyDescent="0.3">
      <c r="A257" t="str">
        <f>""</f>
        <v/>
      </c>
      <c r="F257" t="str">
        <f>""</f>
        <v/>
      </c>
      <c r="G257" t="str">
        <f>""</f>
        <v/>
      </c>
      <c r="I257" t="str">
        <f>"SHIPPING"</f>
        <v>SHIPPING</v>
      </c>
    </row>
    <row r="258" spans="1:10" x14ac:dyDescent="0.3">
      <c r="A258" t="str">
        <f>""</f>
        <v/>
      </c>
      <c r="F258" t="str">
        <f>""</f>
        <v/>
      </c>
      <c r="G258" t="str">
        <f>""</f>
        <v/>
      </c>
      <c r="I258" t="str">
        <f>"DISCOUNT"</f>
        <v>DISCOUNT</v>
      </c>
    </row>
    <row r="259" spans="1:10" x14ac:dyDescent="0.3">
      <c r="A259" t="str">
        <f>"001135"</f>
        <v>001135</v>
      </c>
      <c r="B259" t="s">
        <v>78</v>
      </c>
      <c r="C259">
        <v>74089</v>
      </c>
      <c r="D259" s="2">
        <v>303.75</v>
      </c>
      <c r="E259" s="1">
        <v>43080</v>
      </c>
      <c r="F259" t="str">
        <f>"201712057099"</f>
        <v>201712057099</v>
      </c>
      <c r="G259" t="str">
        <f>"CRIMESTOPPER FEES NOV. 2017"</f>
        <v>CRIMESTOPPER FEES NOV. 2017</v>
      </c>
      <c r="H259" s="2">
        <v>303.75</v>
      </c>
      <c r="I259" t="str">
        <f>"CRIMESTOPPER FEES NOV. 2017"</f>
        <v>CRIMESTOPPER FEES NOV. 2017</v>
      </c>
    </row>
    <row r="260" spans="1:10" x14ac:dyDescent="0.3">
      <c r="A260" t="str">
        <f>"005029"</f>
        <v>005029</v>
      </c>
      <c r="B260" t="s">
        <v>79</v>
      </c>
      <c r="C260">
        <v>74090</v>
      </c>
      <c r="D260" s="2">
        <v>60</v>
      </c>
      <c r="E260" s="1">
        <v>43080</v>
      </c>
      <c r="F260" t="s">
        <v>23</v>
      </c>
      <c r="G260" t="s">
        <v>80</v>
      </c>
      <c r="H260" s="2" t="str">
        <f>"RESTITUTION-P. BOATMAN"</f>
        <v>RESTITUTION-P. BOATMAN</v>
      </c>
      <c r="I260" t="str">
        <f>"210-0000"</f>
        <v>210-0000</v>
      </c>
      <c r="J260">
        <v>60</v>
      </c>
    </row>
    <row r="261" spans="1:10" x14ac:dyDescent="0.3">
      <c r="A261" t="str">
        <f>"BEC"</f>
        <v>BEC</v>
      </c>
      <c r="B261" t="s">
        <v>81</v>
      </c>
      <c r="C261">
        <v>74320</v>
      </c>
      <c r="D261" s="2">
        <v>2960.37</v>
      </c>
      <c r="E261" s="1">
        <v>43081</v>
      </c>
      <c r="F261" t="str">
        <f>"201712127284"</f>
        <v>201712127284</v>
      </c>
      <c r="G261" t="str">
        <f>"ACCT#5000057374 / 12/04/2017"</f>
        <v>ACCT#5000057374 / 12/04/2017</v>
      </c>
      <c r="H261" s="2">
        <v>2930.37</v>
      </c>
      <c r="I261" t="str">
        <f>"ACCT#5000057374 / 12/04/2017"</f>
        <v>ACCT#5000057374 / 12/04/2017</v>
      </c>
    </row>
    <row r="262" spans="1:10" x14ac:dyDescent="0.3">
      <c r="A262" t="str">
        <f>""</f>
        <v/>
      </c>
      <c r="F262" t="str">
        <f>""</f>
        <v/>
      </c>
      <c r="G262" t="str">
        <f>""</f>
        <v/>
      </c>
      <c r="I262" t="str">
        <f>"ACCT#5000057374 / 12/04/2017"</f>
        <v>ACCT#5000057374 / 12/04/2017</v>
      </c>
    </row>
    <row r="263" spans="1:10" x14ac:dyDescent="0.3">
      <c r="A263" t="str">
        <f>""</f>
        <v/>
      </c>
      <c r="F263" t="str">
        <f>""</f>
        <v/>
      </c>
      <c r="G263" t="str">
        <f>""</f>
        <v/>
      </c>
      <c r="I263" t="str">
        <f>"ACCT#5000057374 / 12/04/2017"</f>
        <v>ACCT#5000057374 / 12/04/2017</v>
      </c>
    </row>
    <row r="264" spans="1:10" x14ac:dyDescent="0.3">
      <c r="A264" t="str">
        <f>""</f>
        <v/>
      </c>
      <c r="F264" t="str">
        <f>""</f>
        <v/>
      </c>
      <c r="G264" t="str">
        <f>""</f>
        <v/>
      </c>
      <c r="I264" t="str">
        <f>"ACCT#5000057374 / 12/04/2017"</f>
        <v>ACCT#5000057374 / 12/04/2017</v>
      </c>
    </row>
    <row r="265" spans="1:10" x14ac:dyDescent="0.3">
      <c r="A265" t="str">
        <f>""</f>
        <v/>
      </c>
      <c r="F265" t="str">
        <f>"201712127289"</f>
        <v>201712127289</v>
      </c>
      <c r="G265" t="str">
        <f>"ACCT#5500033554 / 12/04/2017"</f>
        <v>ACCT#5500033554 / 12/04/2017</v>
      </c>
      <c r="H265" s="2">
        <v>30</v>
      </c>
      <c r="I265" t="str">
        <f>"ACCT#5500033554 / 12/04/2017"</f>
        <v>ACCT#5500033554 / 12/04/2017</v>
      </c>
    </row>
    <row r="266" spans="1:10" x14ac:dyDescent="0.3">
      <c r="A266" t="str">
        <f>"T5975"</f>
        <v>T5975</v>
      </c>
      <c r="B266" t="s">
        <v>82</v>
      </c>
      <c r="C266">
        <v>74091</v>
      </c>
      <c r="D266" s="2">
        <v>975</v>
      </c>
      <c r="E266" s="1">
        <v>43080</v>
      </c>
      <c r="F266" t="str">
        <f>"25112017"</f>
        <v>25112017</v>
      </c>
      <c r="G266" t="str">
        <f>"INV 25112017"</f>
        <v>INV 25112017</v>
      </c>
      <c r="H266" s="2">
        <v>975</v>
      </c>
      <c r="I266" t="str">
        <f>"INV 25112017"</f>
        <v>INV 25112017</v>
      </c>
    </row>
    <row r="267" spans="1:10" x14ac:dyDescent="0.3">
      <c r="A267" t="str">
        <f>"BBCI"</f>
        <v>BBCI</v>
      </c>
      <c r="B267" t="s">
        <v>83</v>
      </c>
      <c r="C267">
        <v>74092</v>
      </c>
      <c r="D267" s="2">
        <v>6348.95</v>
      </c>
      <c r="E267" s="1">
        <v>43080</v>
      </c>
      <c r="F267" t="str">
        <f>"UT1000439638"</f>
        <v>UT1000439638</v>
      </c>
      <c r="G267" t="str">
        <f>"INV UT1000439638"</f>
        <v>INV UT1000439638</v>
      </c>
      <c r="H267" s="2">
        <v>476.95</v>
      </c>
      <c r="I267" t="str">
        <f>"INV UT1000439638"</f>
        <v>INV UT1000439638</v>
      </c>
    </row>
    <row r="268" spans="1:10" x14ac:dyDescent="0.3">
      <c r="A268" t="str">
        <f>""</f>
        <v/>
      </c>
      <c r="F268" t="str">
        <f>"UT1000439713"</f>
        <v>UT1000439713</v>
      </c>
      <c r="G268" t="str">
        <f>"INV UT1000439713"</f>
        <v>INV UT1000439713</v>
      </c>
      <c r="H268" s="2">
        <v>975</v>
      </c>
      <c r="I268" t="str">
        <f>"INV UT1000439713"</f>
        <v>INV UT1000439713</v>
      </c>
    </row>
    <row r="269" spans="1:10" x14ac:dyDescent="0.3">
      <c r="A269" t="str">
        <f>""</f>
        <v/>
      </c>
      <c r="F269" t="str">
        <f>"UT1000439740"</f>
        <v>UT1000439740</v>
      </c>
      <c r="G269" t="str">
        <f>"INV UT100439740"</f>
        <v>INV UT100439740</v>
      </c>
      <c r="H269" s="2">
        <v>4897</v>
      </c>
      <c r="I269" t="str">
        <f>"INV UT100439740"</f>
        <v>INV UT100439740</v>
      </c>
    </row>
    <row r="270" spans="1:10" x14ac:dyDescent="0.3">
      <c r="A270" t="str">
        <f>"BBCI"</f>
        <v>BBCI</v>
      </c>
      <c r="B270" t="s">
        <v>83</v>
      </c>
      <c r="C270">
        <v>74355</v>
      </c>
      <c r="D270" s="2">
        <v>509.42</v>
      </c>
      <c r="E270" s="1">
        <v>43096</v>
      </c>
      <c r="F270" t="str">
        <f>"UT1000441247"</f>
        <v>UT1000441247</v>
      </c>
      <c r="G270" t="str">
        <f>"INV UT1000441247"</f>
        <v>INV UT1000441247</v>
      </c>
      <c r="H270" s="2">
        <v>423.17</v>
      </c>
      <c r="I270" t="str">
        <f>"INV UT1000441247"</f>
        <v>INV UT1000441247</v>
      </c>
    </row>
    <row r="271" spans="1:10" x14ac:dyDescent="0.3">
      <c r="A271" t="str">
        <f>""</f>
        <v/>
      </c>
      <c r="F271" t="str">
        <f>"UT1000441812"</f>
        <v>UT1000441812</v>
      </c>
      <c r="G271" t="str">
        <f>"INV UT1000441812"</f>
        <v>INV UT1000441812</v>
      </c>
      <c r="H271" s="2">
        <v>86.25</v>
      </c>
      <c r="I271" t="str">
        <f>"INV UT1000441812"</f>
        <v>INV UT1000441812</v>
      </c>
    </row>
    <row r="272" spans="1:10" x14ac:dyDescent="0.3">
      <c r="A272" t="str">
        <f>"001287"</f>
        <v>001287</v>
      </c>
      <c r="B272" t="s">
        <v>84</v>
      </c>
      <c r="C272">
        <v>74093</v>
      </c>
      <c r="D272" s="2">
        <v>65</v>
      </c>
      <c r="E272" s="1">
        <v>43080</v>
      </c>
      <c r="F272" t="str">
        <f>"201712047010"</f>
        <v>201712047010</v>
      </c>
      <c r="G272" t="str">
        <f>"FERAL HOGS"</f>
        <v>FERAL HOGS</v>
      </c>
      <c r="H272" s="2">
        <v>65</v>
      </c>
      <c r="I272" t="str">
        <f>"FERAL HOGS"</f>
        <v>FERAL HOGS</v>
      </c>
    </row>
    <row r="273" spans="1:9" x14ac:dyDescent="0.3">
      <c r="A273" t="str">
        <f>"001367"</f>
        <v>001367</v>
      </c>
      <c r="B273" t="s">
        <v>85</v>
      </c>
      <c r="C273">
        <v>74094</v>
      </c>
      <c r="D273" s="2">
        <v>5842.18</v>
      </c>
      <c r="E273" s="1">
        <v>43080</v>
      </c>
      <c r="F273" t="str">
        <f>"201711286830"</f>
        <v>201711286830</v>
      </c>
      <c r="G273" t="str">
        <f>"2009 DODGE/OIL&amp;FILTER/GEN SVCS"</f>
        <v>2009 DODGE/OIL&amp;FILTER/GEN SVCS</v>
      </c>
      <c r="H273" s="2">
        <v>122.71</v>
      </c>
      <c r="I273" t="str">
        <f>"2009 DODGE/OIL&amp;FILTER/GEN SVCS"</f>
        <v>2009 DODGE/OIL&amp;FILTER/GEN SVCS</v>
      </c>
    </row>
    <row r="274" spans="1:9" x14ac:dyDescent="0.3">
      <c r="A274" t="str">
        <f>""</f>
        <v/>
      </c>
      <c r="F274" t="str">
        <f>"6559"</f>
        <v>6559</v>
      </c>
      <c r="G274" t="str">
        <f>"INV 6559/UNIT 1627"</f>
        <v>INV 6559/UNIT 1627</v>
      </c>
      <c r="H274" s="2">
        <v>591.42999999999995</v>
      </c>
      <c r="I274" t="str">
        <f>"INV 6559/UNIT 1627"</f>
        <v>INV 6559/UNIT 1627</v>
      </c>
    </row>
    <row r="275" spans="1:9" x14ac:dyDescent="0.3">
      <c r="A275" t="str">
        <f>""</f>
        <v/>
      </c>
      <c r="F275" t="str">
        <f>"6604"</f>
        <v>6604</v>
      </c>
      <c r="G275" t="str">
        <f>"2001 FORD/OIL&amp;FILTER/GEN SVCS"</f>
        <v>2001 FORD/OIL&amp;FILTER/GEN SVCS</v>
      </c>
      <c r="H275" s="2">
        <v>46.45</v>
      </c>
      <c r="I275" t="str">
        <f>"2001 FORD/OIL&amp;FILTER/GEN SVCS"</f>
        <v>2001 FORD/OIL&amp;FILTER/GEN SVCS</v>
      </c>
    </row>
    <row r="276" spans="1:9" x14ac:dyDescent="0.3">
      <c r="A276" t="str">
        <f>""</f>
        <v/>
      </c>
      <c r="F276" t="str">
        <f>"6661/UNIT4716"</f>
        <v>6661/UNIT4716</v>
      </c>
      <c r="G276" t="str">
        <f>"INV 6661/UNIT 4716"</f>
        <v>INV 6661/UNIT 4716</v>
      </c>
      <c r="H276" s="2">
        <v>362.25</v>
      </c>
      <c r="I276" t="str">
        <f>"INV 6661/UNIT 4716"</f>
        <v>INV 6661/UNIT 4716</v>
      </c>
    </row>
    <row r="277" spans="1:9" x14ac:dyDescent="0.3">
      <c r="A277" t="str">
        <f>""</f>
        <v/>
      </c>
      <c r="F277" t="str">
        <f>"6667"</f>
        <v>6667</v>
      </c>
      <c r="G277" t="str">
        <f>"INV 6667 / UNIT 7994"</f>
        <v>INV 6667 / UNIT 7994</v>
      </c>
      <c r="H277" s="2">
        <v>400.33</v>
      </c>
      <c r="I277" t="str">
        <f>"INV 6667 / UNIT 7994"</f>
        <v>INV 6667 / UNIT 7994</v>
      </c>
    </row>
    <row r="278" spans="1:9" x14ac:dyDescent="0.3">
      <c r="A278" t="str">
        <f>""</f>
        <v/>
      </c>
      <c r="F278" t="str">
        <f>"6692"</f>
        <v>6692</v>
      </c>
      <c r="G278" t="str">
        <f>"INV 6692 / UNIT 4717"</f>
        <v>INV 6692 / UNIT 4717</v>
      </c>
      <c r="H278" s="2">
        <v>376.65</v>
      </c>
      <c r="I278" t="str">
        <f>"INV    / UNIT"</f>
        <v>INV    / UNIT</v>
      </c>
    </row>
    <row r="279" spans="1:9" x14ac:dyDescent="0.3">
      <c r="A279" t="str">
        <f>""</f>
        <v/>
      </c>
      <c r="F279" t="str">
        <f>"6702"</f>
        <v>6702</v>
      </c>
      <c r="G279" t="str">
        <f>"INV 6702/UNIT 1673"</f>
        <v>INV 6702/UNIT 1673</v>
      </c>
      <c r="H279" s="2">
        <v>158.65</v>
      </c>
      <c r="I279" t="str">
        <f>"INV 6702/UNIT 1673"</f>
        <v>INV 6702/UNIT 1673</v>
      </c>
    </row>
    <row r="280" spans="1:9" x14ac:dyDescent="0.3">
      <c r="A280" t="str">
        <f>""</f>
        <v/>
      </c>
      <c r="F280" t="str">
        <f>"6703"</f>
        <v>6703</v>
      </c>
      <c r="G280" t="str">
        <f>"2008 DODGE INSP/PCT#1"</f>
        <v>2008 DODGE INSP/PCT#1</v>
      </c>
      <c r="H280" s="2">
        <v>7</v>
      </c>
      <c r="I280" t="str">
        <f>"2008 DODGE INSP/PCT#1"</f>
        <v>2008 DODGE INSP/PCT#1</v>
      </c>
    </row>
    <row r="281" spans="1:9" x14ac:dyDescent="0.3">
      <c r="A281" t="str">
        <f>""</f>
        <v/>
      </c>
      <c r="F281" t="str">
        <f>"6706"</f>
        <v>6706</v>
      </c>
      <c r="G281" t="str">
        <f>"INV 6706/UNIT 0123"</f>
        <v>INV 6706/UNIT 0123</v>
      </c>
      <c r="H281" s="2">
        <v>92.57</v>
      </c>
      <c r="I281" t="str">
        <f>"INV 6706/UNIT 0123"</f>
        <v>INV 6706/UNIT 0123</v>
      </c>
    </row>
    <row r="282" spans="1:9" x14ac:dyDescent="0.3">
      <c r="A282" t="str">
        <f>""</f>
        <v/>
      </c>
      <c r="F282" t="str">
        <f>"6736"</f>
        <v>6736</v>
      </c>
      <c r="G282" t="str">
        <f>"INV 6736/UNIT 0311"</f>
        <v>INV 6736/UNIT 0311</v>
      </c>
      <c r="H282" s="2">
        <v>273.11</v>
      </c>
      <c r="I282" t="str">
        <f>"INV 6736/UNIT 0311"</f>
        <v>INV 6736/UNIT 0311</v>
      </c>
    </row>
    <row r="283" spans="1:9" x14ac:dyDescent="0.3">
      <c r="A283" t="str">
        <f>""</f>
        <v/>
      </c>
      <c r="F283" t="str">
        <f>"6739"</f>
        <v>6739</v>
      </c>
      <c r="G283" t="str">
        <f>"INV 6739/UNIT 120"</f>
        <v>INV 6739/UNIT 120</v>
      </c>
      <c r="H283" s="2">
        <v>454.06</v>
      </c>
      <c r="I283" t="str">
        <f>"INV 6739/UNIT 120"</f>
        <v>INV 6739/UNIT 120</v>
      </c>
    </row>
    <row r="284" spans="1:9" x14ac:dyDescent="0.3">
      <c r="A284" t="str">
        <f>""</f>
        <v/>
      </c>
      <c r="F284" t="str">
        <f>"685275"</f>
        <v>685275</v>
      </c>
      <c r="G284" t="str">
        <f>"INV 685275/UNIT 5350"</f>
        <v>INV 685275/UNIT 5350</v>
      </c>
      <c r="H284" s="2">
        <v>122.01</v>
      </c>
      <c r="I284" t="str">
        <f>"INV 685275/UNIT 5350"</f>
        <v>INV 685275/UNIT 5350</v>
      </c>
    </row>
    <row r="285" spans="1:9" x14ac:dyDescent="0.3">
      <c r="A285" t="str">
        <f>""</f>
        <v/>
      </c>
      <c r="F285" t="str">
        <f>"685525"</f>
        <v>685525</v>
      </c>
      <c r="G285" t="str">
        <f>"INV 685525 / UNIT 91 SRT"</f>
        <v>INV 685525 / UNIT 91 SRT</v>
      </c>
      <c r="H285" s="2">
        <v>754.86</v>
      </c>
      <c r="I285" t="str">
        <f>"INV       / UNIT 91 SRT V"</f>
        <v>INV       / UNIT 91 SRT V</v>
      </c>
    </row>
    <row r="286" spans="1:9" x14ac:dyDescent="0.3">
      <c r="A286" t="str">
        <f>""</f>
        <v/>
      </c>
      <c r="F286" t="str">
        <f>"INV6709"</f>
        <v>INV6709</v>
      </c>
      <c r="G286" t="str">
        <f>"INV 6709"</f>
        <v>INV 6709</v>
      </c>
      <c r="H286" s="2">
        <v>934.2</v>
      </c>
      <c r="I286" t="str">
        <f>"INV 6709"</f>
        <v>INV 6709</v>
      </c>
    </row>
    <row r="287" spans="1:9" x14ac:dyDescent="0.3">
      <c r="A287" t="str">
        <f>""</f>
        <v/>
      </c>
      <c r="F287" t="str">
        <f>"MAINTENANCE-VEH"</f>
        <v>MAINTENANCE-VEH</v>
      </c>
      <c r="G287" t="str">
        <f>"INV 6586/UNIT 1667"</f>
        <v>INV 6586/UNIT 1667</v>
      </c>
      <c r="H287" s="2">
        <v>1145.9000000000001</v>
      </c>
      <c r="I287" t="str">
        <f>"INV 6586/UNIT 1667"</f>
        <v>INV 6586/UNIT 1667</v>
      </c>
    </row>
    <row r="288" spans="1:9" x14ac:dyDescent="0.3">
      <c r="A288" t="str">
        <f>""</f>
        <v/>
      </c>
      <c r="F288" t="str">
        <f>""</f>
        <v/>
      </c>
      <c r="G288" t="str">
        <f>""</f>
        <v/>
      </c>
      <c r="I288" t="str">
        <f>"INV 6649/UNIT 125"</f>
        <v>INV 6649/UNIT 125</v>
      </c>
    </row>
    <row r="289" spans="1:9" x14ac:dyDescent="0.3">
      <c r="A289" t="str">
        <f>""</f>
        <v/>
      </c>
      <c r="F289" t="str">
        <f>""</f>
        <v/>
      </c>
      <c r="G289" t="str">
        <f>""</f>
        <v/>
      </c>
      <c r="I289" t="str">
        <f>"INV 6654/UNIT 8217"</f>
        <v>INV 6654/UNIT 8217</v>
      </c>
    </row>
    <row r="290" spans="1:9" x14ac:dyDescent="0.3">
      <c r="A290" t="str">
        <f>""</f>
        <v/>
      </c>
      <c r="F290" t="str">
        <f>""</f>
        <v/>
      </c>
      <c r="G290" t="str">
        <f>""</f>
        <v/>
      </c>
      <c r="I290" t="str">
        <f>"INV 6656/UNIT 3804"</f>
        <v>INV 6656/UNIT 3804</v>
      </c>
    </row>
    <row r="291" spans="1:9" x14ac:dyDescent="0.3">
      <c r="A291" t="str">
        <f>""</f>
        <v/>
      </c>
      <c r="F291" t="str">
        <f>""</f>
        <v/>
      </c>
      <c r="G291" t="str">
        <f>""</f>
        <v/>
      </c>
      <c r="I291" t="str">
        <f>"INV 6658/UNIT 0118"</f>
        <v>INV 6658/UNIT 0118</v>
      </c>
    </row>
    <row r="292" spans="1:9" x14ac:dyDescent="0.3">
      <c r="A292" t="str">
        <f>""</f>
        <v/>
      </c>
      <c r="F292" t="str">
        <f>""</f>
        <v/>
      </c>
      <c r="G292" t="str">
        <f>""</f>
        <v/>
      </c>
      <c r="I292" t="str">
        <f>"INV 6659/UNIT 6539"</f>
        <v>INV 6659/UNIT 6539</v>
      </c>
    </row>
    <row r="293" spans="1:9" x14ac:dyDescent="0.3">
      <c r="A293" t="str">
        <f>""</f>
        <v/>
      </c>
      <c r="F293" t="str">
        <f>""</f>
        <v/>
      </c>
      <c r="G293" t="str">
        <f>""</f>
        <v/>
      </c>
      <c r="I293" t="str">
        <f>"INV 6660/UNIT 4716"</f>
        <v>INV 6660/UNIT 4716</v>
      </c>
    </row>
    <row r="294" spans="1:9" x14ac:dyDescent="0.3">
      <c r="A294" t="str">
        <f>""</f>
        <v/>
      </c>
      <c r="F294" t="str">
        <f>""</f>
        <v/>
      </c>
      <c r="G294" t="str">
        <f>""</f>
        <v/>
      </c>
      <c r="I294" t="str">
        <f>"INV 6716 / UNIT 6532"</f>
        <v>INV 6716 / UNIT 6532</v>
      </c>
    </row>
    <row r="295" spans="1:9" x14ac:dyDescent="0.3">
      <c r="A295" t="str">
        <f>""</f>
        <v/>
      </c>
      <c r="F295" t="str">
        <f>""</f>
        <v/>
      </c>
      <c r="G295" t="str">
        <f>""</f>
        <v/>
      </c>
      <c r="I295" t="str">
        <f>"INV 6719 / UNIT 1665"</f>
        <v>INV 6719 / UNIT 1665</v>
      </c>
    </row>
    <row r="296" spans="1:9" x14ac:dyDescent="0.3">
      <c r="A296" t="str">
        <f>""</f>
        <v/>
      </c>
      <c r="F296" t="str">
        <f>""</f>
        <v/>
      </c>
      <c r="G296" t="str">
        <f>""</f>
        <v/>
      </c>
      <c r="I296" t="str">
        <f>"INV 6721 / UNIT 0116"</f>
        <v>INV 6721 / UNIT 0116</v>
      </c>
    </row>
    <row r="297" spans="1:9" x14ac:dyDescent="0.3">
      <c r="A297" t="str">
        <f>""</f>
        <v/>
      </c>
      <c r="F297" t="str">
        <f>""</f>
        <v/>
      </c>
      <c r="G297" t="str">
        <f>""</f>
        <v/>
      </c>
      <c r="I297" t="str">
        <f>"INV 6723 / UNIT 0121"</f>
        <v>INV 6723 / UNIT 0121</v>
      </c>
    </row>
    <row r="298" spans="1:9" x14ac:dyDescent="0.3">
      <c r="A298" t="str">
        <f>""</f>
        <v/>
      </c>
      <c r="F298" t="str">
        <f>""</f>
        <v/>
      </c>
      <c r="G298" t="str">
        <f>""</f>
        <v/>
      </c>
      <c r="I298" t="str">
        <f>"INV 6729 / UNIT 0125"</f>
        <v>INV 6729 / UNIT 0125</v>
      </c>
    </row>
    <row r="299" spans="1:9" x14ac:dyDescent="0.3">
      <c r="A299" t="str">
        <f>""</f>
        <v/>
      </c>
      <c r="F299" t="str">
        <f>""</f>
        <v/>
      </c>
      <c r="G299" t="str">
        <f>""</f>
        <v/>
      </c>
      <c r="I299" t="str">
        <f>"INV 6733 / UNIT 4720"</f>
        <v>INV 6733 / UNIT 4720</v>
      </c>
    </row>
    <row r="300" spans="1:9" x14ac:dyDescent="0.3">
      <c r="A300" t="str">
        <f>""</f>
        <v/>
      </c>
      <c r="F300" t="str">
        <f>""</f>
        <v/>
      </c>
      <c r="G300" t="str">
        <f>""</f>
        <v/>
      </c>
      <c r="I300" t="str">
        <f>"INV 6734 / UNIT 6539"</f>
        <v>INV 6734 / UNIT 6539</v>
      </c>
    </row>
    <row r="301" spans="1:9" x14ac:dyDescent="0.3">
      <c r="A301" t="str">
        <f>""</f>
        <v/>
      </c>
      <c r="F301" t="str">
        <f>""</f>
        <v/>
      </c>
      <c r="G301" t="str">
        <f>""</f>
        <v/>
      </c>
      <c r="I301" t="str">
        <f>"INV 6735 / UNIT 0119"</f>
        <v>INV 6735 / UNIT 0119</v>
      </c>
    </row>
    <row r="302" spans="1:9" x14ac:dyDescent="0.3">
      <c r="A302" t="str">
        <f>""</f>
        <v/>
      </c>
      <c r="F302" t="str">
        <f>""</f>
        <v/>
      </c>
      <c r="G302" t="str">
        <f>""</f>
        <v/>
      </c>
      <c r="I302" t="str">
        <f>"INV 6748 / UNIT 3102"</f>
        <v>INV 6748 / UNIT 3102</v>
      </c>
    </row>
    <row r="303" spans="1:9" x14ac:dyDescent="0.3">
      <c r="A303" t="str">
        <f>""</f>
        <v/>
      </c>
      <c r="F303" t="str">
        <f>""</f>
        <v/>
      </c>
      <c r="G303" t="str">
        <f>""</f>
        <v/>
      </c>
      <c r="I303" t="str">
        <f>"INV 6633/UNIT 0120"</f>
        <v>INV 6633/UNIT 0120</v>
      </c>
    </row>
    <row r="304" spans="1:9" x14ac:dyDescent="0.3">
      <c r="A304" t="str">
        <f>""</f>
        <v/>
      </c>
      <c r="F304" t="str">
        <f>""</f>
        <v/>
      </c>
      <c r="G304" t="str">
        <f>""</f>
        <v/>
      </c>
      <c r="I304" t="str">
        <f>"INV 6678/UNIT 1663"</f>
        <v>INV 6678/UNIT 1663</v>
      </c>
    </row>
    <row r="305" spans="1:9" x14ac:dyDescent="0.3">
      <c r="A305" t="str">
        <f>""</f>
        <v/>
      </c>
      <c r="F305" t="str">
        <f>""</f>
        <v/>
      </c>
      <c r="G305" t="str">
        <f>""</f>
        <v/>
      </c>
      <c r="I305" t="str">
        <f>"INV 6691/UNIT 4717"</f>
        <v>INV 6691/UNIT 4717</v>
      </c>
    </row>
    <row r="306" spans="1:9" x14ac:dyDescent="0.3">
      <c r="A306" t="str">
        <f>""</f>
        <v/>
      </c>
      <c r="F306" t="str">
        <f>""</f>
        <v/>
      </c>
      <c r="G306" t="str">
        <f>""</f>
        <v/>
      </c>
      <c r="I306" t="str">
        <f>"INV 6693/UNIT 0116"</f>
        <v>INV 6693/UNIT 0116</v>
      </c>
    </row>
    <row r="307" spans="1:9" x14ac:dyDescent="0.3">
      <c r="A307" t="str">
        <f>""</f>
        <v/>
      </c>
      <c r="F307" t="str">
        <f>""</f>
        <v/>
      </c>
      <c r="G307" t="str">
        <f>""</f>
        <v/>
      </c>
      <c r="I307" t="str">
        <f>"INV 6694/UNIT 124"</f>
        <v>INV 6694/UNIT 124</v>
      </c>
    </row>
    <row r="308" spans="1:9" x14ac:dyDescent="0.3">
      <c r="A308" t="str">
        <f>""</f>
        <v/>
      </c>
      <c r="F308" t="str">
        <f>""</f>
        <v/>
      </c>
      <c r="G308" t="str">
        <f>""</f>
        <v/>
      </c>
      <c r="I308" t="str">
        <f>"INV 6697/UNIT 1670"</f>
        <v>INV 6697/UNIT 1670</v>
      </c>
    </row>
    <row r="309" spans="1:9" x14ac:dyDescent="0.3">
      <c r="A309" t="str">
        <f>""</f>
        <v/>
      </c>
      <c r="F309" t="str">
        <f>""</f>
        <v/>
      </c>
      <c r="G309" t="str">
        <f>""</f>
        <v/>
      </c>
      <c r="I309" t="str">
        <f>"INV 6700/UNIT 91"</f>
        <v>INV 6700/UNIT 91</v>
      </c>
    </row>
    <row r="310" spans="1:9" x14ac:dyDescent="0.3">
      <c r="A310" t="str">
        <f>""</f>
        <v/>
      </c>
      <c r="F310" t="str">
        <f>""</f>
        <v/>
      </c>
      <c r="G310" t="str">
        <f>""</f>
        <v/>
      </c>
      <c r="I310" t="str">
        <f>"INV 6701/UNIT 1673"</f>
        <v>INV 6701/UNIT 1673</v>
      </c>
    </row>
    <row r="311" spans="1:9" x14ac:dyDescent="0.3">
      <c r="A311" t="str">
        <f>""</f>
        <v/>
      </c>
      <c r="F311" t="str">
        <f>""</f>
        <v/>
      </c>
      <c r="G311" t="str">
        <f>""</f>
        <v/>
      </c>
      <c r="I311" t="str">
        <f>"INV 6705/UNIT 6523"</f>
        <v>INV 6705/UNIT 6523</v>
      </c>
    </row>
    <row r="312" spans="1:9" x14ac:dyDescent="0.3">
      <c r="A312" t="str">
        <f>""</f>
        <v/>
      </c>
      <c r="F312" t="str">
        <f>""</f>
        <v/>
      </c>
      <c r="G312" t="str">
        <f>""</f>
        <v/>
      </c>
      <c r="I312" t="str">
        <f>"INV 6713/UNIT 5350"</f>
        <v>INV 6713/UNIT 5350</v>
      </c>
    </row>
    <row r="313" spans="1:9" x14ac:dyDescent="0.3">
      <c r="A313" t="str">
        <f>""</f>
        <v/>
      </c>
      <c r="F313" t="str">
        <f>""</f>
        <v/>
      </c>
      <c r="G313" t="str">
        <f>""</f>
        <v/>
      </c>
      <c r="I313" t="str">
        <f>"INV 6714/UNIT 120"</f>
        <v>INV 6714/UNIT 120</v>
      </c>
    </row>
    <row r="314" spans="1:9" x14ac:dyDescent="0.3">
      <c r="A314" t="str">
        <f>"001367"</f>
        <v>001367</v>
      </c>
      <c r="B314" t="s">
        <v>85</v>
      </c>
      <c r="C314">
        <v>74356</v>
      </c>
      <c r="D314" s="2">
        <v>5350.9</v>
      </c>
      <c r="E314" s="1">
        <v>43096</v>
      </c>
      <c r="F314" t="str">
        <f>"6696"</f>
        <v>6696</v>
      </c>
      <c r="G314" t="str">
        <f>"INV 6696/UNIT 1670"</f>
        <v>INV 6696/UNIT 1670</v>
      </c>
      <c r="H314" s="2">
        <v>386.65</v>
      </c>
      <c r="I314" t="str">
        <f>"INV 6696/UNIT 1670"</f>
        <v>INV 6696/UNIT 1670</v>
      </c>
    </row>
    <row r="315" spans="1:9" x14ac:dyDescent="0.3">
      <c r="A315" t="str">
        <f>""</f>
        <v/>
      </c>
      <c r="F315" t="str">
        <f>"6712"</f>
        <v>6712</v>
      </c>
      <c r="G315" t="str">
        <f>"INV 6712/UNIT 6554"</f>
        <v>INV 6712/UNIT 6554</v>
      </c>
      <c r="H315" s="2">
        <v>128.69999999999999</v>
      </c>
      <c r="I315" t="str">
        <f>"INV 6712/UNIT 6554"</f>
        <v>INV 6712/UNIT 6554</v>
      </c>
    </row>
    <row r="316" spans="1:9" x14ac:dyDescent="0.3">
      <c r="A316" t="str">
        <f>""</f>
        <v/>
      </c>
      <c r="F316" t="str">
        <f>"6764"</f>
        <v>6764</v>
      </c>
      <c r="G316" t="str">
        <f>"INV 6764/UNIT 0125"</f>
        <v>INV 6764/UNIT 0125</v>
      </c>
      <c r="H316" s="2">
        <v>457.62</v>
      </c>
      <c r="I316" t="str">
        <f>"INV 6764/UNIT 0125"</f>
        <v>INV 6764/UNIT 0125</v>
      </c>
    </row>
    <row r="317" spans="1:9" x14ac:dyDescent="0.3">
      <c r="A317" t="str">
        <f>""</f>
        <v/>
      </c>
      <c r="F317" t="str">
        <f>"6796"</f>
        <v>6796</v>
      </c>
      <c r="G317" t="str">
        <f>"INV 6796/UNIT 0121"</f>
        <v>INV 6796/UNIT 0121</v>
      </c>
      <c r="H317" s="2">
        <v>149.51</v>
      </c>
      <c r="I317" t="str">
        <f>"INV 6796/UNIT 0121"</f>
        <v>INV 6796/UNIT 0121</v>
      </c>
    </row>
    <row r="318" spans="1:9" x14ac:dyDescent="0.3">
      <c r="A318" t="str">
        <f>""</f>
        <v/>
      </c>
      <c r="F318" t="str">
        <f>"6814"</f>
        <v>6814</v>
      </c>
      <c r="G318" t="str">
        <f>"INV 6814/UNIT 1669"</f>
        <v>INV 6814/UNIT 1669</v>
      </c>
      <c r="H318" s="2">
        <v>106.61</v>
      </c>
      <c r="I318" t="str">
        <f>"INV 6814/UNIT 1669"</f>
        <v>INV 6814/UNIT 1669</v>
      </c>
    </row>
    <row r="319" spans="1:9" x14ac:dyDescent="0.3">
      <c r="A319" t="str">
        <f>""</f>
        <v/>
      </c>
      <c r="F319" t="str">
        <f>"6825"</f>
        <v>6825</v>
      </c>
      <c r="G319" t="str">
        <f>"INV 6825/UNIT 4716"</f>
        <v>INV 6825/UNIT 4716</v>
      </c>
      <c r="H319" s="2">
        <v>346.55</v>
      </c>
      <c r="I319" t="str">
        <f>"INV 6825/UNIT 4716"</f>
        <v>INV 6825/UNIT 4716</v>
      </c>
    </row>
    <row r="320" spans="1:9" x14ac:dyDescent="0.3">
      <c r="A320" t="str">
        <f>""</f>
        <v/>
      </c>
      <c r="F320" t="str">
        <f>"6827"</f>
        <v>6827</v>
      </c>
      <c r="G320" t="str">
        <f>"INV 6827/UNIT 125"</f>
        <v>INV 6827/UNIT 125</v>
      </c>
      <c r="H320" s="2">
        <v>288.07</v>
      </c>
      <c r="I320" t="str">
        <f>"INV 6827/UNIT 125"</f>
        <v>INV 6827/UNIT 125</v>
      </c>
    </row>
    <row r="321" spans="1:9" x14ac:dyDescent="0.3">
      <c r="A321" t="str">
        <f>""</f>
        <v/>
      </c>
      <c r="F321" t="str">
        <f>"6839"</f>
        <v>6839</v>
      </c>
      <c r="G321" t="str">
        <f>"INSTALLED MOUNTING BRACKET"</f>
        <v>INSTALLED MOUNTING BRACKET</v>
      </c>
      <c r="H321" s="2">
        <v>72.099999999999994</v>
      </c>
      <c r="I321" t="str">
        <f>"INSTALLED MOUNTING BRACKET"</f>
        <v>INSTALLED MOUNTING BRACKET</v>
      </c>
    </row>
    <row r="322" spans="1:9" x14ac:dyDescent="0.3">
      <c r="A322" t="str">
        <f>""</f>
        <v/>
      </c>
      <c r="F322" t="str">
        <f>"6851"</f>
        <v>6851</v>
      </c>
      <c r="G322" t="str">
        <f>"INV 6851/UNIT 126"</f>
        <v>INV 6851/UNIT 126</v>
      </c>
      <c r="H322" s="2">
        <v>2299.4</v>
      </c>
      <c r="I322" t="str">
        <f>"INV 6851/UNIT 126"</f>
        <v>INV 6851/UNIT 126</v>
      </c>
    </row>
    <row r="323" spans="1:9" x14ac:dyDescent="0.3">
      <c r="A323" t="str">
        <f>""</f>
        <v/>
      </c>
      <c r="F323" t="str">
        <f>"PO VEHICLE MAINT"</f>
        <v>PO VEHICLE MAINT</v>
      </c>
      <c r="G323" t="str">
        <f>"INV 6752/UNIT 4719"</f>
        <v>INV 6752/UNIT 4719</v>
      </c>
      <c r="H323" s="2">
        <v>1043.5899999999999</v>
      </c>
      <c r="I323" t="str">
        <f>"INV 6752/UNIT 4719"</f>
        <v>INV 6752/UNIT 4719</v>
      </c>
    </row>
    <row r="324" spans="1:9" x14ac:dyDescent="0.3">
      <c r="A324" t="str">
        <f>""</f>
        <v/>
      </c>
      <c r="F324" t="str">
        <f>""</f>
        <v/>
      </c>
      <c r="G324" t="str">
        <f>""</f>
        <v/>
      </c>
      <c r="I324" t="str">
        <f>"INV 6754/UNIT 8153"</f>
        <v>INV 6754/UNIT 8153</v>
      </c>
    </row>
    <row r="325" spans="1:9" x14ac:dyDescent="0.3">
      <c r="A325" t="str">
        <f>""</f>
        <v/>
      </c>
      <c r="F325" t="str">
        <f>""</f>
        <v/>
      </c>
      <c r="G325" t="str">
        <f>""</f>
        <v/>
      </c>
      <c r="I325" t="str">
        <f>"INV 6769/UNIT 6557"</f>
        <v>INV 6769/UNIT 6557</v>
      </c>
    </row>
    <row r="326" spans="1:9" x14ac:dyDescent="0.3">
      <c r="A326" t="str">
        <f>""</f>
        <v/>
      </c>
      <c r="F326" t="str">
        <f>""</f>
        <v/>
      </c>
      <c r="G326" t="str">
        <f>""</f>
        <v/>
      </c>
      <c r="I326" t="str">
        <f>"INV 6771/UNIT 6535"</f>
        <v>INV 6771/UNIT 6535</v>
      </c>
    </row>
    <row r="327" spans="1:9" x14ac:dyDescent="0.3">
      <c r="A327" t="str">
        <f>""</f>
        <v/>
      </c>
      <c r="F327" t="str">
        <f>""</f>
        <v/>
      </c>
      <c r="G327" t="str">
        <f>""</f>
        <v/>
      </c>
      <c r="I327" t="str">
        <f>"INV 6775/UNIT 6492"</f>
        <v>INV 6775/UNIT 6492</v>
      </c>
    </row>
    <row r="328" spans="1:9" x14ac:dyDescent="0.3">
      <c r="A328" t="str">
        <f>""</f>
        <v/>
      </c>
      <c r="F328" t="str">
        <f>""</f>
        <v/>
      </c>
      <c r="G328" t="str">
        <f>""</f>
        <v/>
      </c>
      <c r="I328" t="str">
        <f>"INV 6778/UNIT 4362"</f>
        <v>INV 6778/UNIT 4362</v>
      </c>
    </row>
    <row r="329" spans="1:9" x14ac:dyDescent="0.3">
      <c r="A329" t="str">
        <f>""</f>
        <v/>
      </c>
      <c r="F329" t="str">
        <f>""</f>
        <v/>
      </c>
      <c r="G329" t="str">
        <f>""</f>
        <v/>
      </c>
      <c r="I329" t="str">
        <f>"INV 6783/UNIT 1669"</f>
        <v>INV 6783/UNIT 1669</v>
      </c>
    </row>
    <row r="330" spans="1:9" x14ac:dyDescent="0.3">
      <c r="A330" t="str">
        <f>""</f>
        <v/>
      </c>
      <c r="F330" t="str">
        <f>""</f>
        <v/>
      </c>
      <c r="G330" t="str">
        <f>""</f>
        <v/>
      </c>
      <c r="I330" t="str">
        <f>"INV 6785/UNIT 6557"</f>
        <v>INV 6785/UNIT 6557</v>
      </c>
    </row>
    <row r="331" spans="1:9" x14ac:dyDescent="0.3">
      <c r="A331" t="str">
        <f>""</f>
        <v/>
      </c>
      <c r="F331" t="str">
        <f>""</f>
        <v/>
      </c>
      <c r="G331" t="str">
        <f>""</f>
        <v/>
      </c>
      <c r="I331" t="str">
        <f>"INV 6786/UNIT 4718"</f>
        <v>INV 6786/UNIT 4718</v>
      </c>
    </row>
    <row r="332" spans="1:9" x14ac:dyDescent="0.3">
      <c r="A332" t="str">
        <f>""</f>
        <v/>
      </c>
      <c r="F332" t="str">
        <f>""</f>
        <v/>
      </c>
      <c r="G332" t="str">
        <f>""</f>
        <v/>
      </c>
      <c r="I332" t="str">
        <f>"INV 6791/UNIT 1668"</f>
        <v>INV 6791/UNIT 1668</v>
      </c>
    </row>
    <row r="333" spans="1:9" x14ac:dyDescent="0.3">
      <c r="A333" t="str">
        <f>""</f>
        <v/>
      </c>
      <c r="F333" t="str">
        <f>""</f>
        <v/>
      </c>
      <c r="G333" t="str">
        <f>""</f>
        <v/>
      </c>
      <c r="I333" t="str">
        <f>"INV 6794/UNIT 0127"</f>
        <v>INV 6794/UNIT 0127</v>
      </c>
    </row>
    <row r="334" spans="1:9" x14ac:dyDescent="0.3">
      <c r="A334" t="str">
        <f>""</f>
        <v/>
      </c>
      <c r="F334" t="str">
        <f>""</f>
        <v/>
      </c>
      <c r="G334" t="str">
        <f>""</f>
        <v/>
      </c>
      <c r="I334" t="str">
        <f>"INV 6799/UNIT 1079"</f>
        <v>INV 6799/UNIT 1079</v>
      </c>
    </row>
    <row r="335" spans="1:9" x14ac:dyDescent="0.3">
      <c r="A335" t="str">
        <f>""</f>
        <v/>
      </c>
      <c r="F335" t="str">
        <f>""</f>
        <v/>
      </c>
      <c r="G335" t="str">
        <f>""</f>
        <v/>
      </c>
      <c r="I335" t="str">
        <f>"INV 6806/UNIT 6550"</f>
        <v>INV 6806/UNIT 6550</v>
      </c>
    </row>
    <row r="336" spans="1:9" x14ac:dyDescent="0.3">
      <c r="A336" t="str">
        <f>""</f>
        <v/>
      </c>
      <c r="F336" t="str">
        <f>""</f>
        <v/>
      </c>
      <c r="G336" t="str">
        <f>""</f>
        <v/>
      </c>
      <c r="I336" t="str">
        <f>"INV 6816/UNIT 0123"</f>
        <v>INV 6816/UNIT 0123</v>
      </c>
    </row>
    <row r="337" spans="1:10" x14ac:dyDescent="0.3">
      <c r="A337" t="str">
        <f>""</f>
        <v/>
      </c>
      <c r="F337" t="str">
        <f>""</f>
        <v/>
      </c>
      <c r="G337" t="str">
        <f>""</f>
        <v/>
      </c>
      <c r="I337" t="str">
        <f>"INV 6819/UNIT 8954"</f>
        <v>INV 6819/UNIT 8954</v>
      </c>
    </row>
    <row r="338" spans="1:10" x14ac:dyDescent="0.3">
      <c r="A338" t="str">
        <f>""</f>
        <v/>
      </c>
      <c r="F338" t="str">
        <f>""</f>
        <v/>
      </c>
      <c r="G338" t="str">
        <f>""</f>
        <v/>
      </c>
      <c r="I338" t="str">
        <f>"INV 6838/UNIT 6543"</f>
        <v>INV 6838/UNIT 6543</v>
      </c>
    </row>
    <row r="339" spans="1:10" x14ac:dyDescent="0.3">
      <c r="A339" t="str">
        <f>""</f>
        <v/>
      </c>
      <c r="F339" t="str">
        <f>""</f>
        <v/>
      </c>
      <c r="G339" t="str">
        <f>""</f>
        <v/>
      </c>
      <c r="I339" t="str">
        <f>"INV 6842/UNIT 0417"</f>
        <v>INV 6842/UNIT 0417</v>
      </c>
    </row>
    <row r="340" spans="1:10" x14ac:dyDescent="0.3">
      <c r="A340" t="str">
        <f>""</f>
        <v/>
      </c>
      <c r="F340" t="str">
        <f>""</f>
        <v/>
      </c>
      <c r="G340" t="str">
        <f>""</f>
        <v/>
      </c>
      <c r="I340" t="str">
        <f>"INV 6853/UNIT 123"</f>
        <v>INV 6853/UNIT 123</v>
      </c>
    </row>
    <row r="341" spans="1:10" x14ac:dyDescent="0.3">
      <c r="A341" t="str">
        <f>""</f>
        <v/>
      </c>
      <c r="F341" t="str">
        <f>""</f>
        <v/>
      </c>
      <c r="G341" t="str">
        <f>""</f>
        <v/>
      </c>
      <c r="I341" t="str">
        <f>"INV 6854/UNIT 6548"</f>
        <v>INV 6854/UNIT 6548</v>
      </c>
    </row>
    <row r="342" spans="1:10" x14ac:dyDescent="0.3">
      <c r="A342" t="str">
        <f>""</f>
        <v/>
      </c>
      <c r="F342" t="str">
        <f>""</f>
        <v/>
      </c>
      <c r="G342" t="str">
        <f>""</f>
        <v/>
      </c>
      <c r="I342" t="str">
        <f>"INV 6855/UNIT 126"</f>
        <v>INV 6855/UNIT 126</v>
      </c>
    </row>
    <row r="343" spans="1:10" x14ac:dyDescent="0.3">
      <c r="A343" t="str">
        <f>""</f>
        <v/>
      </c>
      <c r="F343" t="str">
        <f>"REF#6843"</f>
        <v>REF#6843</v>
      </c>
      <c r="G343" t="str">
        <f>"INSTALLED MOUNTING PLATES"</f>
        <v>INSTALLED MOUNTING PLATES</v>
      </c>
      <c r="H343" s="2">
        <v>72.099999999999994</v>
      </c>
      <c r="I343" t="str">
        <f>"INSTALLED MOUNTING PLATES"</f>
        <v>INSTALLED MOUNTING PLATES</v>
      </c>
    </row>
    <row r="344" spans="1:10" x14ac:dyDescent="0.3">
      <c r="A344" t="str">
        <f>"T8160"</f>
        <v>T8160</v>
      </c>
      <c r="B344" t="s">
        <v>86</v>
      </c>
      <c r="C344">
        <v>74357</v>
      </c>
      <c r="D344" s="2">
        <v>5000</v>
      </c>
      <c r="E344" s="1">
        <v>43096</v>
      </c>
      <c r="F344" t="str">
        <f>"201712157327"</f>
        <v>201712157327</v>
      </c>
      <c r="G344" t="str">
        <f>"GRANT FUNDS FY 17-18"</f>
        <v>GRANT FUNDS FY 17-18</v>
      </c>
      <c r="H344" s="2">
        <v>5000</v>
      </c>
      <c r="I344" t="str">
        <f>"GRANT FUNDS FY 17-18"</f>
        <v>GRANT FUNDS FY 17-18</v>
      </c>
    </row>
    <row r="345" spans="1:10" x14ac:dyDescent="0.3">
      <c r="A345" t="str">
        <f>"005310"</f>
        <v>005310</v>
      </c>
      <c r="B345" t="s">
        <v>87</v>
      </c>
      <c r="C345">
        <v>74095</v>
      </c>
      <c r="D345" s="2">
        <v>175</v>
      </c>
      <c r="E345" s="1">
        <v>43080</v>
      </c>
      <c r="F345" t="str">
        <f>"201711286779"</f>
        <v>201711286779</v>
      </c>
      <c r="G345" t="str">
        <f>"FERAL HOGS"</f>
        <v>FERAL HOGS</v>
      </c>
      <c r="H345" s="2">
        <v>175</v>
      </c>
      <c r="I345" t="str">
        <f>"FERAL HOGS"</f>
        <v>FERAL HOGS</v>
      </c>
    </row>
    <row r="346" spans="1:10" x14ac:dyDescent="0.3">
      <c r="A346" t="str">
        <f>"005359"</f>
        <v>005359</v>
      </c>
      <c r="B346" t="s">
        <v>88</v>
      </c>
      <c r="C346">
        <v>74358</v>
      </c>
      <c r="D346" s="2">
        <v>20</v>
      </c>
      <c r="E346" s="1">
        <v>43096</v>
      </c>
      <c r="F346" t="str">
        <f>"201712207448"</f>
        <v>201712207448</v>
      </c>
      <c r="G346" t="str">
        <f>"REFUND-RETURNED PET"</f>
        <v>REFUND-RETURNED PET</v>
      </c>
      <c r="H346" s="2">
        <v>20</v>
      </c>
      <c r="I346" t="str">
        <f>"REFUND-RETURNED PET"</f>
        <v>REFUND-RETURNED PET</v>
      </c>
    </row>
    <row r="347" spans="1:10" x14ac:dyDescent="0.3">
      <c r="A347" t="str">
        <f>"004069"</f>
        <v>004069</v>
      </c>
      <c r="B347" t="s">
        <v>89</v>
      </c>
      <c r="C347">
        <v>74096</v>
      </c>
      <c r="D347" s="2">
        <v>874.41</v>
      </c>
      <c r="E347" s="1">
        <v>43080</v>
      </c>
      <c r="F347" t="str">
        <f>"90237"</f>
        <v>90237</v>
      </c>
      <c r="G347" t="str">
        <f>"ACCT#1268/PCT#3"</f>
        <v>ACCT#1268/PCT#3</v>
      </c>
      <c r="H347" s="2">
        <v>874.41</v>
      </c>
      <c r="I347" t="str">
        <f>"ACCT#1268/PCT#3"</f>
        <v>ACCT#1268/PCT#3</v>
      </c>
    </row>
    <row r="348" spans="1:10" x14ac:dyDescent="0.3">
      <c r="A348" t="str">
        <f>"003337"</f>
        <v>003337</v>
      </c>
      <c r="B348" t="s">
        <v>90</v>
      </c>
      <c r="C348">
        <v>74097</v>
      </c>
      <c r="D348" s="2">
        <v>17.28</v>
      </c>
      <c r="E348" s="1">
        <v>43080</v>
      </c>
      <c r="F348" t="str">
        <f>"REIMBURSE-17-S-060"</f>
        <v>REIMBURSE-17-S-060</v>
      </c>
      <c r="G348" t="str">
        <f>"REIMBURSE CASE 17-S-06022"</f>
        <v>REIMBURSE CASE 17-S-06022</v>
      </c>
      <c r="H348" s="2">
        <v>17.28</v>
      </c>
      <c r="I348" t="str">
        <f>"REIMBURSE CASE 17-S-06022"</f>
        <v>REIMBURSE CASE 17-S-06022</v>
      </c>
    </row>
    <row r="349" spans="1:10" x14ac:dyDescent="0.3">
      <c r="A349" t="str">
        <f>"004274"</f>
        <v>004274</v>
      </c>
      <c r="B349" t="s">
        <v>91</v>
      </c>
      <c r="C349">
        <v>74098</v>
      </c>
      <c r="D349" s="2">
        <v>6.12</v>
      </c>
      <c r="E349" s="1">
        <v>43080</v>
      </c>
      <c r="F349" t="s">
        <v>92</v>
      </c>
      <c r="G349" t="s">
        <v>93</v>
      </c>
      <c r="H349" s="2" t="str">
        <f>"RESTITUTION-R. WRIGHT"</f>
        <v>RESTITUTION-R. WRIGHT</v>
      </c>
      <c r="I349" t="str">
        <f>"210-0000"</f>
        <v>210-0000</v>
      </c>
      <c r="J349">
        <v>6.12</v>
      </c>
    </row>
    <row r="350" spans="1:10" x14ac:dyDescent="0.3">
      <c r="A350" t="str">
        <f>"T11280"</f>
        <v>T11280</v>
      </c>
      <c r="B350" t="s">
        <v>94</v>
      </c>
      <c r="C350">
        <v>74099</v>
      </c>
      <c r="D350" s="2">
        <v>45</v>
      </c>
      <c r="E350" s="1">
        <v>43080</v>
      </c>
      <c r="F350" t="str">
        <f>"201711286780"</f>
        <v>201711286780</v>
      </c>
      <c r="G350" t="str">
        <f>"FERAL HOGS"</f>
        <v>FERAL HOGS</v>
      </c>
      <c r="H350" s="2">
        <v>45</v>
      </c>
      <c r="I350" t="str">
        <f>"FERAL HOGS"</f>
        <v>FERAL HOGS</v>
      </c>
    </row>
    <row r="351" spans="1:10" x14ac:dyDescent="0.3">
      <c r="A351" t="str">
        <f>"T9216"</f>
        <v>T9216</v>
      </c>
      <c r="B351" t="s">
        <v>95</v>
      </c>
      <c r="C351">
        <v>74100</v>
      </c>
      <c r="D351" s="2">
        <v>750</v>
      </c>
      <c r="E351" s="1">
        <v>43080</v>
      </c>
      <c r="F351" t="str">
        <f>"201712016872"</f>
        <v>201712016872</v>
      </c>
      <c r="G351" t="str">
        <f>"402247-6"</f>
        <v>402247-6</v>
      </c>
      <c r="H351" s="2">
        <v>250</v>
      </c>
      <c r="I351" t="str">
        <f>"402247-6"</f>
        <v>402247-6</v>
      </c>
    </row>
    <row r="352" spans="1:10" x14ac:dyDescent="0.3">
      <c r="A352" t="str">
        <f>""</f>
        <v/>
      </c>
      <c r="F352" t="str">
        <f>"201712016873"</f>
        <v>201712016873</v>
      </c>
      <c r="G352" t="str">
        <f>"54 593"</f>
        <v>54 593</v>
      </c>
      <c r="H352" s="2">
        <v>250</v>
      </c>
      <c r="I352" t="str">
        <f>"54 593"</f>
        <v>54 593</v>
      </c>
    </row>
    <row r="353" spans="1:9" x14ac:dyDescent="0.3">
      <c r="A353" t="str">
        <f>""</f>
        <v/>
      </c>
      <c r="F353" t="str">
        <f>"201712057173"</f>
        <v>201712057173</v>
      </c>
      <c r="G353" t="str">
        <f>"55 125"</f>
        <v>55 125</v>
      </c>
      <c r="H353" s="2">
        <v>250</v>
      </c>
      <c r="I353" t="str">
        <f>"55 125"</f>
        <v>55 125</v>
      </c>
    </row>
    <row r="354" spans="1:9" x14ac:dyDescent="0.3">
      <c r="A354" t="str">
        <f>"T9216"</f>
        <v>T9216</v>
      </c>
      <c r="B354" t="s">
        <v>95</v>
      </c>
      <c r="C354">
        <v>74359</v>
      </c>
      <c r="D354" s="2">
        <v>250</v>
      </c>
      <c r="E354" s="1">
        <v>43096</v>
      </c>
      <c r="F354" t="str">
        <f>"201712197429"</f>
        <v>201712197429</v>
      </c>
      <c r="G354" t="str">
        <f>"55 325"</f>
        <v>55 325</v>
      </c>
      <c r="H354" s="2">
        <v>250</v>
      </c>
      <c r="I354" t="str">
        <f>"55 325"</f>
        <v>55 325</v>
      </c>
    </row>
    <row r="355" spans="1:9" x14ac:dyDescent="0.3">
      <c r="A355" t="str">
        <f>"002356"</f>
        <v>002356</v>
      </c>
      <c r="B355" t="s">
        <v>96</v>
      </c>
      <c r="C355">
        <v>74101</v>
      </c>
      <c r="D355" s="2">
        <v>225</v>
      </c>
      <c r="E355" s="1">
        <v>43080</v>
      </c>
      <c r="F355" t="str">
        <f>"17-18688"</f>
        <v>17-18688</v>
      </c>
      <c r="G355" t="str">
        <f t="shared" ref="G355:G369" si="7">"CENTRAL ADOPTION REGISTRY FUND"</f>
        <v>CENTRAL ADOPTION REGISTRY FUND</v>
      </c>
      <c r="H355" s="2">
        <v>15</v>
      </c>
      <c r="I355" t="str">
        <f t="shared" ref="I355:I369" si="8">"CENTRAL ADOPTION REGISTRY FUND"</f>
        <v>CENTRAL ADOPTION REGISTRY FUND</v>
      </c>
    </row>
    <row r="356" spans="1:9" x14ac:dyDescent="0.3">
      <c r="A356" t="str">
        <f>""</f>
        <v/>
      </c>
      <c r="F356" t="str">
        <f>"17-18698"</f>
        <v>17-18698</v>
      </c>
      <c r="G356" t="str">
        <f t="shared" si="7"/>
        <v>CENTRAL ADOPTION REGISTRY FUND</v>
      </c>
      <c r="H356" s="2">
        <v>15</v>
      </c>
      <c r="I356" t="str">
        <f t="shared" si="8"/>
        <v>CENTRAL ADOPTION REGISTRY FUND</v>
      </c>
    </row>
    <row r="357" spans="1:9" x14ac:dyDescent="0.3">
      <c r="A357" t="str">
        <f>""</f>
        <v/>
      </c>
      <c r="F357" t="str">
        <f>"17-18717"</f>
        <v>17-18717</v>
      </c>
      <c r="G357" t="str">
        <f t="shared" si="7"/>
        <v>CENTRAL ADOPTION REGISTRY FUND</v>
      </c>
      <c r="H357" s="2">
        <v>15</v>
      </c>
      <c r="I357" t="str">
        <f t="shared" si="8"/>
        <v>CENTRAL ADOPTION REGISTRY FUND</v>
      </c>
    </row>
    <row r="358" spans="1:9" x14ac:dyDescent="0.3">
      <c r="A358" t="str">
        <f>""</f>
        <v/>
      </c>
      <c r="F358" t="str">
        <f>"17-18728"</f>
        <v>17-18728</v>
      </c>
      <c r="G358" t="str">
        <f t="shared" si="7"/>
        <v>CENTRAL ADOPTION REGISTRY FUND</v>
      </c>
      <c r="H358" s="2">
        <v>15</v>
      </c>
      <c r="I358" t="str">
        <f t="shared" si="8"/>
        <v>CENTRAL ADOPTION REGISTRY FUND</v>
      </c>
    </row>
    <row r="359" spans="1:9" x14ac:dyDescent="0.3">
      <c r="A359" t="str">
        <f>""</f>
        <v/>
      </c>
      <c r="F359" t="str">
        <f>"17-18729"</f>
        <v>17-18729</v>
      </c>
      <c r="G359" t="str">
        <f t="shared" si="7"/>
        <v>CENTRAL ADOPTION REGISTRY FUND</v>
      </c>
      <c r="H359" s="2">
        <v>15</v>
      </c>
      <c r="I359" t="str">
        <f t="shared" si="8"/>
        <v>CENTRAL ADOPTION REGISTRY FUND</v>
      </c>
    </row>
    <row r="360" spans="1:9" x14ac:dyDescent="0.3">
      <c r="A360" t="str">
        <f>""</f>
        <v/>
      </c>
      <c r="F360" t="str">
        <f>"17-18736"</f>
        <v>17-18736</v>
      </c>
      <c r="G360" t="str">
        <f t="shared" si="7"/>
        <v>CENTRAL ADOPTION REGISTRY FUND</v>
      </c>
      <c r="H360" s="2">
        <v>15</v>
      </c>
      <c r="I360" t="str">
        <f t="shared" si="8"/>
        <v>CENTRAL ADOPTION REGISTRY FUND</v>
      </c>
    </row>
    <row r="361" spans="1:9" x14ac:dyDescent="0.3">
      <c r="A361" t="str">
        <f>""</f>
        <v/>
      </c>
      <c r="F361" t="str">
        <f>"17-18737"</f>
        <v>17-18737</v>
      </c>
      <c r="G361" t="str">
        <f t="shared" si="7"/>
        <v>CENTRAL ADOPTION REGISTRY FUND</v>
      </c>
      <c r="H361" s="2">
        <v>15</v>
      </c>
      <c r="I361" t="str">
        <f t="shared" si="8"/>
        <v>CENTRAL ADOPTION REGISTRY FUND</v>
      </c>
    </row>
    <row r="362" spans="1:9" x14ac:dyDescent="0.3">
      <c r="A362" t="str">
        <f>""</f>
        <v/>
      </c>
      <c r="F362" t="str">
        <f>"17-18745"</f>
        <v>17-18745</v>
      </c>
      <c r="G362" t="str">
        <f t="shared" si="7"/>
        <v>CENTRAL ADOPTION REGISTRY FUND</v>
      </c>
      <c r="H362" s="2">
        <v>15</v>
      </c>
      <c r="I362" t="str">
        <f t="shared" si="8"/>
        <v>CENTRAL ADOPTION REGISTRY FUND</v>
      </c>
    </row>
    <row r="363" spans="1:9" x14ac:dyDescent="0.3">
      <c r="A363" t="str">
        <f>""</f>
        <v/>
      </c>
      <c r="F363" t="str">
        <f>"17-18746"</f>
        <v>17-18746</v>
      </c>
      <c r="G363" t="str">
        <f t="shared" si="7"/>
        <v>CENTRAL ADOPTION REGISTRY FUND</v>
      </c>
      <c r="H363" s="2">
        <v>15</v>
      </c>
      <c r="I363" t="str">
        <f t="shared" si="8"/>
        <v>CENTRAL ADOPTION REGISTRY FUND</v>
      </c>
    </row>
    <row r="364" spans="1:9" x14ac:dyDescent="0.3">
      <c r="A364" t="str">
        <f>""</f>
        <v/>
      </c>
      <c r="F364" t="str">
        <f>"423-5368"</f>
        <v>423-5368</v>
      </c>
      <c r="G364" t="str">
        <f t="shared" si="7"/>
        <v>CENTRAL ADOPTION REGISTRY FUND</v>
      </c>
      <c r="H364" s="2">
        <v>15</v>
      </c>
      <c r="I364" t="str">
        <f t="shared" si="8"/>
        <v>CENTRAL ADOPTION REGISTRY FUND</v>
      </c>
    </row>
    <row r="365" spans="1:9" x14ac:dyDescent="0.3">
      <c r="A365" t="str">
        <f>""</f>
        <v/>
      </c>
      <c r="F365" t="str">
        <f>"423-5373"</f>
        <v>423-5373</v>
      </c>
      <c r="G365" t="str">
        <f t="shared" si="7"/>
        <v>CENTRAL ADOPTION REGISTRY FUND</v>
      </c>
      <c r="H365" s="2">
        <v>15</v>
      </c>
      <c r="I365" t="str">
        <f t="shared" si="8"/>
        <v>CENTRAL ADOPTION REGISTRY FUND</v>
      </c>
    </row>
    <row r="366" spans="1:9" x14ac:dyDescent="0.3">
      <c r="A366" t="str">
        <f>""</f>
        <v/>
      </c>
      <c r="F366" t="str">
        <f>"423-5374"</f>
        <v>423-5374</v>
      </c>
      <c r="G366" t="str">
        <f t="shared" si="7"/>
        <v>CENTRAL ADOPTION REGISTRY FUND</v>
      </c>
      <c r="H366" s="2">
        <v>15</v>
      </c>
      <c r="I366" t="str">
        <f t="shared" si="8"/>
        <v>CENTRAL ADOPTION REGISTRY FUND</v>
      </c>
    </row>
    <row r="367" spans="1:9" x14ac:dyDescent="0.3">
      <c r="A367" t="str">
        <f>""</f>
        <v/>
      </c>
      <c r="F367" t="str">
        <f>"423-5375"</f>
        <v>423-5375</v>
      </c>
      <c r="G367" t="str">
        <f t="shared" si="7"/>
        <v>CENTRAL ADOPTION REGISTRY FUND</v>
      </c>
      <c r="H367" s="2">
        <v>15</v>
      </c>
      <c r="I367" t="str">
        <f t="shared" si="8"/>
        <v>CENTRAL ADOPTION REGISTRY FUND</v>
      </c>
    </row>
    <row r="368" spans="1:9" x14ac:dyDescent="0.3">
      <c r="A368" t="str">
        <f>""</f>
        <v/>
      </c>
      <c r="F368" t="str">
        <f>"423-5379"</f>
        <v>423-5379</v>
      </c>
      <c r="G368" t="str">
        <f t="shared" si="7"/>
        <v>CENTRAL ADOPTION REGISTRY FUND</v>
      </c>
      <c r="H368" s="2">
        <v>15</v>
      </c>
      <c r="I368" t="str">
        <f t="shared" si="8"/>
        <v>CENTRAL ADOPTION REGISTRY FUND</v>
      </c>
    </row>
    <row r="369" spans="1:9" x14ac:dyDescent="0.3">
      <c r="A369" t="str">
        <f>""</f>
        <v/>
      </c>
      <c r="F369" t="str">
        <f>"423-5390"</f>
        <v>423-5390</v>
      </c>
      <c r="G369" t="str">
        <f t="shared" si="7"/>
        <v>CENTRAL ADOPTION REGISTRY FUND</v>
      </c>
      <c r="H369" s="2">
        <v>15</v>
      </c>
      <c r="I369" t="str">
        <f t="shared" si="8"/>
        <v>CENTRAL ADOPTION REGISTRY FUND</v>
      </c>
    </row>
    <row r="370" spans="1:9" x14ac:dyDescent="0.3">
      <c r="A370" t="str">
        <f>"002356"</f>
        <v>002356</v>
      </c>
      <c r="B370" t="s">
        <v>96</v>
      </c>
      <c r="C370">
        <v>74360</v>
      </c>
      <c r="D370" s="2">
        <v>159.54</v>
      </c>
      <c r="E370" s="1">
        <v>43096</v>
      </c>
      <c r="F370" t="str">
        <f>"17-18389"</f>
        <v>17-18389</v>
      </c>
      <c r="G370" t="str">
        <f>"CAR FUND"</f>
        <v>CAR FUND</v>
      </c>
      <c r="H370" s="2">
        <v>15</v>
      </c>
      <c r="I370" t="str">
        <f>"CAR FUND"</f>
        <v>CAR FUND</v>
      </c>
    </row>
    <row r="371" spans="1:9" x14ac:dyDescent="0.3">
      <c r="A371" t="str">
        <f>""</f>
        <v/>
      </c>
      <c r="F371" t="str">
        <f>"17-18397"</f>
        <v>17-18397</v>
      </c>
      <c r="G371" t="str">
        <f>"CAR FUND"</f>
        <v>CAR FUND</v>
      </c>
      <c r="H371" s="2">
        <v>15</v>
      </c>
      <c r="I371" t="str">
        <f>"CENTRAL ADOPTION REGISTRY"</f>
        <v>CENTRAL ADOPTION REGISTRY</v>
      </c>
    </row>
    <row r="372" spans="1:9" x14ac:dyDescent="0.3">
      <c r="A372" t="str">
        <f>""</f>
        <v/>
      </c>
      <c r="F372" t="str">
        <f>"17-18761"</f>
        <v>17-18761</v>
      </c>
      <c r="G372" t="str">
        <f>"CENTRAL ADOPTION REGISTRY FUND"</f>
        <v>CENTRAL ADOPTION REGISTRY FUND</v>
      </c>
      <c r="H372" s="2">
        <v>15</v>
      </c>
      <c r="I372" t="str">
        <f>"CENTRAL ADOPTION REGISTRY FUND"</f>
        <v>CENTRAL ADOPTION REGISTRY FUND</v>
      </c>
    </row>
    <row r="373" spans="1:9" x14ac:dyDescent="0.3">
      <c r="A373" t="str">
        <f>""</f>
        <v/>
      </c>
      <c r="F373" t="str">
        <f>"17-18762"</f>
        <v>17-18762</v>
      </c>
      <c r="G373" t="str">
        <f>"CENTRAL ADOPTION REGISTRY FUND"</f>
        <v>CENTRAL ADOPTION REGISTRY FUND</v>
      </c>
      <c r="H373" s="2">
        <v>15</v>
      </c>
      <c r="I373" t="str">
        <f>"CENTRAL ADOPTION REGISTRY FUND"</f>
        <v>CENTRAL ADOPTION REGISTRY FUND</v>
      </c>
    </row>
    <row r="374" spans="1:9" x14ac:dyDescent="0.3">
      <c r="A374" t="str">
        <f>""</f>
        <v/>
      </c>
      <c r="F374" t="str">
        <f>"2004496"</f>
        <v>2004496</v>
      </c>
      <c r="G374" t="str">
        <f>"REMOTE BIRTH ACCESS-NOV. 1-30"</f>
        <v>REMOTE BIRTH ACCESS-NOV. 1-30</v>
      </c>
      <c r="H374" s="2">
        <v>69.540000000000006</v>
      </c>
      <c r="I374" t="str">
        <f>"REMOTE BIRTH ACCESS-NOV. 1-30"</f>
        <v>REMOTE BIRTH ACCESS-NOV. 1-30</v>
      </c>
    </row>
    <row r="375" spans="1:9" x14ac:dyDescent="0.3">
      <c r="A375" t="str">
        <f>""</f>
        <v/>
      </c>
      <c r="F375" t="str">
        <f>"423-5403"</f>
        <v>423-5403</v>
      </c>
      <c r="G375" t="str">
        <f>"CENTRAL ADOPTION REGISTRY FUND"</f>
        <v>CENTRAL ADOPTION REGISTRY FUND</v>
      </c>
      <c r="H375" s="2">
        <v>15</v>
      </c>
      <c r="I375" t="str">
        <f>"CENTRAL ADOPTION REGISTRY FUND"</f>
        <v>CENTRAL ADOPTION REGISTRY FUND</v>
      </c>
    </row>
    <row r="376" spans="1:9" x14ac:dyDescent="0.3">
      <c r="A376" t="str">
        <f>""</f>
        <v/>
      </c>
      <c r="F376" t="str">
        <f>"423-5411"</f>
        <v>423-5411</v>
      </c>
      <c r="G376" t="str">
        <f>"CENTRAL ADOPTION REGISTRY FUND"</f>
        <v>CENTRAL ADOPTION REGISTRY FUND</v>
      </c>
      <c r="H376" s="2">
        <v>15</v>
      </c>
      <c r="I376" t="str">
        <f>"CENTRAL ADOPTION REGISTRY FUND"</f>
        <v>CENTRAL ADOPTION REGISTRY FUND</v>
      </c>
    </row>
    <row r="377" spans="1:9" x14ac:dyDescent="0.3">
      <c r="A377" t="str">
        <f>"005311"</f>
        <v>005311</v>
      </c>
      <c r="B377" t="s">
        <v>97</v>
      </c>
      <c r="C377">
        <v>74102</v>
      </c>
      <c r="D377" s="2">
        <v>15</v>
      </c>
      <c r="E377" s="1">
        <v>43080</v>
      </c>
      <c r="F377" t="str">
        <f>"201711286781"</f>
        <v>201711286781</v>
      </c>
      <c r="G377" t="str">
        <f>"FERAL HOGS"</f>
        <v>FERAL HOGS</v>
      </c>
      <c r="H377" s="2">
        <v>15</v>
      </c>
      <c r="I377" t="str">
        <f>"FERAL HOGS"</f>
        <v>FERAL HOGS</v>
      </c>
    </row>
    <row r="378" spans="1:9" x14ac:dyDescent="0.3">
      <c r="A378" t="str">
        <f>"005267"</f>
        <v>005267</v>
      </c>
      <c r="B378" t="s">
        <v>98</v>
      </c>
      <c r="C378">
        <v>74361</v>
      </c>
      <c r="D378" s="2">
        <v>12950</v>
      </c>
      <c r="E378" s="1">
        <v>43096</v>
      </c>
      <c r="F378" t="str">
        <f>"1379"</f>
        <v>1379</v>
      </c>
      <c r="G378" t="str">
        <f>"Surgical Center"</f>
        <v>Surgical Center</v>
      </c>
      <c r="H378" s="2">
        <v>12950</v>
      </c>
    </row>
    <row r="379" spans="1:9" x14ac:dyDescent="0.3">
      <c r="A379" t="str">
        <f>"T12518"</f>
        <v>T12518</v>
      </c>
      <c r="B379" t="s">
        <v>99</v>
      </c>
      <c r="C379">
        <v>74103</v>
      </c>
      <c r="D379" s="2">
        <v>610</v>
      </c>
      <c r="E379" s="1">
        <v>43080</v>
      </c>
      <c r="F379" t="str">
        <f>"2018TRA 836"</f>
        <v>2018TRA 836</v>
      </c>
      <c r="G379" t="str">
        <f>"INV 2018TRA 836"</f>
        <v>INV 2018TRA 836</v>
      </c>
      <c r="H379" s="2">
        <v>610</v>
      </c>
      <c r="I379" t="str">
        <f>"INV 2018TRA 836"</f>
        <v>INV 2018TRA 836</v>
      </c>
    </row>
    <row r="380" spans="1:9" x14ac:dyDescent="0.3">
      <c r="A380" t="str">
        <f>"T1595"</f>
        <v>T1595</v>
      </c>
      <c r="B380" t="s">
        <v>100</v>
      </c>
      <c r="C380">
        <v>74362</v>
      </c>
      <c r="D380" s="2">
        <v>173.48</v>
      </c>
      <c r="E380" s="1">
        <v>43096</v>
      </c>
      <c r="F380" t="str">
        <f>"201712207477"</f>
        <v>201712207477</v>
      </c>
      <c r="G380" t="str">
        <f>"INDIGENT HEALTH"</f>
        <v>INDIGENT HEALTH</v>
      </c>
      <c r="H380" s="2">
        <v>173.48</v>
      </c>
      <c r="I380" t="str">
        <f>"INDIGENT HEALTH"</f>
        <v>INDIGENT HEALTH</v>
      </c>
    </row>
    <row r="381" spans="1:9" x14ac:dyDescent="0.3">
      <c r="A381" t="str">
        <f>"CBOA"</f>
        <v>CBOA</v>
      </c>
      <c r="B381" t="s">
        <v>101</v>
      </c>
      <c r="C381">
        <v>999999</v>
      </c>
      <c r="D381" s="2">
        <v>988.06</v>
      </c>
      <c r="E381" s="1">
        <v>43097</v>
      </c>
      <c r="F381" t="str">
        <f>"496613"</f>
        <v>496613</v>
      </c>
      <c r="G381" t="str">
        <f>"ACCT#000690/ORD#00416135/PCT2"</f>
        <v>ACCT#000690/ORD#00416135/PCT2</v>
      </c>
      <c r="H381" s="2">
        <v>988.06</v>
      </c>
      <c r="I381" t="str">
        <f>"ACCT#000690/ORD#00416135/PCT2"</f>
        <v>ACCT#000690/ORD#00416135/PCT2</v>
      </c>
    </row>
    <row r="382" spans="1:9" x14ac:dyDescent="0.3">
      <c r="A382" t="str">
        <f>"002726"</f>
        <v>002726</v>
      </c>
      <c r="B382" t="s">
        <v>102</v>
      </c>
      <c r="C382">
        <v>74104</v>
      </c>
      <c r="D382" s="2">
        <v>6077.31</v>
      </c>
      <c r="E382" s="1">
        <v>43080</v>
      </c>
      <c r="F382" t="str">
        <f>"ACCOUNT#0058"</f>
        <v>ACCOUNT#0058</v>
      </c>
      <c r="G382" t="str">
        <f>"Acct# 0058"</f>
        <v>Acct# 0058</v>
      </c>
      <c r="H382" s="2">
        <v>6077.31</v>
      </c>
      <c r="I382" t="str">
        <f>"Austin Human"</f>
        <v>Austin Human</v>
      </c>
    </row>
    <row r="383" spans="1:9" x14ac:dyDescent="0.3">
      <c r="A383" t="str">
        <f>""</f>
        <v/>
      </c>
      <c r="F383" t="str">
        <f>""</f>
        <v/>
      </c>
      <c r="G383" t="str">
        <f>""</f>
        <v/>
      </c>
      <c r="I383" t="str">
        <f>"Austin Human"</f>
        <v>Austin Human</v>
      </c>
    </row>
    <row r="384" spans="1:9" x14ac:dyDescent="0.3">
      <c r="A384" t="str">
        <f>""</f>
        <v/>
      </c>
      <c r="F384" t="str">
        <f>""</f>
        <v/>
      </c>
      <c r="G384" t="str">
        <f>""</f>
        <v/>
      </c>
      <c r="I384" t="str">
        <f>"SHRM"</f>
        <v>SHRM</v>
      </c>
    </row>
    <row r="385" spans="1:9" x14ac:dyDescent="0.3">
      <c r="A385" t="str">
        <f>""</f>
        <v/>
      </c>
      <c r="F385" t="str">
        <f>""</f>
        <v/>
      </c>
      <c r="G385" t="str">
        <f>""</f>
        <v/>
      </c>
      <c r="I385" t="str">
        <f>"APCO"</f>
        <v>APCO</v>
      </c>
    </row>
    <row r="386" spans="1:9" x14ac:dyDescent="0.3">
      <c r="A386" t="str">
        <f>""</f>
        <v/>
      </c>
      <c r="F386" t="str">
        <f>""</f>
        <v/>
      </c>
      <c r="G386" t="str">
        <f>""</f>
        <v/>
      </c>
      <c r="I386" t="str">
        <f>"Walmart"</f>
        <v>Walmart</v>
      </c>
    </row>
    <row r="387" spans="1:9" x14ac:dyDescent="0.3">
      <c r="A387" t="str">
        <f>""</f>
        <v/>
      </c>
      <c r="F387" t="str">
        <f>""</f>
        <v/>
      </c>
      <c r="G387" t="str">
        <f>""</f>
        <v/>
      </c>
      <c r="I387" t="str">
        <f>"VistaPrint"</f>
        <v>VistaPrint</v>
      </c>
    </row>
    <row r="388" spans="1:9" x14ac:dyDescent="0.3">
      <c r="A388" t="str">
        <f>""</f>
        <v/>
      </c>
      <c r="F388" t="str">
        <f>""</f>
        <v/>
      </c>
      <c r="G388" t="str">
        <f>""</f>
        <v/>
      </c>
      <c r="I388" t="str">
        <f>"GoDaddy"</f>
        <v>GoDaddy</v>
      </c>
    </row>
    <row r="389" spans="1:9" x14ac:dyDescent="0.3">
      <c r="A389" t="str">
        <f>""</f>
        <v/>
      </c>
      <c r="F389" t="str">
        <f>""</f>
        <v/>
      </c>
      <c r="G389" t="str">
        <f>""</f>
        <v/>
      </c>
      <c r="I389" t="str">
        <f>"Apple"</f>
        <v>Apple</v>
      </c>
    </row>
    <row r="390" spans="1:9" x14ac:dyDescent="0.3">
      <c r="A390" t="str">
        <f>""</f>
        <v/>
      </c>
      <c r="F390" t="str">
        <f>""</f>
        <v/>
      </c>
      <c r="G390" t="str">
        <f>""</f>
        <v/>
      </c>
      <c r="I390" t="str">
        <f>"CustomInk"</f>
        <v>CustomInk</v>
      </c>
    </row>
    <row r="391" spans="1:9" x14ac:dyDescent="0.3">
      <c r="A391" t="str">
        <f>""</f>
        <v/>
      </c>
      <c r="F391" t="str">
        <f>""</f>
        <v/>
      </c>
      <c r="G391" t="str">
        <f>""</f>
        <v/>
      </c>
      <c r="I391" t="str">
        <f>"JCPenny's- Fridge"</f>
        <v>JCPenny's- Fridge</v>
      </c>
    </row>
    <row r="392" spans="1:9" x14ac:dyDescent="0.3">
      <c r="A392" t="str">
        <f>""</f>
        <v/>
      </c>
      <c r="F392" t="str">
        <f>""</f>
        <v/>
      </c>
      <c r="G392" t="str">
        <f>""</f>
        <v/>
      </c>
      <c r="I392" t="str">
        <f>"JCPenny's- Fridge"</f>
        <v>JCPenny's- Fridge</v>
      </c>
    </row>
    <row r="393" spans="1:9" x14ac:dyDescent="0.3">
      <c r="A393" t="str">
        <f>""</f>
        <v/>
      </c>
      <c r="F393" t="str">
        <f>""</f>
        <v/>
      </c>
      <c r="G393" t="str">
        <f>""</f>
        <v/>
      </c>
      <c r="I393" t="str">
        <f>"Custom Ink"</f>
        <v>Custom Ink</v>
      </c>
    </row>
    <row r="394" spans="1:9" x14ac:dyDescent="0.3">
      <c r="A394" t="str">
        <f>""</f>
        <v/>
      </c>
      <c r="F394" t="str">
        <f>""</f>
        <v/>
      </c>
      <c r="G394" t="str">
        <f>""</f>
        <v/>
      </c>
      <c r="I394" t="str">
        <f>"JCPenny's- Fridge"</f>
        <v>JCPenny's- Fridge</v>
      </c>
    </row>
    <row r="395" spans="1:9" x14ac:dyDescent="0.3">
      <c r="A395" t="str">
        <f>""</f>
        <v/>
      </c>
      <c r="F395" t="str">
        <f>""</f>
        <v/>
      </c>
      <c r="G395" t="str">
        <f>""</f>
        <v/>
      </c>
      <c r="I395" t="str">
        <f>"JCPenny's- Fridge"</f>
        <v>JCPenny's- Fridge</v>
      </c>
    </row>
    <row r="396" spans="1:9" x14ac:dyDescent="0.3">
      <c r="A396" t="str">
        <f>""</f>
        <v/>
      </c>
      <c r="F396" t="str">
        <f>""</f>
        <v/>
      </c>
      <c r="G396" t="str">
        <f>""</f>
        <v/>
      </c>
      <c r="I396" t="str">
        <f>"JCPenny's- Fridge"</f>
        <v>JCPenny's- Fridge</v>
      </c>
    </row>
    <row r="397" spans="1:9" x14ac:dyDescent="0.3">
      <c r="A397" t="str">
        <f>""</f>
        <v/>
      </c>
      <c r="F397" t="str">
        <f>""</f>
        <v/>
      </c>
      <c r="G397" t="str">
        <f>""</f>
        <v/>
      </c>
      <c r="I397" t="str">
        <f>"JCPenny's- Fridge"</f>
        <v>JCPenny's- Fridge</v>
      </c>
    </row>
    <row r="398" spans="1:9" x14ac:dyDescent="0.3">
      <c r="A398" t="str">
        <f>""</f>
        <v/>
      </c>
      <c r="F398" t="str">
        <f>""</f>
        <v/>
      </c>
      <c r="G398" t="str">
        <f>""</f>
        <v/>
      </c>
      <c r="I398" t="str">
        <f>"Irrigation Outlet"</f>
        <v>Irrigation Outlet</v>
      </c>
    </row>
    <row r="399" spans="1:9" x14ac:dyDescent="0.3">
      <c r="A399" t="str">
        <f>""</f>
        <v/>
      </c>
      <c r="F399" t="str">
        <f>""</f>
        <v/>
      </c>
      <c r="G399" t="str">
        <f>""</f>
        <v/>
      </c>
      <c r="I399" t="str">
        <f>"LAG Tactical"</f>
        <v>LAG Tactical</v>
      </c>
    </row>
    <row r="400" spans="1:9" x14ac:dyDescent="0.3">
      <c r="A400" t="str">
        <f>""</f>
        <v/>
      </c>
      <c r="F400" t="str">
        <f>""</f>
        <v/>
      </c>
      <c r="G400" t="str">
        <f>""</f>
        <v/>
      </c>
      <c r="I400" t="str">
        <f>"Rosanna Garza"</f>
        <v>Rosanna Garza</v>
      </c>
    </row>
    <row r="401" spans="1:9" x14ac:dyDescent="0.3">
      <c r="A401" t="str">
        <f>""</f>
        <v/>
      </c>
      <c r="F401" t="str">
        <f>""</f>
        <v/>
      </c>
      <c r="G401" t="str">
        <f>""</f>
        <v/>
      </c>
      <c r="I401" t="str">
        <f>"Robert Bennet"</f>
        <v>Robert Bennet</v>
      </c>
    </row>
    <row r="402" spans="1:9" x14ac:dyDescent="0.3">
      <c r="A402" t="str">
        <f>""</f>
        <v/>
      </c>
      <c r="F402" t="str">
        <f>""</f>
        <v/>
      </c>
      <c r="G402" t="str">
        <f>""</f>
        <v/>
      </c>
      <c r="I402" t="str">
        <f>"Annette Murley"</f>
        <v>Annette Murley</v>
      </c>
    </row>
    <row r="403" spans="1:9" x14ac:dyDescent="0.3">
      <c r="A403" t="str">
        <f>""</f>
        <v/>
      </c>
      <c r="F403" t="str">
        <f>""</f>
        <v/>
      </c>
      <c r="G403" t="str">
        <f>""</f>
        <v/>
      </c>
      <c r="I403" t="str">
        <f>"Charles Adam"</f>
        <v>Charles Adam</v>
      </c>
    </row>
    <row r="404" spans="1:9" x14ac:dyDescent="0.3">
      <c r="A404" t="str">
        <f>""</f>
        <v/>
      </c>
      <c r="F404" t="str">
        <f>""</f>
        <v/>
      </c>
      <c r="G404" t="str">
        <f>""</f>
        <v/>
      </c>
      <c r="I404" t="str">
        <f>"Erika DeJesus"</f>
        <v>Erika DeJesus</v>
      </c>
    </row>
    <row r="405" spans="1:9" x14ac:dyDescent="0.3">
      <c r="A405" t="str">
        <f>""</f>
        <v/>
      </c>
      <c r="F405" t="str">
        <f>""</f>
        <v/>
      </c>
      <c r="G405" t="str">
        <f>""</f>
        <v/>
      </c>
      <c r="I405" t="str">
        <f>"Kenneth Leatherwood"</f>
        <v>Kenneth Leatherwood</v>
      </c>
    </row>
    <row r="406" spans="1:9" x14ac:dyDescent="0.3">
      <c r="A406" t="str">
        <f>""</f>
        <v/>
      </c>
      <c r="F406" t="str">
        <f>""</f>
        <v/>
      </c>
      <c r="G406" t="str">
        <f>""</f>
        <v/>
      </c>
      <c r="I406" t="str">
        <f>"Walmart"</f>
        <v>Walmart</v>
      </c>
    </row>
    <row r="407" spans="1:9" x14ac:dyDescent="0.3">
      <c r="A407" t="str">
        <f>""</f>
        <v/>
      </c>
      <c r="F407" t="str">
        <f>""</f>
        <v/>
      </c>
      <c r="G407" t="str">
        <f>""</f>
        <v/>
      </c>
      <c r="I407" t="str">
        <f>"Walmart"</f>
        <v>Walmart</v>
      </c>
    </row>
    <row r="408" spans="1:9" x14ac:dyDescent="0.3">
      <c r="A408" t="str">
        <f>""</f>
        <v/>
      </c>
      <c r="F408" t="str">
        <f>""</f>
        <v/>
      </c>
      <c r="G408" t="str">
        <f>""</f>
        <v/>
      </c>
      <c r="I408" t="str">
        <f>"Battery Universe"</f>
        <v>Battery Universe</v>
      </c>
    </row>
    <row r="409" spans="1:9" x14ac:dyDescent="0.3">
      <c r="A409" t="str">
        <f>""</f>
        <v/>
      </c>
      <c r="F409" t="str">
        <f>""</f>
        <v/>
      </c>
      <c r="G409" t="str">
        <f>""</f>
        <v/>
      </c>
      <c r="I409" t="str">
        <f>"Bastrop"</f>
        <v>Bastrop</v>
      </c>
    </row>
    <row r="410" spans="1:9" x14ac:dyDescent="0.3">
      <c r="A410" t="str">
        <f>""</f>
        <v/>
      </c>
      <c r="F410" t="str">
        <f>""</f>
        <v/>
      </c>
      <c r="G410" t="str">
        <f>""</f>
        <v/>
      </c>
      <c r="I410" t="str">
        <f>"HEB"</f>
        <v>HEB</v>
      </c>
    </row>
    <row r="411" spans="1:9" x14ac:dyDescent="0.3">
      <c r="A411" t="str">
        <f>""</f>
        <v/>
      </c>
      <c r="F411" t="str">
        <f>""</f>
        <v/>
      </c>
      <c r="G411" t="str">
        <f>""</f>
        <v/>
      </c>
      <c r="I411" t="str">
        <f>"Walmart"</f>
        <v>Walmart</v>
      </c>
    </row>
    <row r="412" spans="1:9" x14ac:dyDescent="0.3">
      <c r="A412" t="str">
        <f>""</f>
        <v/>
      </c>
      <c r="F412" t="str">
        <f>""</f>
        <v/>
      </c>
      <c r="G412" t="str">
        <f>""</f>
        <v/>
      </c>
      <c r="I412" t="str">
        <f>"Custom Ink"</f>
        <v>Custom Ink</v>
      </c>
    </row>
    <row r="413" spans="1:9" x14ac:dyDescent="0.3">
      <c r="A413" t="str">
        <f>""</f>
        <v/>
      </c>
      <c r="F413" t="str">
        <f>""</f>
        <v/>
      </c>
      <c r="G413" t="str">
        <f>""</f>
        <v/>
      </c>
      <c r="I413" t="str">
        <f>"Custom Ink"</f>
        <v>Custom Ink</v>
      </c>
    </row>
    <row r="414" spans="1:9" x14ac:dyDescent="0.3">
      <c r="A414" t="str">
        <f>"CARD"</f>
        <v>CARD</v>
      </c>
      <c r="B414" t="s">
        <v>102</v>
      </c>
      <c r="C414">
        <v>74363</v>
      </c>
      <c r="D414" s="2">
        <v>220.86</v>
      </c>
      <c r="E414" s="1">
        <v>43096</v>
      </c>
      <c r="F414" t="str">
        <f>"STATEMENT"</f>
        <v>STATEMENT</v>
      </c>
      <c r="G414" t="str">
        <f>"0574  STATEMT 10/24-11/22"</f>
        <v>0574  STATEMT 10/24-11/22</v>
      </c>
      <c r="H414" s="2">
        <v>220.86</v>
      </c>
      <c r="I414" t="str">
        <f>"STAPLES"</f>
        <v>STAPLES</v>
      </c>
    </row>
    <row r="415" spans="1:9" x14ac:dyDescent="0.3">
      <c r="A415" t="str">
        <f>""</f>
        <v/>
      </c>
      <c r="F415" t="str">
        <f>""</f>
        <v/>
      </c>
      <c r="G415" t="str">
        <f>""</f>
        <v/>
      </c>
      <c r="I415" t="str">
        <f>"INTEREST"</f>
        <v>INTEREST</v>
      </c>
    </row>
    <row r="416" spans="1:9" x14ac:dyDescent="0.3">
      <c r="A416" t="str">
        <f>""</f>
        <v/>
      </c>
      <c r="F416" t="str">
        <f>""</f>
        <v/>
      </c>
      <c r="G416" t="str">
        <f>""</f>
        <v/>
      </c>
      <c r="I416" t="str">
        <f>"BATTERY PLEX"</f>
        <v>BATTERY PLEX</v>
      </c>
    </row>
    <row r="417" spans="1:9" x14ac:dyDescent="0.3">
      <c r="A417" t="str">
        <f>"005312"</f>
        <v>005312</v>
      </c>
      <c r="B417" t="s">
        <v>103</v>
      </c>
      <c r="C417">
        <v>74105</v>
      </c>
      <c r="D417" s="2">
        <v>20</v>
      </c>
      <c r="E417" s="1">
        <v>43080</v>
      </c>
      <c r="F417" t="str">
        <f>"201711286782"</f>
        <v>201711286782</v>
      </c>
      <c r="G417" t="str">
        <f>"FERAL HOGS"</f>
        <v>FERAL HOGS</v>
      </c>
      <c r="H417" s="2">
        <v>20</v>
      </c>
      <c r="I417" t="str">
        <f>"FERAL HOGS"</f>
        <v>FERAL HOGS</v>
      </c>
    </row>
    <row r="418" spans="1:9" x14ac:dyDescent="0.3">
      <c r="A418" t="str">
        <f>"003505"</f>
        <v>003505</v>
      </c>
      <c r="B418" t="s">
        <v>104</v>
      </c>
      <c r="C418">
        <v>74106</v>
      </c>
      <c r="D418" s="2">
        <v>10</v>
      </c>
      <c r="E418" s="1">
        <v>43080</v>
      </c>
      <c r="F418" t="str">
        <f>"201711286783"</f>
        <v>201711286783</v>
      </c>
      <c r="G418" t="str">
        <f>"FERAL HOGS"</f>
        <v>FERAL HOGS</v>
      </c>
      <c r="H418" s="2">
        <v>10</v>
      </c>
      <c r="I418" t="str">
        <f>"FERAL HOGS"</f>
        <v>FERAL HOGS</v>
      </c>
    </row>
    <row r="419" spans="1:9" x14ac:dyDescent="0.3">
      <c r="A419" t="str">
        <f>"T4871"</f>
        <v>T4871</v>
      </c>
      <c r="B419" t="s">
        <v>105</v>
      </c>
      <c r="C419">
        <v>999999</v>
      </c>
      <c r="D419" s="2">
        <v>908.3</v>
      </c>
      <c r="E419" s="1">
        <v>43097</v>
      </c>
      <c r="F419" t="str">
        <f>"LDH0148"</f>
        <v>LDH0148</v>
      </c>
      <c r="G419" t="str">
        <f>"CDW GOVERNMENT INC"</f>
        <v>CDW GOVERNMENT INC</v>
      </c>
      <c r="H419" s="2">
        <v>908.3</v>
      </c>
      <c r="I419" t="str">
        <f>"Fujitsu Scanner"</f>
        <v>Fujitsu Scanner</v>
      </c>
    </row>
    <row r="420" spans="1:9" x14ac:dyDescent="0.3">
      <c r="A420" t="str">
        <f>"005333"</f>
        <v>005333</v>
      </c>
      <c r="B420" t="s">
        <v>106</v>
      </c>
      <c r="C420">
        <v>74107</v>
      </c>
      <c r="D420" s="2">
        <v>7171.45</v>
      </c>
      <c r="E420" s="1">
        <v>43080</v>
      </c>
      <c r="F420" t="str">
        <f>"201712016882"</f>
        <v>201712016882</v>
      </c>
      <c r="G420" t="str">
        <f>"MEDICAL REIMBURSEMENTS"</f>
        <v>MEDICAL REIMBURSEMENTS</v>
      </c>
      <c r="H420" s="2">
        <v>7171.45</v>
      </c>
      <c r="I420" t="str">
        <f>"MEDICAL REIMBURSEMENTS"</f>
        <v>MEDICAL REIMBURSEMENTS</v>
      </c>
    </row>
    <row r="421" spans="1:9" x14ac:dyDescent="0.3">
      <c r="A421" t="str">
        <f>"CENTEX"</f>
        <v>CENTEX</v>
      </c>
      <c r="B421" t="s">
        <v>107</v>
      </c>
      <c r="C421">
        <v>74108</v>
      </c>
      <c r="D421" s="2">
        <v>4776.3599999999997</v>
      </c>
      <c r="E421" s="1">
        <v>43080</v>
      </c>
      <c r="F421" t="str">
        <f>"30122397"</f>
        <v>30122397</v>
      </c>
      <c r="G421" t="str">
        <f>"CUST#BASPCT1/ORD#37-19558/PCT1"</f>
        <v>CUST#BASPCT1/ORD#37-19558/PCT1</v>
      </c>
      <c r="H421" s="2">
        <v>421.92</v>
      </c>
      <c r="I421" t="str">
        <f>"CUST#BASPCT1/ORD#37-19558/PCT1"</f>
        <v>CUST#BASPCT1/ORD#37-19558/PCT1</v>
      </c>
    </row>
    <row r="422" spans="1:9" x14ac:dyDescent="0.3">
      <c r="A422" t="str">
        <f>""</f>
        <v/>
      </c>
      <c r="F422" t="str">
        <f>"30122462"</f>
        <v>30122462</v>
      </c>
      <c r="G422" t="str">
        <f>"CUST#BASPCT1/ORD#37-19558/PCT1"</f>
        <v>CUST#BASPCT1/ORD#37-19558/PCT1</v>
      </c>
      <c r="H422" s="2">
        <v>807.03</v>
      </c>
      <c r="I422" t="str">
        <f>"CUST#BASPCT1/ORD#37-19558/PCT1"</f>
        <v>CUST#BASPCT1/ORD#37-19558/PCT1</v>
      </c>
    </row>
    <row r="423" spans="1:9" x14ac:dyDescent="0.3">
      <c r="A423" t="str">
        <f>""</f>
        <v/>
      </c>
      <c r="F423" t="str">
        <f>"30122629"</f>
        <v>30122629</v>
      </c>
      <c r="G423" t="str">
        <f>"CUST#BASPCT1/ORD#37-19558/PCT1"</f>
        <v>CUST#BASPCT1/ORD#37-19558/PCT1</v>
      </c>
      <c r="H423" s="2">
        <v>816.84</v>
      </c>
      <c r="I423" t="str">
        <f>"CUST#BASPCT1/ORD#37-19558/PCT1"</f>
        <v>CUST#BASPCT1/ORD#37-19558/PCT1</v>
      </c>
    </row>
    <row r="424" spans="1:9" x14ac:dyDescent="0.3">
      <c r="A424" t="str">
        <f>""</f>
        <v/>
      </c>
      <c r="F424" t="str">
        <f>"30122658"</f>
        <v>30122658</v>
      </c>
      <c r="G424" t="str">
        <f>"CUST#BASPCT1/ORD#37-3124/PCT#1"</f>
        <v>CUST#BASPCT1/ORD#37-3124/PCT#1</v>
      </c>
      <c r="H424" s="2">
        <v>1908.06</v>
      </c>
      <c r="I424" t="str">
        <f>"CUST#BASPCT1/ORD#37-3124/PCT#1"</f>
        <v>CUST#BASPCT1/ORD#37-3124/PCT#1</v>
      </c>
    </row>
    <row r="425" spans="1:9" x14ac:dyDescent="0.3">
      <c r="A425" t="str">
        <f>""</f>
        <v/>
      </c>
      <c r="F425" t="str">
        <f>"30122689"</f>
        <v>30122689</v>
      </c>
      <c r="G425" t="str">
        <f>"CUST#BASPCT1/ORD#37-19558/PCT1"</f>
        <v>CUST#BASPCT1/ORD#37-19558/PCT1</v>
      </c>
      <c r="H425" s="2">
        <v>822.51</v>
      </c>
      <c r="I425" t="str">
        <f>"CUST#BASPCT1/ORD#37-19558/PCT1"</f>
        <v>CUST#BASPCT1/ORD#37-19558/PCT1</v>
      </c>
    </row>
    <row r="426" spans="1:9" x14ac:dyDescent="0.3">
      <c r="A426" t="str">
        <f>"CENTEX"</f>
        <v>CENTEX</v>
      </c>
      <c r="B426" t="s">
        <v>107</v>
      </c>
      <c r="C426">
        <v>74364</v>
      </c>
      <c r="D426" s="2">
        <v>823.32</v>
      </c>
      <c r="E426" s="1">
        <v>43096</v>
      </c>
      <c r="F426" t="str">
        <f>"30122790"</f>
        <v>30122790</v>
      </c>
      <c r="G426" t="str">
        <f>"CUST#BASPCT1/ORD#37-19558/PCT1"</f>
        <v>CUST#BASPCT1/ORD#37-19558/PCT1</v>
      </c>
      <c r="H426" s="2">
        <v>215.55</v>
      </c>
      <c r="I426" t="str">
        <f>"CUST#BASPCT1/ORD#37-19558/PCT1"</f>
        <v>CUST#BASPCT1/ORD#37-19558/PCT1</v>
      </c>
    </row>
    <row r="427" spans="1:9" x14ac:dyDescent="0.3">
      <c r="A427" t="str">
        <f>""</f>
        <v/>
      </c>
      <c r="F427" t="str">
        <f>"30122842"</f>
        <v>30122842</v>
      </c>
      <c r="G427" t="str">
        <f>"CUST#BASPCT1/ORD#37-19558/PCT1"</f>
        <v>CUST#BASPCT1/ORD#37-19558/PCT1</v>
      </c>
      <c r="H427" s="2">
        <v>199.53</v>
      </c>
      <c r="I427" t="str">
        <f>"CUST#BASPCT1/ORD#37-19558/PCT1"</f>
        <v>CUST#BASPCT1/ORD#37-19558/PCT1</v>
      </c>
    </row>
    <row r="428" spans="1:9" x14ac:dyDescent="0.3">
      <c r="A428" t="str">
        <f>""</f>
        <v/>
      </c>
      <c r="F428" t="str">
        <f>"30122870"</f>
        <v>30122870</v>
      </c>
      <c r="G428" t="str">
        <f>"CUST#BASPCT1/ORD#37-19558/PCT1"</f>
        <v>CUST#BASPCT1/ORD#37-19558/PCT1</v>
      </c>
      <c r="H428" s="2">
        <v>408.24</v>
      </c>
      <c r="I428" t="str">
        <f>"CUST#BASPCT1/ORD#37-19558/PCT1"</f>
        <v>CUST#BASPCT1/ORD#37-19558/PCT1</v>
      </c>
    </row>
    <row r="429" spans="1:9" x14ac:dyDescent="0.3">
      <c r="A429" t="str">
        <f>"003739"</f>
        <v>003739</v>
      </c>
      <c r="B429" t="s">
        <v>108</v>
      </c>
      <c r="C429">
        <v>74109</v>
      </c>
      <c r="D429" s="2">
        <v>185</v>
      </c>
      <c r="E429" s="1">
        <v>43080</v>
      </c>
      <c r="F429" t="str">
        <f>"0000045886"</f>
        <v>0000045886</v>
      </c>
      <c r="G429" t="str">
        <f>"DIAGNOSTICS-OEM"</f>
        <v>DIAGNOSTICS-OEM</v>
      </c>
      <c r="H429" s="2">
        <v>185</v>
      </c>
      <c r="I429" t="str">
        <f>"DIAGNOSTICS-OEM"</f>
        <v>DIAGNOSTICS-OEM</v>
      </c>
    </row>
    <row r="430" spans="1:9" x14ac:dyDescent="0.3">
      <c r="A430" t="str">
        <f>"002795"</f>
        <v>002795</v>
      </c>
      <c r="B430" t="s">
        <v>109</v>
      </c>
      <c r="C430">
        <v>74110</v>
      </c>
      <c r="D430" s="2">
        <v>2100</v>
      </c>
      <c r="E430" s="1">
        <v>43080</v>
      </c>
      <c r="F430" t="str">
        <f>"11983"</f>
        <v>11983</v>
      </c>
      <c r="G430" t="str">
        <f>"AUTOPSY-C.SUTTON/CTA 321-17"</f>
        <v>AUTOPSY-C.SUTTON/CTA 321-17</v>
      </c>
      <c r="H430" s="2">
        <v>2100</v>
      </c>
      <c r="I430" t="str">
        <f>"AUTOPSY-C.SUTTON/CTA 321-17"</f>
        <v>AUTOPSY-C.SUTTON/CTA 321-17</v>
      </c>
    </row>
    <row r="431" spans="1:9" x14ac:dyDescent="0.3">
      <c r="A431" t="str">
        <f>"004403"</f>
        <v>004403</v>
      </c>
      <c r="B431" t="s">
        <v>110</v>
      </c>
      <c r="C431">
        <v>74111</v>
      </c>
      <c r="D431" s="2">
        <v>3651.34</v>
      </c>
      <c r="E431" s="1">
        <v>43080</v>
      </c>
      <c r="F431" t="str">
        <f>"2187"</f>
        <v>2187</v>
      </c>
      <c r="G431" t="str">
        <f>"AXLE ALIGNMENT/PCT#3"</f>
        <v>AXLE ALIGNMENT/PCT#3</v>
      </c>
      <c r="H431" s="2">
        <v>300</v>
      </c>
      <c r="I431" t="str">
        <f>"AXLE ALIGNMENT/PCT#3"</f>
        <v>AXLE ALIGNMENT/PCT#3</v>
      </c>
    </row>
    <row r="432" spans="1:9" x14ac:dyDescent="0.3">
      <c r="A432" t="str">
        <f>""</f>
        <v/>
      </c>
      <c r="F432" t="str">
        <f>"2215"</f>
        <v>2215</v>
      </c>
      <c r="G432" t="str">
        <f>"VEH REPAIR/PCT#3"</f>
        <v>VEH REPAIR/PCT#3</v>
      </c>
      <c r="H432" s="2">
        <v>3351.34</v>
      </c>
      <c r="I432" t="str">
        <f>"VEH REPAIR/PCT#3"</f>
        <v>VEH REPAIR/PCT#3</v>
      </c>
    </row>
    <row r="433" spans="1:9" x14ac:dyDescent="0.3">
      <c r="A433" t="str">
        <f>"004648"</f>
        <v>004648</v>
      </c>
      <c r="B433" t="s">
        <v>111</v>
      </c>
      <c r="C433">
        <v>74112</v>
      </c>
      <c r="D433" s="2">
        <v>250</v>
      </c>
      <c r="E433" s="1">
        <v>43080</v>
      </c>
      <c r="F433" t="str">
        <f>"201712046887"</f>
        <v>201712046887</v>
      </c>
      <c r="G433" t="str">
        <f>"16-17819"</f>
        <v>16-17819</v>
      </c>
      <c r="H433" s="2">
        <v>250</v>
      </c>
      <c r="I433" t="str">
        <f>"16-17819"</f>
        <v>16-17819</v>
      </c>
    </row>
    <row r="434" spans="1:9" x14ac:dyDescent="0.3">
      <c r="A434" t="str">
        <f>"T9145"</f>
        <v>T9145</v>
      </c>
      <c r="B434" t="s">
        <v>112</v>
      </c>
      <c r="C434">
        <v>999999</v>
      </c>
      <c r="D434" s="2">
        <v>2450</v>
      </c>
      <c r="E434" s="1">
        <v>43097</v>
      </c>
      <c r="F434" t="str">
        <f>"201712147319"</f>
        <v>201712147319</v>
      </c>
      <c r="G434" t="str">
        <f>"423-5398"</f>
        <v>423-5398</v>
      </c>
      <c r="H434" s="2">
        <v>100</v>
      </c>
      <c r="I434" t="str">
        <f>"423-5398"</f>
        <v>423-5398</v>
      </c>
    </row>
    <row r="435" spans="1:9" x14ac:dyDescent="0.3">
      <c r="A435" t="str">
        <f>""</f>
        <v/>
      </c>
      <c r="F435" t="str">
        <f>"201712147320"</f>
        <v>201712147320</v>
      </c>
      <c r="G435" t="str">
        <f>"16 127"</f>
        <v>16 127</v>
      </c>
      <c r="H435" s="2">
        <v>400</v>
      </c>
      <c r="I435" t="str">
        <f>"16 127"</f>
        <v>16 127</v>
      </c>
    </row>
    <row r="436" spans="1:9" x14ac:dyDescent="0.3">
      <c r="A436" t="str">
        <f>""</f>
        <v/>
      </c>
      <c r="F436" t="str">
        <f>"201712147321"</f>
        <v>201712147321</v>
      </c>
      <c r="G436" t="str">
        <f>"16 263  17-5-00960"</f>
        <v>16 263  17-5-00960</v>
      </c>
      <c r="H436" s="2">
        <v>600</v>
      </c>
      <c r="I436" t="str">
        <f>"16 263  17-5-00960"</f>
        <v>16 263  17-5-00960</v>
      </c>
    </row>
    <row r="437" spans="1:9" x14ac:dyDescent="0.3">
      <c r="A437" t="str">
        <f>""</f>
        <v/>
      </c>
      <c r="F437" t="str">
        <f>"201712147322"</f>
        <v>201712147322</v>
      </c>
      <c r="G437" t="str">
        <f>"CH2016 02150"</f>
        <v>CH2016 02150</v>
      </c>
      <c r="H437" s="2">
        <v>400</v>
      </c>
      <c r="I437" t="str">
        <f>"CH2016 02150"</f>
        <v>CH2016 02150</v>
      </c>
    </row>
    <row r="438" spans="1:9" x14ac:dyDescent="0.3">
      <c r="A438" t="str">
        <f>""</f>
        <v/>
      </c>
      <c r="F438" t="str">
        <f>"201712197387"</f>
        <v>201712197387</v>
      </c>
      <c r="G438" t="str">
        <f>"17-18646"</f>
        <v>17-18646</v>
      </c>
      <c r="H438" s="2">
        <v>100</v>
      </c>
      <c r="I438" t="str">
        <f>"17-18646"</f>
        <v>17-18646</v>
      </c>
    </row>
    <row r="439" spans="1:9" x14ac:dyDescent="0.3">
      <c r="A439" t="str">
        <f>""</f>
        <v/>
      </c>
      <c r="F439" t="str">
        <f>"201712197388"</f>
        <v>201712197388</v>
      </c>
      <c r="G439" t="str">
        <f>"17-18672"</f>
        <v>17-18672</v>
      </c>
      <c r="H439" s="2">
        <v>100</v>
      </c>
      <c r="I439" t="str">
        <f>"17-18672"</f>
        <v>17-18672</v>
      </c>
    </row>
    <row r="440" spans="1:9" x14ac:dyDescent="0.3">
      <c r="A440" t="str">
        <f>""</f>
        <v/>
      </c>
      <c r="F440" t="str">
        <f>"201712197419"</f>
        <v>201712197419</v>
      </c>
      <c r="G440" t="str">
        <f>"53 973"</f>
        <v>53 973</v>
      </c>
      <c r="H440" s="2">
        <v>250</v>
      </c>
      <c r="I440" t="str">
        <f>"53 973"</f>
        <v>53 973</v>
      </c>
    </row>
    <row r="441" spans="1:9" x14ac:dyDescent="0.3">
      <c r="A441" t="str">
        <f>""</f>
        <v/>
      </c>
      <c r="F441" t="str">
        <f>"201712197420"</f>
        <v>201712197420</v>
      </c>
      <c r="G441" t="str">
        <f>"54 642"</f>
        <v>54 642</v>
      </c>
      <c r="H441" s="2">
        <v>250</v>
      </c>
      <c r="I441" t="str">
        <f>"54 642"</f>
        <v>54 642</v>
      </c>
    </row>
    <row r="442" spans="1:9" x14ac:dyDescent="0.3">
      <c r="A442" t="str">
        <f>""</f>
        <v/>
      </c>
      <c r="F442" t="str">
        <f>"201712197425"</f>
        <v>201712197425</v>
      </c>
      <c r="G442" t="str">
        <f>"55 541"</f>
        <v>55 541</v>
      </c>
      <c r="H442" s="2">
        <v>250</v>
      </c>
      <c r="I442" t="str">
        <f>"55 541"</f>
        <v>55 541</v>
      </c>
    </row>
    <row r="443" spans="1:9" x14ac:dyDescent="0.3">
      <c r="A443" t="str">
        <f>"004228"</f>
        <v>004228</v>
      </c>
      <c r="B443" t="s">
        <v>113</v>
      </c>
      <c r="C443">
        <v>999999</v>
      </c>
      <c r="D443" s="2">
        <v>110.81</v>
      </c>
      <c r="E443" s="1">
        <v>43097</v>
      </c>
      <c r="F443" t="str">
        <f>"201712117258"</f>
        <v>201712117258</v>
      </c>
      <c r="G443" t="str">
        <f>"ADVENTURE MAILING/VISITORS GU"</f>
        <v>ADVENTURE MAILING/VISITORS GU</v>
      </c>
      <c r="H443" s="2">
        <v>62.77</v>
      </c>
      <c r="I443" t="str">
        <f>"ADVENTURE MAILING/VISITORS GU"</f>
        <v>ADVENTURE MAILING/VISITORS GU</v>
      </c>
    </row>
    <row r="444" spans="1:9" x14ac:dyDescent="0.3">
      <c r="A444" t="str">
        <f>""</f>
        <v/>
      </c>
      <c r="F444" t="str">
        <f>"201712127286"</f>
        <v>201712127286</v>
      </c>
      <c r="G444" t="str">
        <f>"MILEAGE REIMBURSEMENT"</f>
        <v>MILEAGE REIMBURSEMENT</v>
      </c>
      <c r="H444" s="2">
        <v>48.04</v>
      </c>
      <c r="I444" t="str">
        <f>"MILEAGE REIMBURSEMENT"</f>
        <v>MILEAGE REIMBURSEMENT</v>
      </c>
    </row>
    <row r="445" spans="1:9" x14ac:dyDescent="0.3">
      <c r="A445" t="str">
        <f>"005120"</f>
        <v>005120</v>
      </c>
      <c r="B445" t="s">
        <v>114</v>
      </c>
      <c r="C445">
        <v>74113</v>
      </c>
      <c r="D445" s="2">
        <v>65.92</v>
      </c>
      <c r="E445" s="1">
        <v>43080</v>
      </c>
      <c r="F445" t="str">
        <f>"5009577901"</f>
        <v>5009577901</v>
      </c>
      <c r="G445" t="str">
        <f>"CUST#0011167190/PCT#1"</f>
        <v>CUST#0011167190/PCT#1</v>
      </c>
      <c r="H445" s="2">
        <v>65.92</v>
      </c>
      <c r="I445" t="str">
        <f>"CUST#0011167190/PCT#1"</f>
        <v>CUST#0011167190/PCT#1</v>
      </c>
    </row>
    <row r="446" spans="1:9" x14ac:dyDescent="0.3">
      <c r="A446" t="str">
        <f>"005132"</f>
        <v>005132</v>
      </c>
      <c r="B446" t="s">
        <v>115</v>
      </c>
      <c r="C446">
        <v>74114</v>
      </c>
      <c r="D446" s="2">
        <v>84.83</v>
      </c>
      <c r="E446" s="1">
        <v>43080</v>
      </c>
      <c r="F446" t="str">
        <f>"8403431270"</f>
        <v>8403431270</v>
      </c>
      <c r="G446" t="str">
        <f>"CUST#10377368/PCT#2"</f>
        <v>CUST#10377368/PCT#2</v>
      </c>
      <c r="H446" s="2">
        <v>84.83</v>
      </c>
      <c r="I446" t="str">
        <f>"CUST#10377368/PCT#2"</f>
        <v>CUST#10377368/PCT#2</v>
      </c>
    </row>
    <row r="447" spans="1:9" x14ac:dyDescent="0.3">
      <c r="A447" t="str">
        <f>"005132"</f>
        <v>005132</v>
      </c>
      <c r="B447" t="s">
        <v>115</v>
      </c>
      <c r="C447">
        <v>74365</v>
      </c>
      <c r="D447" s="2">
        <v>116.47</v>
      </c>
      <c r="E447" s="1">
        <v>43096</v>
      </c>
      <c r="F447" t="str">
        <f>"8403441310"</f>
        <v>8403441310</v>
      </c>
      <c r="G447" t="str">
        <f>"CUST#10377368/192 FOHN RD/ P3"</f>
        <v>CUST#10377368/192 FOHN RD/ P3</v>
      </c>
      <c r="H447" s="2">
        <v>116.47</v>
      </c>
      <c r="I447" t="str">
        <f>"CUST#10377368/192 FOHN RD/ P3"</f>
        <v>CUST#10377368/192 FOHN RD/ P3</v>
      </c>
    </row>
    <row r="448" spans="1:9" x14ac:dyDescent="0.3">
      <c r="A448" t="str">
        <f>"004728"</f>
        <v>004728</v>
      </c>
      <c r="B448" t="s">
        <v>116</v>
      </c>
      <c r="C448">
        <v>74366</v>
      </c>
      <c r="D448" s="2">
        <v>4475.6899999999996</v>
      </c>
      <c r="E448" s="1">
        <v>43096</v>
      </c>
      <c r="F448" t="str">
        <f>"201712127260"</f>
        <v>201712127260</v>
      </c>
      <c r="G448" t="str">
        <f>"ACCT#086-11458/ANIMAL SHELTER"</f>
        <v>ACCT#086-11458/ANIMAL SHELTER</v>
      </c>
      <c r="H448" s="2">
        <v>182.39</v>
      </c>
      <c r="I448" t="str">
        <f>"ACCT#086-11458/ANIMAL SHELTER"</f>
        <v>ACCT#086-11458/ANIMAL SHELTER</v>
      </c>
    </row>
    <row r="449" spans="1:10" x14ac:dyDescent="0.3">
      <c r="A449" t="str">
        <f>""</f>
        <v/>
      </c>
      <c r="F449" t="str">
        <f>"201712127261"</f>
        <v>201712127261</v>
      </c>
      <c r="G449" t="str">
        <f>"ACCT#086-11381/GEN SVCS"</f>
        <v>ACCT#086-11381/GEN SVCS</v>
      </c>
      <c r="H449" s="2">
        <v>737.28</v>
      </c>
      <c r="I449" t="str">
        <f>"ACCT#086-11381/GEN SVCS"</f>
        <v>ACCT#086-11381/GEN SVCS</v>
      </c>
    </row>
    <row r="450" spans="1:10" x14ac:dyDescent="0.3">
      <c r="A450" t="str">
        <f>""</f>
        <v/>
      </c>
      <c r="F450" t="str">
        <f>"201712127262"</f>
        <v>201712127262</v>
      </c>
      <c r="G450" t="str">
        <f>"ACCT#086-11451/PCT#1"</f>
        <v>ACCT#086-11451/PCT#1</v>
      </c>
      <c r="H450" s="2">
        <v>41.56</v>
      </c>
      <c r="I450" t="str">
        <f>"ACCT#086-11451/PCT#1"</f>
        <v>ACCT#086-11451/PCT#1</v>
      </c>
    </row>
    <row r="451" spans="1:10" x14ac:dyDescent="0.3">
      <c r="A451" t="str">
        <f>""</f>
        <v/>
      </c>
      <c r="F451" t="str">
        <f>"201712127276"</f>
        <v>201712127276</v>
      </c>
      <c r="G451" t="str">
        <f>"ACCT#086-11451/PCT#1"</f>
        <v>ACCT#086-11451/PCT#1</v>
      </c>
      <c r="H451" s="2">
        <v>737.78</v>
      </c>
      <c r="I451" t="str">
        <f>"ACCT#086-11451/PCT#1"</f>
        <v>ACCT#086-11451/PCT#1</v>
      </c>
    </row>
    <row r="452" spans="1:10" x14ac:dyDescent="0.3">
      <c r="A452" t="str">
        <f>""</f>
        <v/>
      </c>
      <c r="F452" t="str">
        <f>""</f>
        <v/>
      </c>
      <c r="G452" t="str">
        <f>""</f>
        <v/>
      </c>
      <c r="I452" t="str">
        <f>"ACCT#086-11451/PCT#1"</f>
        <v>ACCT#086-11451/PCT#1</v>
      </c>
    </row>
    <row r="453" spans="1:10" x14ac:dyDescent="0.3">
      <c r="A453" t="str">
        <f>""</f>
        <v/>
      </c>
      <c r="F453" t="str">
        <f>"201712127280"</f>
        <v>201712127280</v>
      </c>
      <c r="G453" t="str">
        <f>"ACCT#086-11375/PCT#2"</f>
        <v>ACCT#086-11375/PCT#2</v>
      </c>
      <c r="H453" s="2">
        <v>1430.84</v>
      </c>
      <c r="I453" t="str">
        <f>"ACCT#086-11375/PCT#2"</f>
        <v>ACCT#086-11375/PCT#2</v>
      </c>
    </row>
    <row r="454" spans="1:10" x14ac:dyDescent="0.3">
      <c r="A454" t="str">
        <f>""</f>
        <v/>
      </c>
      <c r="F454" t="str">
        <f>"201712127281"</f>
        <v>201712127281</v>
      </c>
      <c r="G454" t="str">
        <f>"ACCT#086-11386/PCT#4"</f>
        <v>ACCT#086-11386/PCT#4</v>
      </c>
      <c r="H454" s="2">
        <v>1345.84</v>
      </c>
      <c r="I454" t="str">
        <f>"ACCT#086-11386/PCT#4"</f>
        <v>ACCT#086-11386/PCT#4</v>
      </c>
    </row>
    <row r="455" spans="1:10" x14ac:dyDescent="0.3">
      <c r="A455" t="str">
        <f>"004283"</f>
        <v>004283</v>
      </c>
      <c r="B455" t="s">
        <v>117</v>
      </c>
      <c r="C455">
        <v>74367</v>
      </c>
      <c r="D455" s="2">
        <v>8529.2000000000007</v>
      </c>
      <c r="E455" s="1">
        <v>43096</v>
      </c>
      <c r="F455" t="str">
        <f>"12052018"</f>
        <v>12052018</v>
      </c>
      <c r="G455" t="str">
        <f>"Basic Support"</f>
        <v>Basic Support</v>
      </c>
      <c r="H455" s="2">
        <v>8529.2000000000007</v>
      </c>
      <c r="I455" t="str">
        <f>"701120-001"</f>
        <v>701120-001</v>
      </c>
    </row>
    <row r="456" spans="1:10" x14ac:dyDescent="0.3">
      <c r="A456" t="str">
        <f>"BCO"</f>
        <v>BCO</v>
      </c>
      <c r="B456" t="s">
        <v>118</v>
      </c>
      <c r="C456">
        <v>74054</v>
      </c>
      <c r="D456" s="2">
        <v>38086.15</v>
      </c>
      <c r="E456" s="1">
        <v>43076</v>
      </c>
      <c r="F456" t="str">
        <f>"201712077234"</f>
        <v>201712077234</v>
      </c>
      <c r="G456" t="str">
        <f>"COUNTY DEVELOPMENT CENTER"</f>
        <v>COUNTY DEVELOPMENT CENTER</v>
      </c>
      <c r="H456" s="2">
        <v>2266.63</v>
      </c>
      <c r="I456" t="str">
        <f>"COUNTY DEVELOPMENT CENTER"</f>
        <v>COUNTY DEVELOPMENT CENTER</v>
      </c>
    </row>
    <row r="457" spans="1:10" x14ac:dyDescent="0.3">
      <c r="A457" t="str">
        <f>""</f>
        <v/>
      </c>
      <c r="F457" t="str">
        <f>"201712077235"</f>
        <v>201712077235</v>
      </c>
      <c r="G457" t="str">
        <f>"LAW ENFORCEMENT CENTER"</f>
        <v>LAW ENFORCEMENT CENTER</v>
      </c>
      <c r="H457" s="2">
        <v>23093.49</v>
      </c>
      <c r="I457" t="str">
        <f>"LAW ENFORCEMENT CENTER"</f>
        <v>LAW ENFORCEMENT CENTER</v>
      </c>
    </row>
    <row r="458" spans="1:10" x14ac:dyDescent="0.3">
      <c r="A458" t="str">
        <f>""</f>
        <v/>
      </c>
      <c r="F458" t="str">
        <f>"201712077236"</f>
        <v>201712077236</v>
      </c>
      <c r="G458" t="str">
        <f>"BASTROP COUNTY COURTHOUSE"</f>
        <v>BASTROP COUNTY COURTHOUSE</v>
      </c>
      <c r="H458" s="2">
        <v>12726.03</v>
      </c>
      <c r="I458" t="str">
        <f>"BASTROP COUNTY COURTHOUSE"</f>
        <v>BASTROP COUNTY COURTHOUSE</v>
      </c>
    </row>
    <row r="459" spans="1:10" x14ac:dyDescent="0.3">
      <c r="A459" t="str">
        <f>"COB"</f>
        <v>COB</v>
      </c>
      <c r="B459" t="s">
        <v>118</v>
      </c>
      <c r="C459">
        <v>74115</v>
      </c>
      <c r="D459" s="2">
        <v>50</v>
      </c>
      <c r="E459" s="1">
        <v>43080</v>
      </c>
      <c r="F459" t="s">
        <v>119</v>
      </c>
      <c r="G459" t="s">
        <v>120</v>
      </c>
      <c r="H459" s="2" t="str">
        <f>"RESTITUTION-A.M. LAWRENCE"</f>
        <v>RESTITUTION-A.M. LAWRENCE</v>
      </c>
      <c r="I459" t="str">
        <f>"210-0000"</f>
        <v>210-0000</v>
      </c>
      <c r="J459">
        <v>50</v>
      </c>
    </row>
    <row r="460" spans="1:10" x14ac:dyDescent="0.3">
      <c r="A460" t="str">
        <f>"BCO"</f>
        <v>BCO</v>
      </c>
      <c r="B460" t="s">
        <v>118</v>
      </c>
      <c r="C460">
        <v>74325</v>
      </c>
      <c r="D460" s="2">
        <v>592.15</v>
      </c>
      <c r="E460" s="1">
        <v>43084</v>
      </c>
      <c r="F460" t="str">
        <f>"201712157338"</f>
        <v>201712157338</v>
      </c>
      <c r="G460" t="str">
        <f>"ACCT#02-2083-04 / 11292017"</f>
        <v>ACCT#02-2083-04 / 11292017</v>
      </c>
      <c r="H460" s="2">
        <v>592.15</v>
      </c>
      <c r="I460" t="str">
        <f>"ACCT#02-2083-04 / 11292017"</f>
        <v>ACCT#02-2083-04 / 11292017</v>
      </c>
    </row>
    <row r="461" spans="1:10" x14ac:dyDescent="0.3">
      <c r="A461" t="str">
        <f>"BCO"</f>
        <v>BCO</v>
      </c>
      <c r="B461" t="s">
        <v>118</v>
      </c>
      <c r="C461">
        <v>74326</v>
      </c>
      <c r="D461" s="2">
        <v>42.45</v>
      </c>
      <c r="E461" s="1">
        <v>43084</v>
      </c>
      <c r="F461" t="str">
        <f>"201712157339"</f>
        <v>201712157339</v>
      </c>
      <c r="G461" t="str">
        <f>"ARREST FEES-07/01/17-09/30/17"</f>
        <v>ARREST FEES-07/01/17-09/30/17</v>
      </c>
      <c r="H461" s="2">
        <v>42.45</v>
      </c>
      <c r="I461" t="str">
        <f>"ARREST FEES-07/01/17-09/30/17"</f>
        <v>ARREST FEES-07/01/17-09/30/17</v>
      </c>
    </row>
    <row r="462" spans="1:10" x14ac:dyDescent="0.3">
      <c r="A462" t="str">
        <f>"COB"</f>
        <v>COB</v>
      </c>
      <c r="B462" t="s">
        <v>118</v>
      </c>
      <c r="C462">
        <v>74368</v>
      </c>
      <c r="D462" s="2">
        <v>500</v>
      </c>
      <c r="E462" s="1">
        <v>43096</v>
      </c>
      <c r="F462" t="str">
        <f>"201712157336"</f>
        <v>201712157336</v>
      </c>
      <c r="G462" t="str">
        <f>"RENTAL-PARKING LOT"</f>
        <v>RENTAL-PARKING LOT</v>
      </c>
      <c r="H462" s="2">
        <v>500</v>
      </c>
      <c r="I462" t="str">
        <f>"RENTAL-PARKING LOT"</f>
        <v>RENTAL-PARKING LOT</v>
      </c>
    </row>
    <row r="463" spans="1:10" x14ac:dyDescent="0.3">
      <c r="A463" t="str">
        <f>"ECO"</f>
        <v>ECO</v>
      </c>
      <c r="B463" t="s">
        <v>121</v>
      </c>
      <c r="C463">
        <v>74327</v>
      </c>
      <c r="D463" s="2">
        <v>40.270000000000003</v>
      </c>
      <c r="E463" s="1">
        <v>43084</v>
      </c>
      <c r="F463" t="str">
        <f>"201712157340"</f>
        <v>201712157340</v>
      </c>
      <c r="G463" t="str">
        <f>"ARREST FEES-07/01/17-09/30/17"</f>
        <v>ARREST FEES-07/01/17-09/30/17</v>
      </c>
      <c r="H463" s="2">
        <v>40.270000000000003</v>
      </c>
      <c r="I463" t="str">
        <f>"ARREST FEES-07/01/17-09/30/17"</f>
        <v>ARREST FEES-07/01/17-09/30/17</v>
      </c>
    </row>
    <row r="464" spans="1:10" x14ac:dyDescent="0.3">
      <c r="A464" t="str">
        <f>"SCO"</f>
        <v>SCO</v>
      </c>
      <c r="B464" t="s">
        <v>122</v>
      </c>
      <c r="C464">
        <v>74328</v>
      </c>
      <c r="D464" s="2">
        <v>14.56</v>
      </c>
      <c r="E464" s="1">
        <v>43084</v>
      </c>
      <c r="F464" t="str">
        <f>"201712157341"</f>
        <v>201712157341</v>
      </c>
      <c r="G464" t="str">
        <f>"ARREST FEES-07/01/17-09/30/17"</f>
        <v>ARREST FEES-07/01/17-09/30/17</v>
      </c>
      <c r="H464" s="2">
        <v>14.56</v>
      </c>
      <c r="I464" t="str">
        <f>"ARREST FEES-07/01/17-09/30/17"</f>
        <v>ARREST FEES-07/01/17-09/30/17</v>
      </c>
    </row>
    <row r="465" spans="1:9" x14ac:dyDescent="0.3">
      <c r="A465" t="str">
        <f>"003318"</f>
        <v>003318</v>
      </c>
      <c r="B465" t="s">
        <v>123</v>
      </c>
      <c r="C465">
        <v>74116</v>
      </c>
      <c r="D465" s="2">
        <v>615</v>
      </c>
      <c r="E465" s="1">
        <v>43080</v>
      </c>
      <c r="F465" t="str">
        <f>"201711286784"</f>
        <v>201711286784</v>
      </c>
      <c r="G465" t="str">
        <f>"FERAL HOGS"</f>
        <v>FERAL HOGS</v>
      </c>
      <c r="H465" s="2">
        <v>140</v>
      </c>
      <c r="I465" t="str">
        <f>"FERAL HOGS"</f>
        <v>FERAL HOGS</v>
      </c>
    </row>
    <row r="466" spans="1:9" x14ac:dyDescent="0.3">
      <c r="A466" t="str">
        <f>""</f>
        <v/>
      </c>
      <c r="F466" t="str">
        <f>"201711286785"</f>
        <v>201711286785</v>
      </c>
      <c r="G466" t="str">
        <f>"FERAL HOGS"</f>
        <v>FERAL HOGS</v>
      </c>
      <c r="H466" s="2">
        <v>70</v>
      </c>
      <c r="I466" t="str">
        <f>"FERAL HOGS"</f>
        <v>FERAL HOGS</v>
      </c>
    </row>
    <row r="467" spans="1:9" x14ac:dyDescent="0.3">
      <c r="A467" t="str">
        <f>""</f>
        <v/>
      </c>
      <c r="F467" t="str">
        <f>"201711286786"</f>
        <v>201711286786</v>
      </c>
      <c r="G467" t="str">
        <f>"FERAL HOGS"</f>
        <v>FERAL HOGS</v>
      </c>
      <c r="H467" s="2">
        <v>215</v>
      </c>
      <c r="I467" t="str">
        <f>"FERAL HOGS"</f>
        <v>FERAL HOGS</v>
      </c>
    </row>
    <row r="468" spans="1:9" x14ac:dyDescent="0.3">
      <c r="A468" t="str">
        <f>""</f>
        <v/>
      </c>
      <c r="F468" t="str">
        <f>"201711286787"</f>
        <v>201711286787</v>
      </c>
      <c r="G468" t="str">
        <f>"FERAL HOGS"</f>
        <v>FERAL HOGS</v>
      </c>
      <c r="H468" s="2">
        <v>190</v>
      </c>
      <c r="I468" t="str">
        <f>"FERAL HOGS"</f>
        <v>FERAL HOGS</v>
      </c>
    </row>
    <row r="469" spans="1:9" x14ac:dyDescent="0.3">
      <c r="A469" t="str">
        <f>"005313"</f>
        <v>005313</v>
      </c>
      <c r="B469" t="s">
        <v>124</v>
      </c>
      <c r="C469">
        <v>74117</v>
      </c>
      <c r="D469" s="2">
        <v>60</v>
      </c>
      <c r="E469" s="1">
        <v>43080</v>
      </c>
      <c r="F469" t="str">
        <f>"201711286788"</f>
        <v>201711286788</v>
      </c>
      <c r="G469" t="str">
        <f>"FERAL HOGS"</f>
        <v>FERAL HOGS</v>
      </c>
      <c r="H469" s="2">
        <v>60</v>
      </c>
      <c r="I469" t="str">
        <f>"FERAL HOGS"</f>
        <v>FERAL HOGS</v>
      </c>
    </row>
    <row r="470" spans="1:9" x14ac:dyDescent="0.3">
      <c r="A470" t="str">
        <f>"002198"</f>
        <v>002198</v>
      </c>
      <c r="B470" t="s">
        <v>125</v>
      </c>
      <c r="C470">
        <v>999999</v>
      </c>
      <c r="D470" s="2">
        <v>749</v>
      </c>
      <c r="E470" s="1">
        <v>43081</v>
      </c>
      <c r="F470" t="str">
        <f>"PMA-0034216"</f>
        <v>PMA-0034216</v>
      </c>
      <c r="G470" t="str">
        <f>"INV PMA-0034216"</f>
        <v>INV PMA-0034216</v>
      </c>
      <c r="H470" s="2">
        <v>749</v>
      </c>
      <c r="I470" t="str">
        <f>"INV PMA-0034216"</f>
        <v>INV PMA-0034216</v>
      </c>
    </row>
    <row r="471" spans="1:9" x14ac:dyDescent="0.3">
      <c r="A471" t="str">
        <f>"CLINIC"</f>
        <v>CLINIC</v>
      </c>
      <c r="B471" t="s">
        <v>126</v>
      </c>
      <c r="C471">
        <v>999999</v>
      </c>
      <c r="D471" s="2">
        <v>470.13</v>
      </c>
      <c r="E471" s="1">
        <v>43081</v>
      </c>
      <c r="F471" t="str">
        <f>"201712067215"</f>
        <v>201712067215</v>
      </c>
      <c r="G471" t="str">
        <f>"INDIGENT HEALTH"</f>
        <v>INDIGENT HEALTH</v>
      </c>
      <c r="H471" s="2">
        <v>470.13</v>
      </c>
      <c r="I471" t="str">
        <f>"INDIGENT HEALTH"</f>
        <v>INDIGENT HEALTH</v>
      </c>
    </row>
    <row r="472" spans="1:9" x14ac:dyDescent="0.3">
      <c r="A472" t="str">
        <f>"CLINIC"</f>
        <v>CLINIC</v>
      </c>
      <c r="B472" t="s">
        <v>126</v>
      </c>
      <c r="C472">
        <v>999999</v>
      </c>
      <c r="D472" s="2">
        <v>649.74</v>
      </c>
      <c r="E472" s="1">
        <v>43097</v>
      </c>
      <c r="F472" t="str">
        <f>"201711-0"</f>
        <v>201711-0</v>
      </c>
      <c r="G472" t="str">
        <f>"INV 201711-0"</f>
        <v>INV 201711-0</v>
      </c>
      <c r="H472" s="2">
        <v>39.700000000000003</v>
      </c>
      <c r="I472" t="str">
        <f>"INV 201711-0"</f>
        <v>INV 201711-0</v>
      </c>
    </row>
    <row r="473" spans="1:9" x14ac:dyDescent="0.3">
      <c r="A473" t="str">
        <f>""</f>
        <v/>
      </c>
      <c r="F473" t="str">
        <f>"201712207478"</f>
        <v>201712207478</v>
      </c>
      <c r="G473" t="str">
        <f>"INDIGENT HEALTH"</f>
        <v>INDIGENT HEALTH</v>
      </c>
      <c r="H473" s="2">
        <v>148.62</v>
      </c>
      <c r="I473" t="str">
        <f>"INDIGENT HEALTH"</f>
        <v>INDIGENT HEALTH</v>
      </c>
    </row>
    <row r="474" spans="1:9" x14ac:dyDescent="0.3">
      <c r="A474" t="str">
        <f>""</f>
        <v/>
      </c>
      <c r="F474" t="str">
        <f>"4160*98062*1"</f>
        <v>4160*98062*1</v>
      </c>
      <c r="G474" t="str">
        <f t="shared" ref="G474:G479" si="9">"JAIL PHYSICIAN SERVICES"</f>
        <v>JAIL PHYSICIAN SERVICES</v>
      </c>
      <c r="H474" s="2">
        <v>103.48</v>
      </c>
      <c r="I474" t="str">
        <f t="shared" ref="I474:I479" si="10">"JAIL PHYSICIAN SERVICES"</f>
        <v>JAIL PHYSICIAN SERVICES</v>
      </c>
    </row>
    <row r="475" spans="1:9" x14ac:dyDescent="0.3">
      <c r="A475" t="str">
        <f>""</f>
        <v/>
      </c>
      <c r="F475" t="str">
        <f>"4160*98062*2"</f>
        <v>4160*98062*2</v>
      </c>
      <c r="G475" t="str">
        <f t="shared" si="9"/>
        <v>JAIL PHYSICIAN SERVICES</v>
      </c>
      <c r="H475" s="2">
        <v>19.23</v>
      </c>
      <c r="I475" t="str">
        <f t="shared" si="10"/>
        <v>JAIL PHYSICIAN SERVICES</v>
      </c>
    </row>
    <row r="476" spans="1:9" x14ac:dyDescent="0.3">
      <c r="A476" t="str">
        <f>""</f>
        <v/>
      </c>
      <c r="F476" t="str">
        <f>"4160*98062*3"</f>
        <v>4160*98062*3</v>
      </c>
      <c r="G476" t="str">
        <f t="shared" si="9"/>
        <v>JAIL PHYSICIAN SERVICES</v>
      </c>
      <c r="H476" s="2">
        <v>274.02999999999997</v>
      </c>
      <c r="I476" t="str">
        <f t="shared" si="10"/>
        <v>JAIL PHYSICIAN SERVICES</v>
      </c>
    </row>
    <row r="477" spans="1:9" x14ac:dyDescent="0.3">
      <c r="A477" t="str">
        <f>""</f>
        <v/>
      </c>
      <c r="F477" t="str">
        <f>"4160*98062*4"</f>
        <v>4160*98062*4</v>
      </c>
      <c r="G477" t="str">
        <f t="shared" si="9"/>
        <v>JAIL PHYSICIAN SERVICES</v>
      </c>
      <c r="H477" s="2">
        <v>9.24</v>
      </c>
      <c r="I477" t="str">
        <f t="shared" si="10"/>
        <v>JAIL PHYSICIAN SERVICES</v>
      </c>
    </row>
    <row r="478" spans="1:9" x14ac:dyDescent="0.3">
      <c r="A478" t="str">
        <f>""</f>
        <v/>
      </c>
      <c r="F478" t="str">
        <f>"4160*98062*5"</f>
        <v>4160*98062*5</v>
      </c>
      <c r="G478" t="str">
        <f t="shared" si="9"/>
        <v>JAIL PHYSICIAN SERVICES</v>
      </c>
      <c r="H478" s="2">
        <v>9.5399999999999991</v>
      </c>
      <c r="I478" t="str">
        <f t="shared" si="10"/>
        <v>JAIL PHYSICIAN SERVICES</v>
      </c>
    </row>
    <row r="479" spans="1:9" x14ac:dyDescent="0.3">
      <c r="A479" t="str">
        <f>""</f>
        <v/>
      </c>
      <c r="F479" t="str">
        <f>"4160*98062*6"</f>
        <v>4160*98062*6</v>
      </c>
      <c r="G479" t="str">
        <f t="shared" si="9"/>
        <v>JAIL PHYSICIAN SERVICES</v>
      </c>
      <c r="H479" s="2">
        <v>45.9</v>
      </c>
      <c r="I479" t="str">
        <f t="shared" si="10"/>
        <v>JAIL PHYSICIAN SERVICES</v>
      </c>
    </row>
    <row r="480" spans="1:9" x14ac:dyDescent="0.3">
      <c r="A480" t="str">
        <f>"001020"</f>
        <v>001020</v>
      </c>
      <c r="B480" t="s">
        <v>127</v>
      </c>
      <c r="C480">
        <v>74118</v>
      </c>
      <c r="D480" s="2">
        <v>500</v>
      </c>
      <c r="E480" s="1">
        <v>43080</v>
      </c>
      <c r="F480" t="str">
        <f>"201711286766"</f>
        <v>201711286766</v>
      </c>
      <c r="G480" t="str">
        <f>"2018 CONFERENCE-C.GINSEL"</f>
        <v>2018 CONFERENCE-C.GINSEL</v>
      </c>
      <c r="H480" s="2">
        <v>250</v>
      </c>
      <c r="I480" t="str">
        <f>"2018 CONFERENCE"</f>
        <v>2018 CONFERENCE</v>
      </c>
    </row>
    <row r="481" spans="1:10" x14ac:dyDescent="0.3">
      <c r="A481" t="str">
        <f>""</f>
        <v/>
      </c>
      <c r="F481" t="str">
        <f>"201711286767"</f>
        <v>201711286767</v>
      </c>
      <c r="G481" t="str">
        <f>"2018 CONFERENCE-A.LEWIS"</f>
        <v>2018 CONFERENCE-A.LEWIS</v>
      </c>
      <c r="H481" s="2">
        <v>250</v>
      </c>
      <c r="I481" t="str">
        <f>"2018 CONFERENCE-A.LEWIS"</f>
        <v>2018 CONFERENCE-A.LEWIS</v>
      </c>
    </row>
    <row r="482" spans="1:10" x14ac:dyDescent="0.3">
      <c r="A482" t="str">
        <f>"005334"</f>
        <v>005334</v>
      </c>
      <c r="B482" t="s">
        <v>128</v>
      </c>
      <c r="C482">
        <v>74119</v>
      </c>
      <c r="D482" s="2">
        <v>265.12</v>
      </c>
      <c r="E482" s="1">
        <v>43080</v>
      </c>
      <c r="F482" t="str">
        <f>"CCS17310027"</f>
        <v>CCS17310027</v>
      </c>
      <c r="G482" t="str">
        <f>"REF #CCS17310027"</f>
        <v>REF #CCS17310027</v>
      </c>
      <c r="H482" s="2">
        <v>265.12</v>
      </c>
      <c r="I482" t="str">
        <f>"REF #CCS17310027"</f>
        <v>REF #CCS17310027</v>
      </c>
    </row>
    <row r="483" spans="1:10" x14ac:dyDescent="0.3">
      <c r="A483" t="str">
        <f>"005314"</f>
        <v>005314</v>
      </c>
      <c r="B483" t="s">
        <v>129</v>
      </c>
      <c r="C483">
        <v>74120</v>
      </c>
      <c r="D483" s="2">
        <v>25</v>
      </c>
      <c r="E483" s="1">
        <v>43080</v>
      </c>
      <c r="F483" t="str">
        <f>"201711286789"</f>
        <v>201711286789</v>
      </c>
      <c r="G483" t="str">
        <f>"FERAL HOGS"</f>
        <v>FERAL HOGS</v>
      </c>
      <c r="H483" s="2">
        <v>25</v>
      </c>
      <c r="I483" t="str">
        <f>"FERAL HOGS"</f>
        <v>FERAL HOGS</v>
      </c>
    </row>
    <row r="484" spans="1:10" x14ac:dyDescent="0.3">
      <c r="A484" t="str">
        <f>"003768"</f>
        <v>003768</v>
      </c>
      <c r="B484" t="s">
        <v>130</v>
      </c>
      <c r="C484">
        <v>74369</v>
      </c>
      <c r="D484" s="2">
        <v>108</v>
      </c>
      <c r="E484" s="1">
        <v>43096</v>
      </c>
      <c r="F484" t="str">
        <f>"171218BCE"</f>
        <v>171218BCE</v>
      </c>
      <c r="G484" t="str">
        <f>"VOLUNTEER DEPUTY REGISTRAR"</f>
        <v>VOLUNTEER DEPUTY REGISTRAR</v>
      </c>
      <c r="H484" s="2">
        <v>108</v>
      </c>
      <c r="I484" t="str">
        <f>"VOLUNTEER DEPUTY REGISTRAR"</f>
        <v>VOLUNTEER DEPUTY REGISTRAR</v>
      </c>
    </row>
    <row r="485" spans="1:10" x14ac:dyDescent="0.3">
      <c r="A485" t="str">
        <f>"003939"</f>
        <v>003939</v>
      </c>
      <c r="B485" t="s">
        <v>131</v>
      </c>
      <c r="C485">
        <v>999999</v>
      </c>
      <c r="D485" s="2">
        <v>1115.8499999999999</v>
      </c>
      <c r="E485" s="1">
        <v>43097</v>
      </c>
      <c r="F485" t="str">
        <f>"201712207479"</f>
        <v>201712207479</v>
      </c>
      <c r="G485" t="str">
        <f>"INDIGENT HEALTH"</f>
        <v>INDIGENT HEALTH</v>
      </c>
      <c r="H485" s="2">
        <v>1115.8499999999999</v>
      </c>
      <c r="I485" t="str">
        <f>"INDIGENT HEALTH"</f>
        <v>INDIGENT HEALTH</v>
      </c>
    </row>
    <row r="486" spans="1:10" x14ac:dyDescent="0.3">
      <c r="A486" t="str">
        <f>""</f>
        <v/>
      </c>
      <c r="F486" t="str">
        <f>""</f>
        <v/>
      </c>
      <c r="G486" t="str">
        <f>""</f>
        <v/>
      </c>
      <c r="I486" t="str">
        <f>"INDIGENT HEALTH"</f>
        <v>INDIGENT HEALTH</v>
      </c>
    </row>
    <row r="487" spans="1:10" x14ac:dyDescent="0.3">
      <c r="A487" t="str">
        <f>"CONTEC"</f>
        <v>CONTEC</v>
      </c>
      <c r="B487" t="s">
        <v>132</v>
      </c>
      <c r="C487">
        <v>74121</v>
      </c>
      <c r="D487" s="2">
        <v>1798</v>
      </c>
      <c r="E487" s="1">
        <v>43080</v>
      </c>
      <c r="F487" t="str">
        <f>"15968043"</f>
        <v>15968043</v>
      </c>
      <c r="G487" t="str">
        <f>"ACCT#434304/PCT#2"</f>
        <v>ACCT#434304/PCT#2</v>
      </c>
      <c r="H487" s="2">
        <v>1798</v>
      </c>
      <c r="I487" t="str">
        <f>"ACCT#434304/PCT#2"</f>
        <v>ACCT#434304/PCT#2</v>
      </c>
    </row>
    <row r="488" spans="1:10" x14ac:dyDescent="0.3">
      <c r="A488" t="str">
        <f>"CONTEC"</f>
        <v>CONTEC</v>
      </c>
      <c r="B488" t="s">
        <v>132</v>
      </c>
      <c r="C488">
        <v>74370</v>
      </c>
      <c r="D488" s="2">
        <v>3126</v>
      </c>
      <c r="E488" s="1">
        <v>43096</v>
      </c>
      <c r="F488" t="str">
        <f>"15205182  7/19/17"</f>
        <v>15205182  7/19/17</v>
      </c>
      <c r="G488" t="str">
        <f>"ACCT#456023/REF#12167703 SO/P4"</f>
        <v>ACCT#456023/REF#12167703 SO/P4</v>
      </c>
      <c r="H488" s="2">
        <v>498</v>
      </c>
      <c r="I488" t="str">
        <f>"ACCT#456023/REF#12167703 SO/P4"</f>
        <v>ACCT#456023/REF#12167703 SO/P4</v>
      </c>
    </row>
    <row r="489" spans="1:10" x14ac:dyDescent="0.3">
      <c r="A489" t="str">
        <f>""</f>
        <v/>
      </c>
      <c r="F489" t="str">
        <f>"16037670"</f>
        <v>16037670</v>
      </c>
      <c r="G489" t="str">
        <f>"ACCT#434304/REF#12870637SO/P4"</f>
        <v>ACCT#434304/REF#12870637SO/P4</v>
      </c>
      <c r="H489" s="2">
        <v>2628</v>
      </c>
      <c r="I489" t="str">
        <f>"ACCT#434304/REF#12870637SO/P4"</f>
        <v>ACCT#434304/REF#12870637SO/P4</v>
      </c>
    </row>
    <row r="490" spans="1:10" x14ac:dyDescent="0.3">
      <c r="A490" t="str">
        <f>"003723"</f>
        <v>003723</v>
      </c>
      <c r="B490" t="s">
        <v>133</v>
      </c>
      <c r="C490">
        <v>74122</v>
      </c>
      <c r="D490" s="2">
        <v>145.75</v>
      </c>
      <c r="E490" s="1">
        <v>43080</v>
      </c>
      <c r="F490" t="str">
        <f>"19521"</f>
        <v>19521</v>
      </c>
      <c r="G490" t="str">
        <f>"PATCH CABLES"</f>
        <v>PATCH CABLES</v>
      </c>
      <c r="H490" s="2">
        <v>145.75</v>
      </c>
      <c r="I490" t="str">
        <f>"PATCH CABLES"</f>
        <v>PATCH CABLES</v>
      </c>
    </row>
    <row r="491" spans="1:10" x14ac:dyDescent="0.3">
      <c r="A491" t="str">
        <f>"003723"</f>
        <v>003723</v>
      </c>
      <c r="B491" t="s">
        <v>133</v>
      </c>
      <c r="C491">
        <v>74371</v>
      </c>
      <c r="D491" s="2">
        <v>1989.21</v>
      </c>
      <c r="E491" s="1">
        <v>43096</v>
      </c>
      <c r="F491" t="str">
        <f>"19463"</f>
        <v>19463</v>
      </c>
      <c r="G491" t="str">
        <f>"PROJ:19463 DH MATERIALS"</f>
        <v>PROJ:19463 DH MATERIALS</v>
      </c>
      <c r="H491" s="2">
        <v>1989.21</v>
      </c>
      <c r="I491" t="str">
        <f>"PROJ:19463 DH MATERIALS"</f>
        <v>PROJ:19463 DH MATERIALS</v>
      </c>
    </row>
    <row r="492" spans="1:10" x14ac:dyDescent="0.3">
      <c r="A492" t="str">
        <f>"001894"</f>
        <v>001894</v>
      </c>
      <c r="B492" t="s">
        <v>134</v>
      </c>
      <c r="C492">
        <v>74372</v>
      </c>
      <c r="D492" s="2">
        <v>257.55</v>
      </c>
      <c r="E492" s="1">
        <v>43096</v>
      </c>
      <c r="F492" t="str">
        <f>"201712157342"</f>
        <v>201712157342</v>
      </c>
      <c r="G492" t="str">
        <f>"ACCT#38049/REF#290228/PCT#4"</f>
        <v>ACCT#38049/REF#290228/PCT#4</v>
      </c>
      <c r="H492" s="2">
        <v>257.55</v>
      </c>
      <c r="I492" t="str">
        <f>"ACCT#38049/REF#290228/PCT#4"</f>
        <v>ACCT#38049/REF#290228/PCT#4</v>
      </c>
    </row>
    <row r="493" spans="1:10" x14ac:dyDescent="0.3">
      <c r="A493" t="str">
        <f>"005315"</f>
        <v>005315</v>
      </c>
      <c r="B493" t="s">
        <v>135</v>
      </c>
      <c r="C493">
        <v>74123</v>
      </c>
      <c r="D493" s="2">
        <v>65</v>
      </c>
      <c r="E493" s="1">
        <v>43080</v>
      </c>
      <c r="F493" t="str">
        <f>"201711286790"</f>
        <v>201711286790</v>
      </c>
      <c r="G493" t="str">
        <f>"FERAL HOGS"</f>
        <v>FERAL HOGS</v>
      </c>
      <c r="H493" s="2">
        <v>65</v>
      </c>
      <c r="I493" t="str">
        <f>"FERAL HOGS"</f>
        <v>FERAL HOGS</v>
      </c>
    </row>
    <row r="494" spans="1:10" x14ac:dyDescent="0.3">
      <c r="A494" t="str">
        <f>"004106"</f>
        <v>004106</v>
      </c>
      <c r="B494" t="s">
        <v>136</v>
      </c>
      <c r="C494">
        <v>74124</v>
      </c>
      <c r="D494" s="2">
        <v>1500</v>
      </c>
      <c r="E494" s="1">
        <v>43080</v>
      </c>
      <c r="F494" t="str">
        <f>"NOVEMBER INVOICE"</f>
        <v>NOVEMBER INVOICE</v>
      </c>
      <c r="G494" t="str">
        <f>"NOVEMBER INVOICE"</f>
        <v>NOVEMBER INVOICE</v>
      </c>
      <c r="H494" s="2">
        <v>1500</v>
      </c>
      <c r="I494" t="str">
        <f>"NOVEMBER INVOICE"</f>
        <v>NOVEMBER INVOICE</v>
      </c>
    </row>
    <row r="495" spans="1:10" x14ac:dyDescent="0.3">
      <c r="A495" t="str">
        <f>"T9606"</f>
        <v>T9606</v>
      </c>
      <c r="B495" t="s">
        <v>137</v>
      </c>
      <c r="C495">
        <v>74125</v>
      </c>
      <c r="D495" s="2">
        <v>2</v>
      </c>
      <c r="E495" s="1">
        <v>43080</v>
      </c>
      <c r="F495" t="s">
        <v>119</v>
      </c>
      <c r="G495" t="s">
        <v>138</v>
      </c>
      <c r="H495" s="2" t="str">
        <f>"RESTITUTION-T. THOMAS"</f>
        <v>RESTITUTION-T. THOMAS</v>
      </c>
      <c r="I495" t="str">
        <f>"210-0000"</f>
        <v>210-0000</v>
      </c>
      <c r="J495">
        <v>2</v>
      </c>
    </row>
    <row r="496" spans="1:10" x14ac:dyDescent="0.3">
      <c r="A496" t="str">
        <f>"T11708"</f>
        <v>T11708</v>
      </c>
      <c r="B496" t="s">
        <v>139</v>
      </c>
      <c r="C496">
        <v>74126</v>
      </c>
      <c r="D496" s="2">
        <v>150</v>
      </c>
      <c r="E496" s="1">
        <v>43080</v>
      </c>
      <c r="F496" t="str">
        <f>"201712046928"</f>
        <v>201712046928</v>
      </c>
      <c r="G496" t="str">
        <f>"CLEANING SVCS/11-3 &amp; 11-17/P2"</f>
        <v>CLEANING SVCS/11-3 &amp; 11-17/P2</v>
      </c>
      <c r="H496" s="2">
        <v>150</v>
      </c>
      <c r="I496" t="str">
        <f>"CLEANING SVCS/11-3 &amp; 11-17/P2"</f>
        <v>CLEANING SVCS/11-3 &amp; 11-17/P2</v>
      </c>
    </row>
    <row r="497" spans="1:9" x14ac:dyDescent="0.3">
      <c r="A497" t="str">
        <f>"003136"</f>
        <v>003136</v>
      </c>
      <c r="B497" t="s">
        <v>140</v>
      </c>
      <c r="C497">
        <v>74431</v>
      </c>
      <c r="D497" s="2">
        <v>22.64</v>
      </c>
      <c r="E497" s="1">
        <v>43096</v>
      </c>
      <c r="F497" t="str">
        <f>"SJZ477"</f>
        <v>SJZ477</v>
      </c>
      <c r="G497" t="str">
        <f>"Reference ID SJZ477"</f>
        <v>Reference ID SJZ477</v>
      </c>
      <c r="H497" s="2">
        <v>17.16</v>
      </c>
      <c r="I497" t="str">
        <f>"Reference ID SJZ477"</f>
        <v>Reference ID SJZ477</v>
      </c>
    </row>
    <row r="498" spans="1:9" x14ac:dyDescent="0.3">
      <c r="A498" t="str">
        <f>""</f>
        <v/>
      </c>
      <c r="F498" t="str">
        <f>"TUA091"</f>
        <v>TUA091</v>
      </c>
      <c r="G498" t="str">
        <f>"Reference# TUA091"</f>
        <v>Reference# TUA091</v>
      </c>
      <c r="H498" s="2">
        <v>3.32</v>
      </c>
      <c r="I498" t="str">
        <f>"Reference# TUA091"</f>
        <v>Reference# TUA091</v>
      </c>
    </row>
    <row r="499" spans="1:9" x14ac:dyDescent="0.3">
      <c r="A499" t="str">
        <f>""</f>
        <v/>
      </c>
      <c r="F499" t="str">
        <f>"TUA435"</f>
        <v>TUA435</v>
      </c>
      <c r="G499" t="str">
        <f>"Reference ID TUA435"</f>
        <v>Reference ID TUA435</v>
      </c>
      <c r="H499" s="2">
        <v>2.16</v>
      </c>
      <c r="I499" t="str">
        <f>"Reference ID YUA"</f>
        <v>Reference ID YUA</v>
      </c>
    </row>
    <row r="500" spans="1:9" x14ac:dyDescent="0.3">
      <c r="A500" t="str">
        <f>"T8675"</f>
        <v>T8675</v>
      </c>
      <c r="B500" t="s">
        <v>141</v>
      </c>
      <c r="C500">
        <v>74127</v>
      </c>
      <c r="D500" s="2">
        <v>25</v>
      </c>
      <c r="E500" s="1">
        <v>43080</v>
      </c>
      <c r="F500" t="str">
        <f>"201712047011"</f>
        <v>201712047011</v>
      </c>
      <c r="G500" t="str">
        <f>"FERAL HOGS"</f>
        <v>FERAL HOGS</v>
      </c>
      <c r="H500" s="2">
        <v>25</v>
      </c>
      <c r="I500" t="str">
        <f>"FERAL HOGS"</f>
        <v>FERAL HOGS</v>
      </c>
    </row>
    <row r="501" spans="1:9" x14ac:dyDescent="0.3">
      <c r="A501" t="str">
        <f>"T9280"</f>
        <v>T9280</v>
      </c>
      <c r="B501" t="s">
        <v>142</v>
      </c>
      <c r="C501">
        <v>74128</v>
      </c>
      <c r="D501" s="2">
        <v>907.25</v>
      </c>
      <c r="E501" s="1">
        <v>43080</v>
      </c>
      <c r="F501" t="str">
        <f>"297719"</f>
        <v>297719</v>
      </c>
      <c r="G501" t="str">
        <f>"Reflective White"</f>
        <v>Reflective White</v>
      </c>
      <c r="H501" s="2">
        <v>907.25</v>
      </c>
      <c r="I501" t="str">
        <f>"Reflective White"</f>
        <v>Reflective White</v>
      </c>
    </row>
    <row r="502" spans="1:9" x14ac:dyDescent="0.3">
      <c r="A502" t="str">
        <f>""</f>
        <v/>
      </c>
      <c r="F502" t="str">
        <f>""</f>
        <v/>
      </c>
      <c r="G502" t="str">
        <f>""</f>
        <v/>
      </c>
      <c r="I502" t="str">
        <f>"Shipping"</f>
        <v>Shipping</v>
      </c>
    </row>
    <row r="503" spans="1:9" x14ac:dyDescent="0.3">
      <c r="A503" t="str">
        <f>"004346"</f>
        <v>004346</v>
      </c>
      <c r="B503" t="s">
        <v>143</v>
      </c>
      <c r="C503">
        <v>74129</v>
      </c>
      <c r="D503" s="2">
        <v>460</v>
      </c>
      <c r="E503" s="1">
        <v>43080</v>
      </c>
      <c r="F503" t="str">
        <f>"201711286791"</f>
        <v>201711286791</v>
      </c>
      <c r="G503" t="str">
        <f>"FERAL HOGS"</f>
        <v>FERAL HOGS</v>
      </c>
      <c r="H503" s="2">
        <v>200</v>
      </c>
      <c r="I503" t="str">
        <f>"FERAL HOGS"</f>
        <v>FERAL HOGS</v>
      </c>
    </row>
    <row r="504" spans="1:9" x14ac:dyDescent="0.3">
      <c r="A504" t="str">
        <f>""</f>
        <v/>
      </c>
      <c r="F504" t="str">
        <f>"201711286792"</f>
        <v>201711286792</v>
      </c>
      <c r="G504" t="str">
        <f>"FERAL HOGS"</f>
        <v>FERAL HOGS</v>
      </c>
      <c r="H504" s="2">
        <v>260</v>
      </c>
      <c r="I504" t="str">
        <f>"FERAL HOGS"</f>
        <v>FERAL HOGS</v>
      </c>
    </row>
    <row r="505" spans="1:9" x14ac:dyDescent="0.3">
      <c r="A505" t="str">
        <f>"T7935"</f>
        <v>T7935</v>
      </c>
      <c r="B505" t="s">
        <v>144</v>
      </c>
      <c r="C505">
        <v>74130</v>
      </c>
      <c r="D505" s="2">
        <v>140.32</v>
      </c>
      <c r="E505" s="1">
        <v>43080</v>
      </c>
      <c r="F505" t="str">
        <f>"31512381 - 53"</f>
        <v>31512381 - 53</v>
      </c>
      <c r="G505" t="str">
        <f>"SCH#216/COPIER"</f>
        <v>SCH#216/COPIER</v>
      </c>
      <c r="H505" s="2">
        <v>140.32</v>
      </c>
      <c r="I505" t="str">
        <f>"SCH#216/COPIER"</f>
        <v>SCH#216/COPIER</v>
      </c>
    </row>
    <row r="506" spans="1:9" x14ac:dyDescent="0.3">
      <c r="A506" t="str">
        <f>"003460"</f>
        <v>003460</v>
      </c>
      <c r="B506" t="s">
        <v>145</v>
      </c>
      <c r="C506">
        <v>74131</v>
      </c>
      <c r="D506" s="2">
        <v>140</v>
      </c>
      <c r="E506" s="1">
        <v>43080</v>
      </c>
      <c r="F506" t="str">
        <f>"201711286793"</f>
        <v>201711286793</v>
      </c>
      <c r="G506" t="str">
        <f>"FERAL HOGS"</f>
        <v>FERAL HOGS</v>
      </c>
      <c r="H506" s="2">
        <v>140</v>
      </c>
      <c r="I506" t="str">
        <f>"FERAL HOGS"</f>
        <v>FERAL HOGS</v>
      </c>
    </row>
    <row r="507" spans="1:9" x14ac:dyDescent="0.3">
      <c r="A507" t="str">
        <f>"004018"</f>
        <v>004018</v>
      </c>
      <c r="B507" t="s">
        <v>146</v>
      </c>
      <c r="C507">
        <v>74132</v>
      </c>
      <c r="D507" s="2">
        <v>155</v>
      </c>
      <c r="E507" s="1">
        <v>43080</v>
      </c>
      <c r="F507" t="str">
        <f>"201711286794"</f>
        <v>201711286794</v>
      </c>
      <c r="G507" t="str">
        <f>"FERAL HOGS"</f>
        <v>FERAL HOGS</v>
      </c>
      <c r="H507" s="2">
        <v>40</v>
      </c>
      <c r="I507" t="str">
        <f>"FERAL HOGS"</f>
        <v>FERAL HOGS</v>
      </c>
    </row>
    <row r="508" spans="1:9" x14ac:dyDescent="0.3">
      <c r="A508" t="str">
        <f>""</f>
        <v/>
      </c>
      <c r="F508" t="str">
        <f>"201712047013"</f>
        <v>201712047013</v>
      </c>
      <c r="G508" t="str">
        <f>"FERAL HOGS"</f>
        <v>FERAL HOGS</v>
      </c>
      <c r="H508" s="2">
        <v>115</v>
      </c>
      <c r="I508" t="str">
        <f>"FERAL HOGS"</f>
        <v>FERAL HOGS</v>
      </c>
    </row>
    <row r="509" spans="1:9" x14ac:dyDescent="0.3">
      <c r="A509" t="str">
        <f>"BROOKS"</f>
        <v>BROOKS</v>
      </c>
      <c r="B509" t="s">
        <v>147</v>
      </c>
      <c r="C509">
        <v>74133</v>
      </c>
      <c r="D509" s="2">
        <v>100</v>
      </c>
      <c r="E509" s="1">
        <v>43080</v>
      </c>
      <c r="F509" t="str">
        <f>"201712057100"</f>
        <v>201712057100</v>
      </c>
      <c r="G509" t="str">
        <f>"LEGAL CONSULT. NOV-2017"</f>
        <v>LEGAL CONSULT. NOV-2017</v>
      </c>
      <c r="H509" s="2">
        <v>100</v>
      </c>
      <c r="I509" t="str">
        <f>"LEGAL CONSULT. NOV-2017"</f>
        <v>LEGAL CONSULT. NOV-2017</v>
      </c>
    </row>
    <row r="510" spans="1:9" x14ac:dyDescent="0.3">
      <c r="A510" t="str">
        <f>"005018"</f>
        <v>005018</v>
      </c>
      <c r="B510" t="s">
        <v>148</v>
      </c>
      <c r="C510">
        <v>74134</v>
      </c>
      <c r="D510" s="2">
        <v>10</v>
      </c>
      <c r="E510" s="1">
        <v>43080</v>
      </c>
      <c r="F510" t="str">
        <f>"201712047014"</f>
        <v>201712047014</v>
      </c>
      <c r="G510" t="str">
        <f>"FERAL HOGS"</f>
        <v>FERAL HOGS</v>
      </c>
      <c r="H510" s="2">
        <v>10</v>
      </c>
      <c r="I510" t="str">
        <f>"FERAL HOGS"</f>
        <v>FERAL HOGS</v>
      </c>
    </row>
    <row r="511" spans="1:9" x14ac:dyDescent="0.3">
      <c r="A511" t="str">
        <f>"003335"</f>
        <v>003335</v>
      </c>
      <c r="B511" t="s">
        <v>149</v>
      </c>
      <c r="C511">
        <v>999999</v>
      </c>
      <c r="D511" s="2">
        <v>650</v>
      </c>
      <c r="E511" s="1">
        <v>43081</v>
      </c>
      <c r="F511" t="str">
        <f>"201712046888"</f>
        <v>201712046888</v>
      </c>
      <c r="G511" t="str">
        <f>"17-18636"</f>
        <v>17-18636</v>
      </c>
      <c r="H511" s="2">
        <v>100</v>
      </c>
      <c r="I511" t="str">
        <f>"17-18636"</f>
        <v>17-18636</v>
      </c>
    </row>
    <row r="512" spans="1:9" x14ac:dyDescent="0.3">
      <c r="A512" t="str">
        <f>""</f>
        <v/>
      </c>
      <c r="F512" t="str">
        <f>"201712046889"</f>
        <v>201712046889</v>
      </c>
      <c r="G512" t="str">
        <f>"15-17193"</f>
        <v>15-17193</v>
      </c>
      <c r="H512" s="2">
        <v>100</v>
      </c>
      <c r="I512" t="str">
        <f>"15-17193"</f>
        <v>15-17193</v>
      </c>
    </row>
    <row r="513" spans="1:9" x14ac:dyDescent="0.3">
      <c r="A513" t="str">
        <f>""</f>
        <v/>
      </c>
      <c r="F513" t="str">
        <f>"201712046890"</f>
        <v>201712046890</v>
      </c>
      <c r="G513" t="str">
        <f>"15-17398"</f>
        <v>15-17398</v>
      </c>
      <c r="H513" s="2">
        <v>100</v>
      </c>
      <c r="I513" t="str">
        <f>"15-17398"</f>
        <v>15-17398</v>
      </c>
    </row>
    <row r="514" spans="1:9" x14ac:dyDescent="0.3">
      <c r="A514" t="str">
        <f>""</f>
        <v/>
      </c>
      <c r="F514" t="str">
        <f>"201712046891"</f>
        <v>201712046891</v>
      </c>
      <c r="G514" t="str">
        <f>"16-17819"</f>
        <v>16-17819</v>
      </c>
      <c r="H514" s="2">
        <v>150</v>
      </c>
      <c r="I514" t="str">
        <f>"16-17819"</f>
        <v>16-17819</v>
      </c>
    </row>
    <row r="515" spans="1:9" x14ac:dyDescent="0.3">
      <c r="A515" t="str">
        <f>""</f>
        <v/>
      </c>
      <c r="F515" t="str">
        <f>"201712067198"</f>
        <v>201712067198</v>
      </c>
      <c r="G515" t="str">
        <f>"12-14967"</f>
        <v>12-14967</v>
      </c>
      <c r="H515" s="2">
        <v>100</v>
      </c>
      <c r="I515" t="str">
        <f>"12-14967"</f>
        <v>12-14967</v>
      </c>
    </row>
    <row r="516" spans="1:9" x14ac:dyDescent="0.3">
      <c r="A516" t="str">
        <f>""</f>
        <v/>
      </c>
      <c r="F516" t="str">
        <f>"201712067199"</f>
        <v>201712067199</v>
      </c>
      <c r="G516" t="str">
        <f>"13-15668"</f>
        <v>13-15668</v>
      </c>
      <c r="H516" s="2">
        <v>100</v>
      </c>
      <c r="I516" t="str">
        <f>"13-15668"</f>
        <v>13-15668</v>
      </c>
    </row>
    <row r="517" spans="1:9" x14ac:dyDescent="0.3">
      <c r="A517" t="str">
        <f>"003335"</f>
        <v>003335</v>
      </c>
      <c r="B517" t="s">
        <v>149</v>
      </c>
      <c r="C517">
        <v>999999</v>
      </c>
      <c r="D517" s="2">
        <v>570</v>
      </c>
      <c r="E517" s="1">
        <v>43097</v>
      </c>
      <c r="F517" t="str">
        <f>"201712197390"</f>
        <v>201712197390</v>
      </c>
      <c r="G517" t="str">
        <f>"17-18754"</f>
        <v>17-18754</v>
      </c>
      <c r="H517" s="2">
        <v>137.5</v>
      </c>
      <c r="I517" t="str">
        <f>"17-18754"</f>
        <v>17-18754</v>
      </c>
    </row>
    <row r="518" spans="1:9" x14ac:dyDescent="0.3">
      <c r="A518" t="str">
        <f>""</f>
        <v/>
      </c>
      <c r="F518" t="str">
        <f>"201712197391"</f>
        <v>201712197391</v>
      </c>
      <c r="G518" t="str">
        <f>"16-17819"</f>
        <v>16-17819</v>
      </c>
      <c r="H518" s="2">
        <v>100</v>
      </c>
      <c r="I518" t="str">
        <f>"16-17819"</f>
        <v>16-17819</v>
      </c>
    </row>
    <row r="519" spans="1:9" x14ac:dyDescent="0.3">
      <c r="A519" t="str">
        <f>""</f>
        <v/>
      </c>
      <c r="F519" t="str">
        <f>"201712197392"</f>
        <v>201712197392</v>
      </c>
      <c r="G519" t="str">
        <f>"17-18637"</f>
        <v>17-18637</v>
      </c>
      <c r="H519" s="2">
        <v>332.5</v>
      </c>
      <c r="I519" t="str">
        <f>"17-18637"</f>
        <v>17-18637</v>
      </c>
    </row>
    <row r="520" spans="1:9" x14ac:dyDescent="0.3">
      <c r="A520" t="str">
        <f>"003329"</f>
        <v>003329</v>
      </c>
      <c r="B520" t="s">
        <v>150</v>
      </c>
      <c r="C520">
        <v>74135</v>
      </c>
      <c r="D520" s="2">
        <v>60</v>
      </c>
      <c r="E520" s="1">
        <v>43080</v>
      </c>
      <c r="F520" t="str">
        <f>"201712047015"</f>
        <v>201712047015</v>
      </c>
      <c r="G520" t="str">
        <f>"FERAL HOGS"</f>
        <v>FERAL HOGS</v>
      </c>
      <c r="H520" s="2">
        <v>60</v>
      </c>
      <c r="I520" t="str">
        <f>"FERAL HOGS"</f>
        <v>FERAL HOGS</v>
      </c>
    </row>
    <row r="521" spans="1:9" x14ac:dyDescent="0.3">
      <c r="A521" t="str">
        <f>"DELL"</f>
        <v>DELL</v>
      </c>
      <c r="B521" t="s">
        <v>151</v>
      </c>
      <c r="C521">
        <v>74136</v>
      </c>
      <c r="D521" s="2">
        <v>2574</v>
      </c>
      <c r="E521" s="1">
        <v>43080</v>
      </c>
      <c r="F521" t="str">
        <f>"10203202210"</f>
        <v>10203202210</v>
      </c>
      <c r="G521" t="str">
        <f>"Extended Warranty"</f>
        <v>Extended Warranty</v>
      </c>
      <c r="H521" s="2">
        <v>2574</v>
      </c>
      <c r="I521" t="str">
        <f>"9L1DQ22"</f>
        <v>9L1DQ22</v>
      </c>
    </row>
    <row r="522" spans="1:9" x14ac:dyDescent="0.3">
      <c r="A522" t="str">
        <f>""</f>
        <v/>
      </c>
      <c r="F522" t="str">
        <f>""</f>
        <v/>
      </c>
      <c r="G522" t="str">
        <f>""</f>
        <v/>
      </c>
      <c r="I522" t="str">
        <f>"CN9WR22"</f>
        <v>CN9WR22</v>
      </c>
    </row>
    <row r="523" spans="1:9" x14ac:dyDescent="0.3">
      <c r="A523" t="str">
        <f>""</f>
        <v/>
      </c>
      <c r="F523" t="str">
        <f>""</f>
        <v/>
      </c>
      <c r="G523" t="str">
        <f>""</f>
        <v/>
      </c>
      <c r="I523" t="str">
        <f>"CN9XR22"</f>
        <v>CN9XR22</v>
      </c>
    </row>
    <row r="524" spans="1:9" x14ac:dyDescent="0.3">
      <c r="A524" t="str">
        <f>""</f>
        <v/>
      </c>
      <c r="F524" t="str">
        <f>""</f>
        <v/>
      </c>
      <c r="G524" t="str">
        <f>""</f>
        <v/>
      </c>
      <c r="I524" t="str">
        <f>"D7ZWQ22"</f>
        <v>D7ZWQ22</v>
      </c>
    </row>
    <row r="525" spans="1:9" x14ac:dyDescent="0.3">
      <c r="A525" t="str">
        <f>""</f>
        <v/>
      </c>
      <c r="F525" t="str">
        <f>""</f>
        <v/>
      </c>
      <c r="G525" t="str">
        <f>""</f>
        <v/>
      </c>
      <c r="I525" t="str">
        <f>"D7ZXQ22"</f>
        <v>D7ZXQ22</v>
      </c>
    </row>
    <row r="526" spans="1:9" x14ac:dyDescent="0.3">
      <c r="A526" t="str">
        <f>""</f>
        <v/>
      </c>
      <c r="F526" t="str">
        <f>""</f>
        <v/>
      </c>
      <c r="G526" t="str">
        <f>""</f>
        <v/>
      </c>
      <c r="I526" t="str">
        <f>"D80XQ22"</f>
        <v>D80XQ22</v>
      </c>
    </row>
    <row r="527" spans="1:9" x14ac:dyDescent="0.3">
      <c r="A527" t="str">
        <f>""</f>
        <v/>
      </c>
      <c r="F527" t="str">
        <f>""</f>
        <v/>
      </c>
      <c r="G527" t="str">
        <f>""</f>
        <v/>
      </c>
      <c r="I527" t="str">
        <f>"D80YQ22"</f>
        <v>D80YQ22</v>
      </c>
    </row>
    <row r="528" spans="1:9" x14ac:dyDescent="0.3">
      <c r="A528" t="str">
        <f>""</f>
        <v/>
      </c>
      <c r="F528" t="str">
        <f>""</f>
        <v/>
      </c>
      <c r="G528" t="str">
        <f>""</f>
        <v/>
      </c>
      <c r="I528" t="str">
        <f>"D80ZQ22"</f>
        <v>D80ZQ22</v>
      </c>
    </row>
    <row r="529" spans="1:9" x14ac:dyDescent="0.3">
      <c r="A529" t="str">
        <f>""</f>
        <v/>
      </c>
      <c r="F529" t="str">
        <f>""</f>
        <v/>
      </c>
      <c r="G529" t="str">
        <f>""</f>
        <v/>
      </c>
      <c r="I529" t="str">
        <f>"D810R22"</f>
        <v>D810R22</v>
      </c>
    </row>
    <row r="530" spans="1:9" x14ac:dyDescent="0.3">
      <c r="A530" t="str">
        <f>""</f>
        <v/>
      </c>
      <c r="F530" t="str">
        <f>""</f>
        <v/>
      </c>
      <c r="G530" t="str">
        <f>""</f>
        <v/>
      </c>
      <c r="I530" t="str">
        <f>"D814R22"</f>
        <v>D814R22</v>
      </c>
    </row>
    <row r="531" spans="1:9" x14ac:dyDescent="0.3">
      <c r="A531" t="str">
        <f>""</f>
        <v/>
      </c>
      <c r="F531" t="str">
        <f>""</f>
        <v/>
      </c>
      <c r="G531" t="str">
        <f>""</f>
        <v/>
      </c>
      <c r="I531" t="str">
        <f>"ED815R22"</f>
        <v>ED815R22</v>
      </c>
    </row>
    <row r="532" spans="1:9" x14ac:dyDescent="0.3">
      <c r="A532" t="str">
        <f>""</f>
        <v/>
      </c>
      <c r="F532" t="str">
        <f>""</f>
        <v/>
      </c>
      <c r="G532" t="str">
        <f>""</f>
        <v/>
      </c>
      <c r="I532" t="str">
        <f>"D816R22"</f>
        <v>D816R22</v>
      </c>
    </row>
    <row r="533" spans="1:9" x14ac:dyDescent="0.3">
      <c r="A533" t="str">
        <f>""</f>
        <v/>
      </c>
      <c r="F533" t="str">
        <f>""</f>
        <v/>
      </c>
      <c r="G533" t="str">
        <f>""</f>
        <v/>
      </c>
      <c r="I533" t="str">
        <f>"DCCTR22"</f>
        <v>DCCTR22</v>
      </c>
    </row>
    <row r="534" spans="1:9" x14ac:dyDescent="0.3">
      <c r="A534" t="str">
        <f>""</f>
        <v/>
      </c>
      <c r="F534" t="str">
        <f>""</f>
        <v/>
      </c>
      <c r="G534" t="str">
        <f>""</f>
        <v/>
      </c>
      <c r="I534" t="str">
        <f>"HZVTP22"</f>
        <v>HZVTP22</v>
      </c>
    </row>
    <row r="535" spans="1:9" x14ac:dyDescent="0.3">
      <c r="A535" t="str">
        <f>""</f>
        <v/>
      </c>
      <c r="F535" t="str">
        <f>""</f>
        <v/>
      </c>
      <c r="G535" t="str">
        <f>""</f>
        <v/>
      </c>
      <c r="I535" t="str">
        <f>"JS25P12"</f>
        <v>JS25P12</v>
      </c>
    </row>
    <row r="536" spans="1:9" x14ac:dyDescent="0.3">
      <c r="A536" t="str">
        <f>""</f>
        <v/>
      </c>
      <c r="F536" t="str">
        <f>""</f>
        <v/>
      </c>
      <c r="G536" t="str">
        <f>""</f>
        <v/>
      </c>
      <c r="I536" t="str">
        <f>"9HVTN22"</f>
        <v>9HVTN22</v>
      </c>
    </row>
    <row r="537" spans="1:9" x14ac:dyDescent="0.3">
      <c r="A537" t="str">
        <f>""</f>
        <v/>
      </c>
      <c r="F537" t="str">
        <f>""</f>
        <v/>
      </c>
      <c r="G537" t="str">
        <f>""</f>
        <v/>
      </c>
      <c r="I537" t="str">
        <f>"9J0VN22"</f>
        <v>9J0VN22</v>
      </c>
    </row>
    <row r="538" spans="1:9" x14ac:dyDescent="0.3">
      <c r="A538" t="str">
        <f>""</f>
        <v/>
      </c>
      <c r="F538" t="str">
        <f>""</f>
        <v/>
      </c>
      <c r="G538" t="str">
        <f>""</f>
        <v/>
      </c>
      <c r="I538" t="str">
        <f>"GV7HP22"</f>
        <v>GV7HP22</v>
      </c>
    </row>
    <row r="539" spans="1:9" x14ac:dyDescent="0.3">
      <c r="A539" t="str">
        <f>""</f>
        <v/>
      </c>
      <c r="F539" t="str">
        <f>""</f>
        <v/>
      </c>
      <c r="G539" t="str">
        <f>""</f>
        <v/>
      </c>
      <c r="I539" t="str">
        <f>"27PHP22"</f>
        <v>27PHP22</v>
      </c>
    </row>
    <row r="540" spans="1:9" x14ac:dyDescent="0.3">
      <c r="A540" t="str">
        <f>""</f>
        <v/>
      </c>
      <c r="F540" t="str">
        <f>""</f>
        <v/>
      </c>
      <c r="G540" t="str">
        <f>""</f>
        <v/>
      </c>
      <c r="I540" t="str">
        <f>"2Y5DP22"</f>
        <v>2Y5DP22</v>
      </c>
    </row>
    <row r="541" spans="1:9" x14ac:dyDescent="0.3">
      <c r="A541" t="str">
        <f>""</f>
        <v/>
      </c>
      <c r="F541" t="str">
        <f>""</f>
        <v/>
      </c>
      <c r="G541" t="str">
        <f>""</f>
        <v/>
      </c>
      <c r="I541" t="str">
        <f>"4VJ0R22"</f>
        <v>4VJ0R22</v>
      </c>
    </row>
    <row r="542" spans="1:9" x14ac:dyDescent="0.3">
      <c r="A542" t="str">
        <f>""</f>
        <v/>
      </c>
      <c r="F542" t="str">
        <f>""</f>
        <v/>
      </c>
      <c r="G542" t="str">
        <f>""</f>
        <v/>
      </c>
      <c r="I542" t="str">
        <f>"4XQ0R22"</f>
        <v>4XQ0R22</v>
      </c>
    </row>
    <row r="543" spans="1:9" x14ac:dyDescent="0.3">
      <c r="A543" t="str">
        <f>""</f>
        <v/>
      </c>
      <c r="F543" t="str">
        <f>""</f>
        <v/>
      </c>
      <c r="G543" t="str">
        <f>""</f>
        <v/>
      </c>
      <c r="I543" t="str">
        <f>"6025P12"</f>
        <v>6025P12</v>
      </c>
    </row>
    <row r="544" spans="1:9" x14ac:dyDescent="0.3">
      <c r="A544" t="str">
        <f>""</f>
        <v/>
      </c>
      <c r="F544" t="str">
        <f>""</f>
        <v/>
      </c>
      <c r="G544" t="str">
        <f>""</f>
        <v/>
      </c>
      <c r="I544" t="str">
        <f>"6025P12"</f>
        <v>6025P12</v>
      </c>
    </row>
    <row r="545" spans="1:9" x14ac:dyDescent="0.3">
      <c r="A545" t="str">
        <f>""</f>
        <v/>
      </c>
      <c r="F545" t="str">
        <f>""</f>
        <v/>
      </c>
      <c r="G545" t="str">
        <f>""</f>
        <v/>
      </c>
      <c r="I545" t="str">
        <f>"6C25P12"</f>
        <v>6C25P12</v>
      </c>
    </row>
    <row r="546" spans="1:9" x14ac:dyDescent="0.3">
      <c r="A546" t="str">
        <f>""</f>
        <v/>
      </c>
      <c r="F546" t="str">
        <f>""</f>
        <v/>
      </c>
      <c r="G546" t="str">
        <f>""</f>
        <v/>
      </c>
      <c r="I546" t="str">
        <f>"6C25P12"</f>
        <v>6C25P12</v>
      </c>
    </row>
    <row r="547" spans="1:9" x14ac:dyDescent="0.3">
      <c r="A547" t="str">
        <f>""</f>
        <v/>
      </c>
      <c r="F547" t="str">
        <f>""</f>
        <v/>
      </c>
      <c r="G547" t="str">
        <f>""</f>
        <v/>
      </c>
      <c r="I547" t="str">
        <f>"GTV7Q12"</f>
        <v>GTV7Q12</v>
      </c>
    </row>
    <row r="548" spans="1:9" x14ac:dyDescent="0.3">
      <c r="A548" t="str">
        <f>""</f>
        <v/>
      </c>
      <c r="F548" t="str">
        <f>""</f>
        <v/>
      </c>
      <c r="G548" t="str">
        <f>""</f>
        <v/>
      </c>
      <c r="I548" t="str">
        <f>"GTV7Q12"</f>
        <v>GTV7Q12</v>
      </c>
    </row>
    <row r="549" spans="1:9" x14ac:dyDescent="0.3">
      <c r="A549" t="str">
        <f>""</f>
        <v/>
      </c>
      <c r="F549" t="str">
        <f>""</f>
        <v/>
      </c>
      <c r="G549" t="str">
        <f>""</f>
        <v/>
      </c>
      <c r="I549" t="str">
        <f>"8K76Q12"</f>
        <v>8K76Q12</v>
      </c>
    </row>
    <row r="550" spans="1:9" x14ac:dyDescent="0.3">
      <c r="A550" t="str">
        <f>""</f>
        <v/>
      </c>
      <c r="F550" t="str">
        <f>""</f>
        <v/>
      </c>
      <c r="G550" t="str">
        <f>""</f>
        <v/>
      </c>
      <c r="I550" t="str">
        <f>"8K76Q12"</f>
        <v>8K76Q12</v>
      </c>
    </row>
    <row r="551" spans="1:9" x14ac:dyDescent="0.3">
      <c r="A551" t="str">
        <f>"DELL"</f>
        <v>DELL</v>
      </c>
      <c r="B551" t="s">
        <v>151</v>
      </c>
      <c r="C551">
        <v>74373</v>
      </c>
      <c r="D551" s="2">
        <v>5950.2</v>
      </c>
      <c r="E551" s="1">
        <v>43096</v>
      </c>
      <c r="F551" t="str">
        <f>"10208820197"</f>
        <v>10208820197</v>
      </c>
      <c r="G551" t="str">
        <f>"Optiplex 7050"</f>
        <v>Optiplex 7050</v>
      </c>
      <c r="H551" s="2">
        <v>663.03</v>
      </c>
      <c r="I551" t="str">
        <f>"Optiplex 7050"</f>
        <v>Optiplex 7050</v>
      </c>
    </row>
    <row r="552" spans="1:9" x14ac:dyDescent="0.3">
      <c r="A552" t="str">
        <f>""</f>
        <v/>
      </c>
      <c r="F552" t="str">
        <f>"10210577242"</f>
        <v>10210577242</v>
      </c>
      <c r="G552" t="str">
        <f>"Dell XPS 13"</f>
        <v>Dell XPS 13</v>
      </c>
      <c r="H552" s="2">
        <v>2193.2800000000002</v>
      </c>
      <c r="I552" t="str">
        <f>"Dell XPS 13"</f>
        <v>Dell XPS 13</v>
      </c>
    </row>
    <row r="553" spans="1:9" x14ac:dyDescent="0.3">
      <c r="A553" t="str">
        <f>""</f>
        <v/>
      </c>
      <c r="F553" t="str">
        <f>"10210670671"</f>
        <v>10210670671</v>
      </c>
      <c r="G553" t="str">
        <f>"DELL"</f>
        <v>DELL</v>
      </c>
      <c r="H553" s="2">
        <v>900.61</v>
      </c>
      <c r="I553" t="str">
        <f>"XPS 13 SILVER"</f>
        <v>XPS 13 SILVER</v>
      </c>
    </row>
    <row r="554" spans="1:9" x14ac:dyDescent="0.3">
      <c r="A554" t="str">
        <f>""</f>
        <v/>
      </c>
      <c r="F554" t="str">
        <f>"10210821850"</f>
        <v>10210821850</v>
      </c>
      <c r="G554" t="str">
        <f>"Dell XPS 13"</f>
        <v>Dell XPS 13</v>
      </c>
      <c r="H554" s="2">
        <v>2193.2800000000002</v>
      </c>
      <c r="I554" t="str">
        <f>"Dell XPS 13"</f>
        <v>Dell XPS 13</v>
      </c>
    </row>
    <row r="555" spans="1:9" x14ac:dyDescent="0.3">
      <c r="A555" t="str">
        <f>""</f>
        <v/>
      </c>
      <c r="F555" t="str">
        <f>""</f>
        <v/>
      </c>
      <c r="G555" t="str">
        <f>""</f>
        <v/>
      </c>
      <c r="I555" t="str">
        <f>"Dell Adapter-USB-C"</f>
        <v>Dell Adapter-USB-C</v>
      </c>
    </row>
    <row r="556" spans="1:9" x14ac:dyDescent="0.3">
      <c r="A556" t="str">
        <f>""</f>
        <v/>
      </c>
      <c r="F556" t="str">
        <f>""</f>
        <v/>
      </c>
      <c r="G556" t="str">
        <f>""</f>
        <v/>
      </c>
      <c r="I556" t="str">
        <f>"Dell Preimer Sleeve"</f>
        <v>Dell Preimer Sleeve</v>
      </c>
    </row>
    <row r="557" spans="1:9" x14ac:dyDescent="0.3">
      <c r="A557" t="str">
        <f>"T5686"</f>
        <v>T5686</v>
      </c>
      <c r="B557" t="s">
        <v>152</v>
      </c>
      <c r="C557">
        <v>74137</v>
      </c>
      <c r="D557" s="2">
        <v>65.2</v>
      </c>
      <c r="E557" s="1">
        <v>43080</v>
      </c>
      <c r="F557" t="str">
        <f>"23957"</f>
        <v>23957</v>
      </c>
      <c r="G557" t="str">
        <f>"DUPLICATE KEYS"</f>
        <v>DUPLICATE KEYS</v>
      </c>
      <c r="H557" s="2">
        <v>8</v>
      </c>
      <c r="I557" t="str">
        <f>"DUPLICATE KEYS"</f>
        <v>DUPLICATE KEYS</v>
      </c>
    </row>
    <row r="558" spans="1:9" x14ac:dyDescent="0.3">
      <c r="A558" t="str">
        <f>""</f>
        <v/>
      </c>
      <c r="F558" t="str">
        <f>"23991"</f>
        <v>23991</v>
      </c>
      <c r="G558" t="str">
        <f>"DUPLICATE KEYS/NEW SHOP"</f>
        <v>DUPLICATE KEYS/NEW SHOP</v>
      </c>
      <c r="H558" s="2">
        <v>40</v>
      </c>
      <c r="I558" t="str">
        <f>"DUPLICATE KEYS/NEW SHOP"</f>
        <v>DUPLICATE KEYS/NEW SHOP</v>
      </c>
    </row>
    <row r="559" spans="1:9" x14ac:dyDescent="0.3">
      <c r="A559" t="str">
        <f>""</f>
        <v/>
      </c>
      <c r="F559" t="str">
        <f>"24015"</f>
        <v>24015</v>
      </c>
      <c r="G559" t="str">
        <f>"PADLOCK/PCT#1"</f>
        <v>PADLOCK/PCT#1</v>
      </c>
      <c r="H559" s="2">
        <v>17.2</v>
      </c>
      <c r="I559" t="str">
        <f>"PADLOCK/PCT#1"</f>
        <v>PADLOCK/PCT#1</v>
      </c>
    </row>
    <row r="560" spans="1:9" x14ac:dyDescent="0.3">
      <c r="A560" t="str">
        <f>"T5686"</f>
        <v>T5686</v>
      </c>
      <c r="B560" t="s">
        <v>152</v>
      </c>
      <c r="C560">
        <v>74374</v>
      </c>
      <c r="D560" s="2">
        <v>362.65</v>
      </c>
      <c r="E560" s="1">
        <v>43096</v>
      </c>
      <c r="F560" t="str">
        <f>"24033"</f>
        <v>24033</v>
      </c>
      <c r="G560" t="str">
        <f>"INV 24033"</f>
        <v>INV 24033</v>
      </c>
      <c r="H560" s="2">
        <v>20</v>
      </c>
      <c r="I560" t="str">
        <f>"INV 24033"</f>
        <v>INV 24033</v>
      </c>
    </row>
    <row r="561" spans="1:9" x14ac:dyDescent="0.3">
      <c r="A561" t="str">
        <f>""</f>
        <v/>
      </c>
      <c r="F561" t="str">
        <f>"24035"</f>
        <v>24035</v>
      </c>
      <c r="G561" t="str">
        <f>"SERVICE CALL"</f>
        <v>SERVICE CALL</v>
      </c>
      <c r="H561" s="2">
        <v>55</v>
      </c>
      <c r="I561" t="str">
        <f>"SERVICE CALL"</f>
        <v>SERVICE CALL</v>
      </c>
    </row>
    <row r="562" spans="1:9" x14ac:dyDescent="0.3">
      <c r="A562" t="str">
        <f>""</f>
        <v/>
      </c>
      <c r="F562" t="str">
        <f>"24046"</f>
        <v>24046</v>
      </c>
      <c r="G562" t="str">
        <f>"DUPLICATE KEYS/KEY RINGS"</f>
        <v>DUPLICATE KEYS/KEY RINGS</v>
      </c>
      <c r="H562" s="2">
        <v>100.95</v>
      </c>
      <c r="I562" t="str">
        <f>"DUPLICATE KEYS/KEY RINGS"</f>
        <v>DUPLICATE KEYS/KEY RINGS</v>
      </c>
    </row>
    <row r="563" spans="1:9" x14ac:dyDescent="0.3">
      <c r="A563" t="str">
        <f>""</f>
        <v/>
      </c>
      <c r="F563" t="str">
        <f>"24063"</f>
        <v>24063</v>
      </c>
      <c r="G563" t="str">
        <f>"KEYS/LOCKS/IT DEPT"</f>
        <v>KEYS/LOCKS/IT DEPT</v>
      </c>
      <c r="H563" s="2">
        <v>186.7</v>
      </c>
      <c r="I563" t="str">
        <f>"KEYS/LOCKS/IT DEPT"</f>
        <v>KEYS/LOCKS/IT DEPT</v>
      </c>
    </row>
    <row r="564" spans="1:9" x14ac:dyDescent="0.3">
      <c r="A564" t="str">
        <f>"001911"</f>
        <v>001911</v>
      </c>
      <c r="B564" t="s">
        <v>153</v>
      </c>
      <c r="C564">
        <v>74138</v>
      </c>
      <c r="D564" s="2">
        <v>2389.5700000000002</v>
      </c>
      <c r="E564" s="1">
        <v>43080</v>
      </c>
      <c r="F564" t="str">
        <f>"18101119N"</f>
        <v>18101119N</v>
      </c>
      <c r="G564" t="str">
        <f>"CUST#PKE5000/10-01 TO 10-31"</f>
        <v>CUST#PKE5000/10-01 TO 10-31</v>
      </c>
      <c r="H564" s="2">
        <v>2389.5700000000002</v>
      </c>
      <c r="I564" t="str">
        <f>"CUST#PKE5000/10-01 TO 10-31"</f>
        <v>CUST#PKE5000/10-01 TO 10-31</v>
      </c>
    </row>
    <row r="565" spans="1:9" x14ac:dyDescent="0.3">
      <c r="A565" t="str">
        <f>""</f>
        <v/>
      </c>
      <c r="F565" t="str">
        <f>""</f>
        <v/>
      </c>
      <c r="G565" t="str">
        <f>""</f>
        <v/>
      </c>
      <c r="I565" t="str">
        <f>"CUST#PKE5000/10-01 TO 10-31"</f>
        <v>CUST#PKE5000/10-01 TO 10-31</v>
      </c>
    </row>
    <row r="566" spans="1:9" x14ac:dyDescent="0.3">
      <c r="A566" t="str">
        <f>"001911"</f>
        <v>001911</v>
      </c>
      <c r="B566" t="s">
        <v>153</v>
      </c>
      <c r="C566">
        <v>74375</v>
      </c>
      <c r="D566" s="2">
        <v>2389.5700000000002</v>
      </c>
      <c r="E566" s="1">
        <v>43096</v>
      </c>
      <c r="F566" t="str">
        <f>"18111119N"</f>
        <v>18111119N</v>
      </c>
      <c r="G566" t="str">
        <f>"CUST CODE#PKE5000"</f>
        <v>CUST CODE#PKE5000</v>
      </c>
      <c r="H566" s="2">
        <v>2389.5700000000002</v>
      </c>
      <c r="I566" t="str">
        <f>"CUST CODE#PKE5000"</f>
        <v>CUST CODE#PKE5000</v>
      </c>
    </row>
    <row r="567" spans="1:9" x14ac:dyDescent="0.3">
      <c r="A567" t="str">
        <f>""</f>
        <v/>
      </c>
      <c r="F567" t="str">
        <f>""</f>
        <v/>
      </c>
      <c r="G567" t="str">
        <f>""</f>
        <v/>
      </c>
      <c r="I567" t="str">
        <f>"CUST CODE#PKE5000"</f>
        <v>CUST CODE#PKE5000</v>
      </c>
    </row>
    <row r="568" spans="1:9" x14ac:dyDescent="0.3">
      <c r="A568" t="str">
        <f>"DISCOU"</f>
        <v>DISCOU</v>
      </c>
      <c r="B568" t="s">
        <v>154</v>
      </c>
      <c r="C568">
        <v>74139</v>
      </c>
      <c r="D568" s="2">
        <v>233.43</v>
      </c>
      <c r="E568" s="1">
        <v>43080</v>
      </c>
      <c r="F568" t="str">
        <f>"1445"</f>
        <v>1445</v>
      </c>
      <c r="G568" t="str">
        <f>"INV 1445"</f>
        <v>INV 1445</v>
      </c>
      <c r="H568" s="2">
        <v>233.43</v>
      </c>
      <c r="I568" t="str">
        <f>"INV 1445"</f>
        <v>INV 1445</v>
      </c>
    </row>
    <row r="569" spans="1:9" x14ac:dyDescent="0.3">
      <c r="A569" t="str">
        <f>"002868"</f>
        <v>002868</v>
      </c>
      <c r="B569" t="s">
        <v>155</v>
      </c>
      <c r="C569">
        <v>74376</v>
      </c>
      <c r="D569" s="2">
        <v>1148</v>
      </c>
      <c r="E569" s="1">
        <v>43096</v>
      </c>
      <c r="F569" t="str">
        <f>"201712187353"</f>
        <v>201712187353</v>
      </c>
      <c r="G569" t="str">
        <f>"ACCT#27917/TIRE SVCS/PCT#4"</f>
        <v>ACCT#27917/TIRE SVCS/PCT#4</v>
      </c>
      <c r="H569" s="2">
        <v>1125</v>
      </c>
      <c r="I569" t="str">
        <f>"ACCT#27917/TIRE SVCS/PCT#4"</f>
        <v>ACCT#27917/TIRE SVCS/PCT#4</v>
      </c>
    </row>
    <row r="570" spans="1:9" x14ac:dyDescent="0.3">
      <c r="A570" t="str">
        <f>""</f>
        <v/>
      </c>
      <c r="F570" t="str">
        <f>"2699885"</f>
        <v>2699885</v>
      </c>
      <c r="G570" t="str">
        <f>"TIRE SVCS/UNIT#10"</f>
        <v>TIRE SVCS/UNIT#10</v>
      </c>
      <c r="H570" s="2">
        <v>23</v>
      </c>
      <c r="I570" t="str">
        <f>"TIRE SVCS/UNIT#10"</f>
        <v>TIRE SVCS/UNIT#10</v>
      </c>
    </row>
    <row r="571" spans="1:9" x14ac:dyDescent="0.3">
      <c r="A571" t="str">
        <f>"005307"</f>
        <v>005307</v>
      </c>
      <c r="B571" t="s">
        <v>156</v>
      </c>
      <c r="C571">
        <v>74377</v>
      </c>
      <c r="D571" s="2">
        <v>1638</v>
      </c>
      <c r="E571" s="1">
        <v>43096</v>
      </c>
      <c r="F571" t="str">
        <f>"SEALER"</f>
        <v>SEALER</v>
      </c>
      <c r="G571" t="str">
        <f>"Sealer"</f>
        <v>Sealer</v>
      </c>
      <c r="H571" s="2">
        <v>1638</v>
      </c>
      <c r="I571" t="str">
        <f>"Sealer"</f>
        <v>Sealer</v>
      </c>
    </row>
    <row r="572" spans="1:9" x14ac:dyDescent="0.3">
      <c r="A572" t="str">
        <f>"005316"</f>
        <v>005316</v>
      </c>
      <c r="B572" t="s">
        <v>157</v>
      </c>
      <c r="C572">
        <v>74140</v>
      </c>
      <c r="D572" s="2">
        <v>350</v>
      </c>
      <c r="E572" s="1">
        <v>43080</v>
      </c>
      <c r="F572" t="str">
        <f>"201711286795"</f>
        <v>201711286795</v>
      </c>
      <c r="G572" t="str">
        <f>"FERAL HOGS"</f>
        <v>FERAL HOGS</v>
      </c>
      <c r="H572" s="2">
        <v>350</v>
      </c>
      <c r="I572" t="str">
        <f>"FERAL HOGS"</f>
        <v>FERAL HOGS</v>
      </c>
    </row>
    <row r="573" spans="1:9" x14ac:dyDescent="0.3">
      <c r="A573" t="str">
        <f>"T13918"</f>
        <v>T13918</v>
      </c>
      <c r="B573" t="s">
        <v>158</v>
      </c>
      <c r="C573">
        <v>74141</v>
      </c>
      <c r="D573" s="2">
        <v>312</v>
      </c>
      <c r="E573" s="1">
        <v>43080</v>
      </c>
      <c r="F573" t="str">
        <f>"30866"</f>
        <v>30866</v>
      </c>
      <c r="G573" t="str">
        <f>"TARP/PCT#1"</f>
        <v>TARP/PCT#1</v>
      </c>
      <c r="H573" s="2">
        <v>312</v>
      </c>
      <c r="I573" t="str">
        <f>"TARP/PCT#1"</f>
        <v>TARP/PCT#1</v>
      </c>
    </row>
    <row r="574" spans="1:9" x14ac:dyDescent="0.3">
      <c r="A574" t="str">
        <f>"T9323"</f>
        <v>T9323</v>
      </c>
      <c r="B574" t="s">
        <v>159</v>
      </c>
      <c r="C574">
        <v>999999</v>
      </c>
      <c r="D574" s="2">
        <v>562.5</v>
      </c>
      <c r="E574" s="1">
        <v>43081</v>
      </c>
      <c r="F574" t="str">
        <f>"201712067200"</f>
        <v>201712067200</v>
      </c>
      <c r="G574" t="str">
        <f>"17-18119"</f>
        <v>17-18119</v>
      </c>
      <c r="H574" s="2">
        <v>100</v>
      </c>
      <c r="I574" t="str">
        <f>"17-18119"</f>
        <v>17-18119</v>
      </c>
    </row>
    <row r="575" spans="1:9" x14ac:dyDescent="0.3">
      <c r="A575" t="str">
        <f>""</f>
        <v/>
      </c>
      <c r="F575" t="str">
        <f>"201712067201"</f>
        <v>201712067201</v>
      </c>
      <c r="G575" t="str">
        <f>"17-18617"</f>
        <v>17-18617</v>
      </c>
      <c r="H575" s="2">
        <v>212.5</v>
      </c>
      <c r="I575" t="str">
        <f>"17-18617"</f>
        <v>17-18617</v>
      </c>
    </row>
    <row r="576" spans="1:9" x14ac:dyDescent="0.3">
      <c r="A576" t="str">
        <f>""</f>
        <v/>
      </c>
      <c r="F576" t="str">
        <f>"201712067202"</f>
        <v>201712067202</v>
      </c>
      <c r="G576" t="str">
        <f>"16-18053"</f>
        <v>16-18053</v>
      </c>
      <c r="H576" s="2">
        <v>250</v>
      </c>
      <c r="I576" t="str">
        <f>"16-18053"</f>
        <v>16-18053</v>
      </c>
    </row>
    <row r="577" spans="1:9" x14ac:dyDescent="0.3">
      <c r="A577" t="str">
        <f>"T9323"</f>
        <v>T9323</v>
      </c>
      <c r="B577" t="s">
        <v>159</v>
      </c>
      <c r="C577">
        <v>999999</v>
      </c>
      <c r="D577" s="2">
        <v>3425</v>
      </c>
      <c r="E577" s="1">
        <v>43097</v>
      </c>
      <c r="F577" t="str">
        <f>"201712127266"</f>
        <v>201712127266</v>
      </c>
      <c r="G577" t="str">
        <f>"423-3547"</f>
        <v>423-3547</v>
      </c>
      <c r="H577" s="2">
        <v>212.5</v>
      </c>
      <c r="I577" t="str">
        <f>"423-3547"</f>
        <v>423-3547</v>
      </c>
    </row>
    <row r="578" spans="1:9" x14ac:dyDescent="0.3">
      <c r="A578" t="str">
        <f>""</f>
        <v/>
      </c>
      <c r="F578" t="str">
        <f>"201712127267"</f>
        <v>201712127267</v>
      </c>
      <c r="G578" t="str">
        <f>"423-2529"</f>
        <v>423-2529</v>
      </c>
      <c r="H578" s="2">
        <v>212.5</v>
      </c>
      <c r="I578" t="str">
        <f>"423-2529"</f>
        <v>423-2529</v>
      </c>
    </row>
    <row r="579" spans="1:9" x14ac:dyDescent="0.3">
      <c r="A579" t="str">
        <f>""</f>
        <v/>
      </c>
      <c r="F579" t="str">
        <f>"201712127268"</f>
        <v>201712127268</v>
      </c>
      <c r="G579" t="str">
        <f>"16139"</f>
        <v>16139</v>
      </c>
      <c r="H579" s="2">
        <v>400</v>
      </c>
      <c r="I579" t="str">
        <f>"16139"</f>
        <v>16139</v>
      </c>
    </row>
    <row r="580" spans="1:9" x14ac:dyDescent="0.3">
      <c r="A580" t="str">
        <f>""</f>
        <v/>
      </c>
      <c r="F580" t="str">
        <f>"201712127269"</f>
        <v>201712127269</v>
      </c>
      <c r="G580" t="str">
        <f>"16385  16386"</f>
        <v>16385  16386</v>
      </c>
      <c r="H580" s="2">
        <v>600</v>
      </c>
      <c r="I580" t="str">
        <f>"16385  16386"</f>
        <v>16385  16386</v>
      </c>
    </row>
    <row r="581" spans="1:9" x14ac:dyDescent="0.3">
      <c r="A581" t="str">
        <f>""</f>
        <v/>
      </c>
      <c r="F581" t="str">
        <f>"201712147312"</f>
        <v>201712147312</v>
      </c>
      <c r="G581" t="str">
        <f>"14825"</f>
        <v>14825</v>
      </c>
      <c r="H581" s="2">
        <v>400</v>
      </c>
      <c r="I581" t="str">
        <f>"14825"</f>
        <v>14825</v>
      </c>
    </row>
    <row r="582" spans="1:9" x14ac:dyDescent="0.3">
      <c r="A582" t="str">
        <f>""</f>
        <v/>
      </c>
      <c r="F582" t="str">
        <f>"201712157334"</f>
        <v>201712157334</v>
      </c>
      <c r="G582" t="str">
        <f>"20170459E 20170459D 423 541791"</f>
        <v>20170459E 20170459D 423 541791</v>
      </c>
      <c r="H582" s="2">
        <v>200</v>
      </c>
      <c r="I582" t="str">
        <f>"20170459E 20170459D 423 541791"</f>
        <v>20170459E 20170459D 423 541791</v>
      </c>
    </row>
    <row r="583" spans="1:9" x14ac:dyDescent="0.3">
      <c r="A583" t="str">
        <f>""</f>
        <v/>
      </c>
      <c r="F583" t="str">
        <f>"201712197393"</f>
        <v>201712197393</v>
      </c>
      <c r="G583" t="str">
        <f>"17-18617"</f>
        <v>17-18617</v>
      </c>
      <c r="H583" s="2">
        <v>100</v>
      </c>
      <c r="I583" t="str">
        <f>"17-18617"</f>
        <v>17-18617</v>
      </c>
    </row>
    <row r="584" spans="1:9" x14ac:dyDescent="0.3">
      <c r="A584" t="str">
        <f>""</f>
        <v/>
      </c>
      <c r="F584" t="str">
        <f>"201712197394"</f>
        <v>201712197394</v>
      </c>
      <c r="G584" t="str">
        <f>"17-18764"</f>
        <v>17-18764</v>
      </c>
      <c r="H584" s="2">
        <v>175</v>
      </c>
      <c r="I584" t="str">
        <f>"17-18764"</f>
        <v>17-18764</v>
      </c>
    </row>
    <row r="585" spans="1:9" x14ac:dyDescent="0.3">
      <c r="A585" t="str">
        <f>""</f>
        <v/>
      </c>
      <c r="F585" t="str">
        <f>"201712197424"</f>
        <v>201712197424</v>
      </c>
      <c r="G585" t="str">
        <f>"54862"</f>
        <v>54862</v>
      </c>
      <c r="H585" s="2">
        <v>250</v>
      </c>
      <c r="I585" t="str">
        <f>"54862"</f>
        <v>54862</v>
      </c>
    </row>
    <row r="586" spans="1:9" x14ac:dyDescent="0.3">
      <c r="A586" t="str">
        <f>""</f>
        <v/>
      </c>
      <c r="F586" t="str">
        <f>"201712197428"</f>
        <v>201712197428</v>
      </c>
      <c r="G586" t="str">
        <f>"309042017E  309042017G"</f>
        <v>309042017E  309042017G</v>
      </c>
      <c r="H586" s="2">
        <v>375</v>
      </c>
      <c r="I586" t="str">
        <f>"309042017E  309042017G"</f>
        <v>309042017E  309042017G</v>
      </c>
    </row>
    <row r="587" spans="1:9" x14ac:dyDescent="0.3">
      <c r="A587" t="str">
        <f>""</f>
        <v/>
      </c>
      <c r="F587" t="str">
        <f>"201712197432"</f>
        <v>201712197432</v>
      </c>
      <c r="G587" t="str">
        <f>"46009"</f>
        <v>46009</v>
      </c>
      <c r="H587" s="2">
        <v>250</v>
      </c>
      <c r="I587" t="str">
        <f>"46009"</f>
        <v>46009</v>
      </c>
    </row>
    <row r="588" spans="1:9" x14ac:dyDescent="0.3">
      <c r="A588" t="str">
        <f>""</f>
        <v/>
      </c>
      <c r="F588" t="str">
        <f>"201712197435"</f>
        <v>201712197435</v>
      </c>
      <c r="G588" t="str">
        <f>"55330"</f>
        <v>55330</v>
      </c>
      <c r="H588" s="2">
        <v>250</v>
      </c>
      <c r="I588" t="str">
        <f>"55330"</f>
        <v>55330</v>
      </c>
    </row>
    <row r="589" spans="1:9" x14ac:dyDescent="0.3">
      <c r="A589" t="str">
        <f>"005022"</f>
        <v>005022</v>
      </c>
      <c r="B589" t="s">
        <v>160</v>
      </c>
      <c r="C589">
        <v>74142</v>
      </c>
      <c r="D589" s="2">
        <v>35</v>
      </c>
      <c r="E589" s="1">
        <v>43080</v>
      </c>
      <c r="F589" t="str">
        <f>"201712047016"</f>
        <v>201712047016</v>
      </c>
      <c r="G589" t="str">
        <f>"FERAL HOGS"</f>
        <v>FERAL HOGS</v>
      </c>
      <c r="H589" s="2">
        <v>35</v>
      </c>
      <c r="I589" t="str">
        <f>"FERAL HOGS"</f>
        <v>FERAL HOGS</v>
      </c>
    </row>
    <row r="590" spans="1:9" x14ac:dyDescent="0.3">
      <c r="A590" t="str">
        <f>"005348"</f>
        <v>005348</v>
      </c>
      <c r="B590" t="s">
        <v>161</v>
      </c>
      <c r="C590">
        <v>74378</v>
      </c>
      <c r="D590" s="2">
        <v>9500</v>
      </c>
      <c r="E590" s="1">
        <v>43096</v>
      </c>
      <c r="F590" t="str">
        <f>"1364"</f>
        <v>1364</v>
      </c>
      <c r="G590" t="str">
        <f>"EAST TEXAS TOWERS  LLC"</f>
        <v>EAST TEXAS TOWERS  LLC</v>
      </c>
      <c r="H590" s="2">
        <v>9500</v>
      </c>
      <c r="I590" t="str">
        <f>"Tower Camer Instal"</f>
        <v>Tower Camer Instal</v>
      </c>
    </row>
    <row r="591" spans="1:9" x14ac:dyDescent="0.3">
      <c r="A591" t="str">
        <f>"ECOLAB"</f>
        <v>ECOLAB</v>
      </c>
      <c r="B591" t="s">
        <v>162</v>
      </c>
      <c r="C591">
        <v>999999</v>
      </c>
      <c r="D591" s="2">
        <v>642.32000000000005</v>
      </c>
      <c r="E591" s="1">
        <v>43081</v>
      </c>
      <c r="F591" t="str">
        <f>"7627031"</f>
        <v>7627031</v>
      </c>
      <c r="G591" t="str">
        <f>"INV 7627031"</f>
        <v>INV 7627031</v>
      </c>
      <c r="H591" s="2">
        <v>642.32000000000005</v>
      </c>
      <c r="I591" t="str">
        <f>"INV 7627031"</f>
        <v>INV 7627031</v>
      </c>
    </row>
    <row r="592" spans="1:9" x14ac:dyDescent="0.3">
      <c r="A592" t="str">
        <f>"ECOLAB"</f>
        <v>ECOLAB</v>
      </c>
      <c r="B592" t="s">
        <v>162</v>
      </c>
      <c r="C592">
        <v>999999</v>
      </c>
      <c r="D592" s="2">
        <v>1424.6</v>
      </c>
      <c r="E592" s="1">
        <v>43097</v>
      </c>
      <c r="F592" t="str">
        <f>"7828915"</f>
        <v>7828915</v>
      </c>
      <c r="G592" t="str">
        <f>"INV 7828915"</f>
        <v>INV 7828915</v>
      </c>
      <c r="H592" s="2">
        <v>697.72</v>
      </c>
      <c r="I592" t="str">
        <f>"INV 7828915"</f>
        <v>INV 7828915</v>
      </c>
    </row>
    <row r="593" spans="1:9" x14ac:dyDescent="0.3">
      <c r="A593" t="str">
        <f>""</f>
        <v/>
      </c>
      <c r="F593" t="str">
        <f>"7843421"</f>
        <v>7843421</v>
      </c>
      <c r="G593" t="str">
        <f>"INV 7843421"</f>
        <v>INV 7843421</v>
      </c>
      <c r="H593" s="2">
        <v>726.88</v>
      </c>
      <c r="I593" t="str">
        <f>"INV 7843421"</f>
        <v>INV 7843421</v>
      </c>
    </row>
    <row r="594" spans="1:9" x14ac:dyDescent="0.3">
      <c r="A594" t="str">
        <f>"T6190"</f>
        <v>T6190</v>
      </c>
      <c r="B594" t="s">
        <v>163</v>
      </c>
      <c r="C594">
        <v>74143</v>
      </c>
      <c r="D594" s="2">
        <v>1443.18</v>
      </c>
      <c r="E594" s="1">
        <v>43080</v>
      </c>
      <c r="F594" t="str">
        <f>"1026052"</f>
        <v>1026052</v>
      </c>
      <c r="G594" t="str">
        <f>"ACCT#B06875/ORD#1126018/ELECT"</f>
        <v>ACCT#B06875/ORD#1126018/ELECT</v>
      </c>
      <c r="H594" s="2">
        <v>1443.18</v>
      </c>
      <c r="I594" t="str">
        <f>"ACCT#B06875/ORD#1126018/ELECT"</f>
        <v>ACCT#B06875/ORD#1126018/ELECT</v>
      </c>
    </row>
    <row r="595" spans="1:9" x14ac:dyDescent="0.3">
      <c r="A595" t="str">
        <f>"001019"</f>
        <v>001019</v>
      </c>
      <c r="B595" t="s">
        <v>164</v>
      </c>
      <c r="C595">
        <v>74144</v>
      </c>
      <c r="D595" s="2">
        <v>7000</v>
      </c>
      <c r="E595" s="1">
        <v>43080</v>
      </c>
      <c r="F595" t="str">
        <f>"201712057187"</f>
        <v>201712057187</v>
      </c>
      <c r="G595" t="str">
        <f>"BASTROP COUNTY GRANT"</f>
        <v>BASTROP COUNTY GRANT</v>
      </c>
      <c r="H595" s="2">
        <v>7000</v>
      </c>
      <c r="I595" t="str">
        <f>"BASTROP COUNTY GRANT"</f>
        <v>BASTROP COUNTY GRANT</v>
      </c>
    </row>
    <row r="596" spans="1:9" x14ac:dyDescent="0.3">
      <c r="A596" t="str">
        <f>"EC"</f>
        <v>EC</v>
      </c>
      <c r="B596" t="s">
        <v>165</v>
      </c>
      <c r="C596">
        <v>999999</v>
      </c>
      <c r="D596" s="2">
        <v>180</v>
      </c>
      <c r="E596" s="1">
        <v>43081</v>
      </c>
      <c r="F596" t="str">
        <f>"201712057101"</f>
        <v>201712057101</v>
      </c>
      <c r="G596" t="str">
        <f>"INV#52421-8599 52421-8600/ADS"</f>
        <v>INV#52421-8599 52421-8600/ADS</v>
      </c>
      <c r="H596" s="2">
        <v>180</v>
      </c>
      <c r="I596" t="str">
        <f>"INV#52421-8599 52421-8600/ADS"</f>
        <v>INV#52421-8599 52421-8600/ADS</v>
      </c>
    </row>
    <row r="597" spans="1:9" x14ac:dyDescent="0.3">
      <c r="A597" t="str">
        <f>"EC"</f>
        <v>EC</v>
      </c>
      <c r="B597" t="s">
        <v>165</v>
      </c>
      <c r="C597">
        <v>999999</v>
      </c>
      <c r="D597" s="2">
        <v>41</v>
      </c>
      <c r="E597" s="1">
        <v>43097</v>
      </c>
      <c r="F597" t="str">
        <f>"120517-11"</f>
        <v>120517-11</v>
      </c>
      <c r="G597" t="str">
        <f>"1 YR SUBS. RENEWAL-SUB#2099"</f>
        <v>1 YR SUBS. RENEWAL-SUB#2099</v>
      </c>
      <c r="H597" s="2">
        <v>41</v>
      </c>
      <c r="I597" t="str">
        <f>"1 YR SUBS. RENEWAL-SUB#2099"</f>
        <v>1 YR SUBS. RENEWAL-SUB#2099</v>
      </c>
    </row>
    <row r="598" spans="1:9" x14ac:dyDescent="0.3">
      <c r="A598" t="str">
        <f>"EU"</f>
        <v>EU</v>
      </c>
      <c r="B598" t="s">
        <v>166</v>
      </c>
      <c r="C598">
        <v>74055</v>
      </c>
      <c r="D598" s="2">
        <v>1234.43</v>
      </c>
      <c r="E598" s="1">
        <v>43076</v>
      </c>
      <c r="F598" t="str">
        <f>"201712077237"</f>
        <v>201712077237</v>
      </c>
      <c r="G598" t="str">
        <f>"ACCT#007-0008410-002/11302017"</f>
        <v>ACCT#007-0008410-002/11302017</v>
      </c>
      <c r="H598" s="2">
        <v>162.97</v>
      </c>
      <c r="I598" t="str">
        <f>"ACCT#007-0008410-002/11302017"</f>
        <v>ACCT#007-0008410-002/11302017</v>
      </c>
    </row>
    <row r="599" spans="1:9" x14ac:dyDescent="0.3">
      <c r="A599" t="str">
        <f>""</f>
        <v/>
      </c>
      <c r="F599" t="str">
        <f>"201712077238"</f>
        <v>201712077238</v>
      </c>
      <c r="G599" t="str">
        <f>"ACCT#007-0011501-000/11302017"</f>
        <v>ACCT#007-0011501-000/11302017</v>
      </c>
      <c r="H599" s="2">
        <v>62.68</v>
      </c>
      <c r="I599" t="str">
        <f>"ACCT#007-0011501-000/11302017"</f>
        <v>ACCT#007-0011501-000/11302017</v>
      </c>
    </row>
    <row r="600" spans="1:9" x14ac:dyDescent="0.3">
      <c r="A600" t="str">
        <f>""</f>
        <v/>
      </c>
      <c r="F600" t="str">
        <f>"201712077239"</f>
        <v>201712077239</v>
      </c>
      <c r="G600" t="str">
        <f>"ACCT#007-0011510000/11302017"</f>
        <v>ACCT#007-0011510000/11302017</v>
      </c>
      <c r="H600" s="2">
        <v>230.57</v>
      </c>
      <c r="I600" t="str">
        <f>"ACCT#007-0011510000/11302017"</f>
        <v>ACCT#007-0011510000/11302017</v>
      </c>
    </row>
    <row r="601" spans="1:9" x14ac:dyDescent="0.3">
      <c r="A601" t="str">
        <f>""</f>
        <v/>
      </c>
      <c r="F601" t="str">
        <f>"201712077240"</f>
        <v>201712077240</v>
      </c>
      <c r="G601" t="str">
        <f>"ACCT#007-0011530-000/11302017"</f>
        <v>ACCT#007-0011530-000/11302017</v>
      </c>
      <c r="H601" s="2">
        <v>94.09</v>
      </c>
      <c r="I601" t="str">
        <f>"ACCT#007-0011530-000/11302017"</f>
        <v>ACCT#007-0011530-000/11302017</v>
      </c>
    </row>
    <row r="602" spans="1:9" x14ac:dyDescent="0.3">
      <c r="A602" t="str">
        <f>""</f>
        <v/>
      </c>
      <c r="F602" t="str">
        <f>"201712077241"</f>
        <v>201712077241</v>
      </c>
      <c r="G602" t="str">
        <f>"ACCT#007-0011534-001/11302017"</f>
        <v>ACCT#007-0011534-001/11302017</v>
      </c>
      <c r="H602" s="2">
        <v>145.81</v>
      </c>
      <c r="I602" t="str">
        <f>"ACCT#007-0011534-001/11302017"</f>
        <v>ACCT#007-0011534-001/11302017</v>
      </c>
    </row>
    <row r="603" spans="1:9" x14ac:dyDescent="0.3">
      <c r="A603" t="str">
        <f>""</f>
        <v/>
      </c>
      <c r="F603" t="str">
        <f>"201712077242"</f>
        <v>201712077242</v>
      </c>
      <c r="G603" t="str">
        <f>"ACCT#007-0011535-000/11302017"</f>
        <v>ACCT#007-0011535-000/11302017</v>
      </c>
      <c r="H603" s="2">
        <v>415.93</v>
      </c>
      <c r="I603" t="str">
        <f>"ACCT#007-0011535-000/11302017"</f>
        <v>ACCT#007-0011535-000/11302017</v>
      </c>
    </row>
    <row r="604" spans="1:9" x14ac:dyDescent="0.3">
      <c r="A604" t="str">
        <f>""</f>
        <v/>
      </c>
      <c r="F604" t="str">
        <f>"201712077243"</f>
        <v>201712077243</v>
      </c>
      <c r="G604" t="str">
        <f>"ACCT#007-0011544-001/11302017"</f>
        <v>ACCT#007-0011544-001/11302017</v>
      </c>
      <c r="H604" s="2">
        <v>106.34</v>
      </c>
      <c r="I604" t="str">
        <f>"ACCT#007-0011544-001/11302017"</f>
        <v>ACCT#007-0011544-001/11302017</v>
      </c>
    </row>
    <row r="605" spans="1:9" x14ac:dyDescent="0.3">
      <c r="A605" t="str">
        <f>""</f>
        <v/>
      </c>
      <c r="F605" t="str">
        <f>"201712077244"</f>
        <v>201712077244</v>
      </c>
      <c r="G605" t="str">
        <f>"ACCT#007-0071128-001/11302017"</f>
        <v>ACCT#007-0071128-001/11302017</v>
      </c>
      <c r="H605" s="2">
        <v>16.04</v>
      </c>
      <c r="I605" t="str">
        <f>"ACCT#007-0071128-001/11302017"</f>
        <v>ACCT#007-0071128-001/11302017</v>
      </c>
    </row>
    <row r="606" spans="1:9" x14ac:dyDescent="0.3">
      <c r="A606" t="str">
        <f>"003027"</f>
        <v>003027</v>
      </c>
      <c r="B606" t="s">
        <v>167</v>
      </c>
      <c r="C606">
        <v>74145</v>
      </c>
      <c r="D606" s="2">
        <v>1221.72</v>
      </c>
      <c r="E606" s="1">
        <v>43080</v>
      </c>
      <c r="F606" t="str">
        <f>"145-12079-01"</f>
        <v>145-12079-01</v>
      </c>
      <c r="G606" t="str">
        <f>"Lights - Restock Order"</f>
        <v>Lights - Restock Order</v>
      </c>
      <c r="H606" s="2">
        <v>1221.72</v>
      </c>
      <c r="I606" t="str">
        <f>"Non-Shunted Socket"</f>
        <v>Non-Shunted Socket</v>
      </c>
    </row>
    <row r="607" spans="1:9" x14ac:dyDescent="0.3">
      <c r="A607" t="str">
        <f>""</f>
        <v/>
      </c>
      <c r="F607" t="str">
        <f>""</f>
        <v/>
      </c>
      <c r="G607" t="str">
        <f>""</f>
        <v/>
      </c>
      <c r="I607" t="s">
        <v>168</v>
      </c>
    </row>
    <row r="608" spans="1:9" x14ac:dyDescent="0.3">
      <c r="A608" t="str">
        <f>"003027"</f>
        <v>003027</v>
      </c>
      <c r="B608" t="s">
        <v>167</v>
      </c>
      <c r="C608">
        <v>74379</v>
      </c>
      <c r="D608" s="2">
        <v>612.55999999999995</v>
      </c>
      <c r="E608" s="1">
        <v>43096</v>
      </c>
      <c r="F608" t="str">
        <f>"145-12815-01"</f>
        <v>145-12815-01</v>
      </c>
      <c r="G608" t="str">
        <f>"INV 145-12815-01"</f>
        <v>INV 145-12815-01</v>
      </c>
      <c r="H608" s="2">
        <v>612.55999999999995</v>
      </c>
      <c r="I608" t="str">
        <f>"INV 145-12815-01"</f>
        <v>INV 145-12815-01</v>
      </c>
    </row>
    <row r="609" spans="1:10" x14ac:dyDescent="0.3">
      <c r="A609" t="str">
        <f>"005218"</f>
        <v>005218</v>
      </c>
      <c r="B609" t="s">
        <v>169</v>
      </c>
      <c r="C609">
        <v>999999</v>
      </c>
      <c r="D609" s="2">
        <v>434.62</v>
      </c>
      <c r="E609" s="1">
        <v>43081</v>
      </c>
      <c r="F609" t="str">
        <f>"201712047000"</f>
        <v>201712047000</v>
      </c>
      <c r="G609" t="str">
        <f>"INTERPRETER"</f>
        <v>INTERPRETER</v>
      </c>
      <c r="H609" s="2">
        <v>434.62</v>
      </c>
      <c r="I609" t="str">
        <f>"INTERPRETER"</f>
        <v>INTERPRETER</v>
      </c>
    </row>
    <row r="610" spans="1:10" x14ac:dyDescent="0.3">
      <c r="A610" t="str">
        <f>"T2788"</f>
        <v>T2788</v>
      </c>
      <c r="B610" t="s">
        <v>170</v>
      </c>
      <c r="C610">
        <v>999999</v>
      </c>
      <c r="D610" s="2">
        <v>1161.45</v>
      </c>
      <c r="E610" s="1">
        <v>43081</v>
      </c>
      <c r="F610" t="str">
        <f>"3415940"</f>
        <v>3415940</v>
      </c>
      <c r="G610" t="str">
        <f>"ACCT#00405/PARTS/FREIGHT/PCT#1"</f>
        <v>ACCT#00405/PARTS/FREIGHT/PCT#1</v>
      </c>
      <c r="H610" s="2">
        <v>1161.45</v>
      </c>
      <c r="I610" t="str">
        <f>"ACCT#00405/PARTS/FREIGHT/PCT#1"</f>
        <v>ACCT#00405/PARTS/FREIGHT/PCT#1</v>
      </c>
    </row>
    <row r="611" spans="1:10" x14ac:dyDescent="0.3">
      <c r="A611" t="str">
        <f>"T2788"</f>
        <v>T2788</v>
      </c>
      <c r="B611" t="s">
        <v>170</v>
      </c>
      <c r="C611">
        <v>999999</v>
      </c>
      <c r="D611" s="2">
        <v>38.69</v>
      </c>
      <c r="E611" s="1">
        <v>43097</v>
      </c>
      <c r="F611" t="str">
        <f>"3416047"</f>
        <v>3416047</v>
      </c>
      <c r="G611" t="str">
        <f>"PARTS COUNTER/PCT#1"</f>
        <v>PARTS COUNTER/PCT#1</v>
      </c>
      <c r="H611" s="2">
        <v>38.69</v>
      </c>
      <c r="I611" t="str">
        <f>"PARTS COUNTER/PCT#1"</f>
        <v>PARTS COUNTER/PCT#1</v>
      </c>
    </row>
    <row r="612" spans="1:10" x14ac:dyDescent="0.3">
      <c r="A612" t="str">
        <f>"003066"</f>
        <v>003066</v>
      </c>
      <c r="B612" t="s">
        <v>171</v>
      </c>
      <c r="C612">
        <v>74380</v>
      </c>
      <c r="D612" s="2">
        <v>93.46</v>
      </c>
      <c r="E612" s="1">
        <v>43096</v>
      </c>
      <c r="F612" t="str">
        <f>"201712207480"</f>
        <v>201712207480</v>
      </c>
      <c r="G612" t="str">
        <f>"INDIGENT HEALTH"</f>
        <v>INDIGENT HEALTH</v>
      </c>
      <c r="H612" s="2">
        <v>93.46</v>
      </c>
      <c r="I612" t="str">
        <f>"INDIGENT HEALTH"</f>
        <v>INDIGENT HEALTH</v>
      </c>
    </row>
    <row r="613" spans="1:10" x14ac:dyDescent="0.3">
      <c r="A613" t="str">
        <f>"T526"</f>
        <v>T526</v>
      </c>
      <c r="B613" t="s">
        <v>172</v>
      </c>
      <c r="C613">
        <v>74146</v>
      </c>
      <c r="D613" s="2">
        <v>63.98</v>
      </c>
      <c r="E613" s="1">
        <v>43080</v>
      </c>
      <c r="F613" t="str">
        <f>"5-996-14841"</f>
        <v>5-996-14841</v>
      </c>
      <c r="G613" t="str">
        <f>"INV 5-996-14841"</f>
        <v>INV 5-996-14841</v>
      </c>
      <c r="H613" s="2">
        <v>63.98</v>
      </c>
      <c r="I613" t="str">
        <f>"INV 5-996-14841"</f>
        <v>INV 5-996-14841</v>
      </c>
    </row>
    <row r="614" spans="1:10" x14ac:dyDescent="0.3">
      <c r="A614" t="str">
        <f>"T526"</f>
        <v>T526</v>
      </c>
      <c r="B614" t="s">
        <v>172</v>
      </c>
      <c r="C614">
        <v>74381</v>
      </c>
      <c r="D614" s="2">
        <v>124.27</v>
      </c>
      <c r="E614" s="1">
        <v>43096</v>
      </c>
      <c r="F614" t="str">
        <f>"5-952-07583"</f>
        <v>5-952-07583</v>
      </c>
      <c r="G614" t="str">
        <f>"ACCT#4702-9210-5/POSTAGE/AUDIT"</f>
        <v>ACCT#4702-9210-5/POSTAGE/AUDIT</v>
      </c>
      <c r="H614" s="2">
        <v>85.39</v>
      </c>
      <c r="I614" t="str">
        <f>"ACCT#4702-9210-5/POSTAGE/AUDIT"</f>
        <v>ACCT#4702-9210-5/POSTAGE/AUDIT</v>
      </c>
    </row>
    <row r="615" spans="1:10" x14ac:dyDescent="0.3">
      <c r="A615" t="str">
        <f>""</f>
        <v/>
      </c>
      <c r="F615" t="str">
        <f>"6-017-90477"</f>
        <v>6-017-90477</v>
      </c>
      <c r="G615" t="str">
        <f>"#4702-9210-5/POSTAGE/AUD. OFF."</f>
        <v>#4702-9210-5/POSTAGE/AUD. OFF.</v>
      </c>
      <c r="H615" s="2">
        <v>38.880000000000003</v>
      </c>
      <c r="I615" t="str">
        <f>"#4702-9210-5/POSTAGE/AUD. OFF."</f>
        <v>#4702-9210-5/POSTAGE/AUD. OFF.</v>
      </c>
    </row>
    <row r="616" spans="1:10" x14ac:dyDescent="0.3">
      <c r="A616" t="str">
        <f>"T9733"</f>
        <v>T9733</v>
      </c>
      <c r="B616" t="s">
        <v>173</v>
      </c>
      <c r="C616">
        <v>74147</v>
      </c>
      <c r="D616" s="2">
        <v>50</v>
      </c>
      <c r="E616" s="1">
        <v>43080</v>
      </c>
      <c r="F616" t="s">
        <v>174</v>
      </c>
      <c r="G616" t="s">
        <v>175</v>
      </c>
      <c r="H616" s="2" t="str">
        <f>"RESTITUTION-F. GREER"</f>
        <v>RESTITUTION-F. GREER</v>
      </c>
      <c r="I616" t="str">
        <f>"210-0000"</f>
        <v>210-0000</v>
      </c>
      <c r="J616">
        <v>50</v>
      </c>
    </row>
    <row r="617" spans="1:10" x14ac:dyDescent="0.3">
      <c r="A617" t="str">
        <f>"004691"</f>
        <v>004691</v>
      </c>
      <c r="B617" t="s">
        <v>176</v>
      </c>
      <c r="C617">
        <v>74148</v>
      </c>
      <c r="D617" s="2">
        <v>11682.56</v>
      </c>
      <c r="E617" s="1">
        <v>43080</v>
      </c>
      <c r="F617" t="str">
        <f>"NP51918167"</f>
        <v>NP51918167</v>
      </c>
      <c r="G617" t="str">
        <f>"Stmt# NP51918167"</f>
        <v>Stmt# NP51918167</v>
      </c>
      <c r="H617" s="2">
        <v>438.95</v>
      </c>
      <c r="I617" t="str">
        <f>"Fee"</f>
        <v>Fee</v>
      </c>
    </row>
    <row r="618" spans="1:10" x14ac:dyDescent="0.3">
      <c r="A618" t="str">
        <f>""</f>
        <v/>
      </c>
      <c r="F618" t="str">
        <f>""</f>
        <v/>
      </c>
      <c r="G618" t="str">
        <f>""</f>
        <v/>
      </c>
      <c r="I618" t="str">
        <f>"Fee"</f>
        <v>Fee</v>
      </c>
    </row>
    <row r="619" spans="1:10" x14ac:dyDescent="0.3">
      <c r="A619" t="str">
        <f>""</f>
        <v/>
      </c>
      <c r="F619" t="str">
        <f>""</f>
        <v/>
      </c>
      <c r="G619" t="str">
        <f>""</f>
        <v/>
      </c>
      <c r="I619" t="str">
        <f>"Fee"</f>
        <v>Fee</v>
      </c>
    </row>
    <row r="620" spans="1:10" x14ac:dyDescent="0.3">
      <c r="A620" t="str">
        <f>""</f>
        <v/>
      </c>
      <c r="F620" t="str">
        <f>""</f>
        <v/>
      </c>
      <c r="G620" t="str">
        <f>""</f>
        <v/>
      </c>
      <c r="I620" t="str">
        <f>"Fee"</f>
        <v>Fee</v>
      </c>
    </row>
    <row r="621" spans="1:10" x14ac:dyDescent="0.3">
      <c r="A621" t="str">
        <f>""</f>
        <v/>
      </c>
      <c r="F621" t="str">
        <f>""</f>
        <v/>
      </c>
      <c r="G621" t="str">
        <f>""</f>
        <v/>
      </c>
      <c r="I621" t="str">
        <f>"Fee"</f>
        <v>Fee</v>
      </c>
    </row>
    <row r="622" spans="1:10" x14ac:dyDescent="0.3">
      <c r="A622" t="str">
        <f>""</f>
        <v/>
      </c>
      <c r="F622" t="str">
        <f>"NP51918348"</f>
        <v>NP51918348</v>
      </c>
      <c r="G622" t="str">
        <f>"INV NP51918348"</f>
        <v>INV NP51918348</v>
      </c>
      <c r="H622" s="2">
        <v>10935.66</v>
      </c>
      <c r="I622" t="str">
        <f>"INV NP51918348"</f>
        <v>INV NP51918348</v>
      </c>
    </row>
    <row r="623" spans="1:10" x14ac:dyDescent="0.3">
      <c r="A623" t="str">
        <f>""</f>
        <v/>
      </c>
      <c r="F623" t="str">
        <f>"NP51918379"</f>
        <v>NP51918379</v>
      </c>
      <c r="G623" t="str">
        <f>"Stmt# NP51918379"</f>
        <v>Stmt# NP51918379</v>
      </c>
      <c r="H623" s="2">
        <v>307.95</v>
      </c>
      <c r="I623" t="str">
        <f>"Payment"</f>
        <v>Payment</v>
      </c>
    </row>
    <row r="624" spans="1:10" x14ac:dyDescent="0.3">
      <c r="A624" t="str">
        <f>"004691"</f>
        <v>004691</v>
      </c>
      <c r="B624" t="s">
        <v>176</v>
      </c>
      <c r="C624">
        <v>74382</v>
      </c>
      <c r="D624" s="2">
        <v>13053.6</v>
      </c>
      <c r="E624" s="1">
        <v>43096</v>
      </c>
      <c r="F624" t="str">
        <f>"#NP52071641"</f>
        <v>#NP52071641</v>
      </c>
      <c r="G624" t="str">
        <f>"stmt# NP52071641"</f>
        <v>stmt# NP52071641</v>
      </c>
      <c r="H624" s="2">
        <v>692.34</v>
      </c>
      <c r="I624" t="str">
        <f>"General Services"</f>
        <v>General Services</v>
      </c>
    </row>
    <row r="625" spans="1:9" x14ac:dyDescent="0.3">
      <c r="A625" t="str">
        <f>""</f>
        <v/>
      </c>
      <c r="F625" t="str">
        <f>""</f>
        <v/>
      </c>
      <c r="G625" t="str">
        <f>""</f>
        <v/>
      </c>
      <c r="I625" t="str">
        <f>"Sign Shop"</f>
        <v>Sign Shop</v>
      </c>
    </row>
    <row r="626" spans="1:9" x14ac:dyDescent="0.3">
      <c r="A626" t="str">
        <f>""</f>
        <v/>
      </c>
      <c r="F626" t="str">
        <f>""</f>
        <v/>
      </c>
      <c r="G626" t="str">
        <f>""</f>
        <v/>
      </c>
      <c r="I626" t="str">
        <f>"Ag Extension"</f>
        <v>Ag Extension</v>
      </c>
    </row>
    <row r="627" spans="1:9" x14ac:dyDescent="0.3">
      <c r="A627" t="str">
        <f>""</f>
        <v/>
      </c>
      <c r="F627" t="str">
        <f>""</f>
        <v/>
      </c>
      <c r="G627" t="str">
        <f>""</f>
        <v/>
      </c>
      <c r="I627" t="str">
        <f>"Pct 1"</f>
        <v>Pct 1</v>
      </c>
    </row>
    <row r="628" spans="1:9" x14ac:dyDescent="0.3">
      <c r="A628" t="str">
        <f>""</f>
        <v/>
      </c>
      <c r="F628" t="str">
        <f>""</f>
        <v/>
      </c>
      <c r="G628" t="str">
        <f>""</f>
        <v/>
      </c>
      <c r="I628" t="str">
        <f>"Pct 2"</f>
        <v>Pct 2</v>
      </c>
    </row>
    <row r="629" spans="1:9" x14ac:dyDescent="0.3">
      <c r="A629" t="str">
        <f>""</f>
        <v/>
      </c>
      <c r="F629" t="str">
        <f>"NP52071821"</f>
        <v>NP52071821</v>
      </c>
      <c r="G629" t="str">
        <f>"INV NP52071821"</f>
        <v>INV NP52071821</v>
      </c>
      <c r="H629" s="2">
        <v>11845.67</v>
      </c>
      <c r="I629" t="str">
        <f>"INV NP52071821"</f>
        <v>INV NP52071821</v>
      </c>
    </row>
    <row r="630" spans="1:9" x14ac:dyDescent="0.3">
      <c r="A630" t="str">
        <f>""</f>
        <v/>
      </c>
      <c r="F630" t="str">
        <f>"NP52071851"</f>
        <v>NP52071851</v>
      </c>
      <c r="G630" t="str">
        <f>"STMT# NP52071851"</f>
        <v>STMT# NP52071851</v>
      </c>
      <c r="H630" s="2">
        <v>515.59</v>
      </c>
      <c r="I630" t="str">
        <f>"STMT# NP52071851"</f>
        <v>STMT# NP52071851</v>
      </c>
    </row>
    <row r="631" spans="1:9" x14ac:dyDescent="0.3">
      <c r="A631" t="str">
        <f>"FLS"</f>
        <v>FLS</v>
      </c>
      <c r="B631" t="s">
        <v>177</v>
      </c>
      <c r="C631">
        <v>999999</v>
      </c>
      <c r="D631" s="2">
        <v>500</v>
      </c>
      <c r="E631" s="1">
        <v>43081</v>
      </c>
      <c r="F631" t="str">
        <f>"201712046892"</f>
        <v>201712046892</v>
      </c>
      <c r="G631" t="str">
        <f>"5-3105"</f>
        <v>5-3105</v>
      </c>
      <c r="H631" s="2">
        <v>250</v>
      </c>
      <c r="I631" t="str">
        <f>"5-3105"</f>
        <v>5-3105</v>
      </c>
    </row>
    <row r="632" spans="1:9" x14ac:dyDescent="0.3">
      <c r="A632" t="str">
        <f>""</f>
        <v/>
      </c>
      <c r="F632" t="str">
        <f>"201712057161"</f>
        <v>201712057161</v>
      </c>
      <c r="G632" t="str">
        <f>"55 098"</f>
        <v>55 098</v>
      </c>
      <c r="H632" s="2">
        <v>250</v>
      </c>
      <c r="I632" t="str">
        <f>"55 098"</f>
        <v>55 098</v>
      </c>
    </row>
    <row r="633" spans="1:9" x14ac:dyDescent="0.3">
      <c r="A633" t="str">
        <f>"FLS"</f>
        <v>FLS</v>
      </c>
      <c r="B633" t="s">
        <v>177</v>
      </c>
      <c r="C633">
        <v>999999</v>
      </c>
      <c r="D633" s="2">
        <v>1000</v>
      </c>
      <c r="E633" s="1">
        <v>43097</v>
      </c>
      <c r="F633" t="str">
        <f>"201712197404"</f>
        <v>201712197404</v>
      </c>
      <c r="G633" t="str">
        <f>"55 576"</f>
        <v>55 576</v>
      </c>
      <c r="H633" s="2">
        <v>250</v>
      </c>
      <c r="I633" t="str">
        <f>"55 576"</f>
        <v>55 576</v>
      </c>
    </row>
    <row r="634" spans="1:9" x14ac:dyDescent="0.3">
      <c r="A634" t="str">
        <f>""</f>
        <v/>
      </c>
      <c r="F634" t="str">
        <f>"201712197407"</f>
        <v>201712197407</v>
      </c>
      <c r="G634" t="str">
        <f>"55 149"</f>
        <v>55 149</v>
      </c>
      <c r="H634" s="2">
        <v>250</v>
      </c>
      <c r="I634" t="str">
        <f>"55 149"</f>
        <v>55 149</v>
      </c>
    </row>
    <row r="635" spans="1:9" x14ac:dyDescent="0.3">
      <c r="A635" t="str">
        <f>""</f>
        <v/>
      </c>
      <c r="F635" t="str">
        <f>"201712197408"</f>
        <v>201712197408</v>
      </c>
      <c r="G635" t="str">
        <f>"53 695"</f>
        <v>53 695</v>
      </c>
      <c r="H635" s="2">
        <v>250</v>
      </c>
      <c r="I635" t="str">
        <f>"53 695"</f>
        <v>53 695</v>
      </c>
    </row>
    <row r="636" spans="1:9" x14ac:dyDescent="0.3">
      <c r="A636" t="str">
        <f>""</f>
        <v/>
      </c>
      <c r="F636" t="str">
        <f>"201712197433"</f>
        <v>201712197433</v>
      </c>
      <c r="G636" t="str">
        <f>"55 148"</f>
        <v>55 148</v>
      </c>
      <c r="H636" s="2">
        <v>250</v>
      </c>
      <c r="I636" t="str">
        <f>"55 148"</f>
        <v>55 148</v>
      </c>
    </row>
    <row r="637" spans="1:9" x14ac:dyDescent="0.3">
      <c r="A637" t="str">
        <f>"PPLAN"</f>
        <v>PPLAN</v>
      </c>
      <c r="B637" t="s">
        <v>178</v>
      </c>
      <c r="C637">
        <v>74149</v>
      </c>
      <c r="D637" s="2">
        <v>16490.080000000002</v>
      </c>
      <c r="E637" s="1">
        <v>43080</v>
      </c>
      <c r="F637" t="str">
        <f>"201712016881"</f>
        <v>201712016881</v>
      </c>
      <c r="G637" t="str">
        <f>"P55288/W92828/W92434/PCT#4"</f>
        <v>P55288/W92828/W92434/PCT#4</v>
      </c>
      <c r="H637" s="2">
        <v>8258.5300000000007</v>
      </c>
      <c r="I637" t="str">
        <f>"P55288/W92828/W92434/PCT#4"</f>
        <v>P55288/W92828/W92434/PCT#4</v>
      </c>
    </row>
    <row r="638" spans="1:9" x14ac:dyDescent="0.3">
      <c r="A638" t="str">
        <f>""</f>
        <v/>
      </c>
      <c r="F638" t="str">
        <f>"P55163"</f>
        <v>P55163</v>
      </c>
      <c r="G638" t="str">
        <f>"ACCT#8850283308/PCT#2"</f>
        <v>ACCT#8850283308/PCT#2</v>
      </c>
      <c r="H638" s="2">
        <v>1046.72</v>
      </c>
      <c r="I638" t="str">
        <f>"ACCT#8850283308/PCT#2"</f>
        <v>ACCT#8850283308/PCT#2</v>
      </c>
    </row>
    <row r="639" spans="1:9" x14ac:dyDescent="0.3">
      <c r="A639" t="str">
        <f>""</f>
        <v/>
      </c>
      <c r="F639" t="str">
        <f>"W90256 P55639"</f>
        <v>W90256 P55639</v>
      </c>
      <c r="G639" t="str">
        <f>"ACCT#8850283308/PCT#1"</f>
        <v>ACCT#8850283308/PCT#1</v>
      </c>
      <c r="H639" s="2">
        <v>209.73</v>
      </c>
      <c r="I639" t="str">
        <f>"ACCT#8850283308/PCT#1"</f>
        <v>ACCT#8850283308/PCT#1</v>
      </c>
    </row>
    <row r="640" spans="1:9" x14ac:dyDescent="0.3">
      <c r="A640" t="str">
        <f>""</f>
        <v/>
      </c>
      <c r="F640" t="str">
        <f>"W92753"</f>
        <v>W92753</v>
      </c>
      <c r="G640" t="str">
        <f>"ACCT#8850283308"</f>
        <v>ACCT#8850283308</v>
      </c>
      <c r="H640" s="2">
        <v>6975.1</v>
      </c>
      <c r="I640" t="str">
        <f>"ACCT#8850283308"</f>
        <v>ACCT#8850283308</v>
      </c>
    </row>
    <row r="641" spans="1:9" x14ac:dyDescent="0.3">
      <c r="A641" t="str">
        <f>"AT&amp;EI"</f>
        <v>AT&amp;EI</v>
      </c>
      <c r="B641" t="s">
        <v>179</v>
      </c>
      <c r="C641">
        <v>74150</v>
      </c>
      <c r="D641" s="2">
        <v>51.09</v>
      </c>
      <c r="E641" s="1">
        <v>43080</v>
      </c>
      <c r="F641" t="str">
        <f>"AP355745"</f>
        <v>AP355745</v>
      </c>
      <c r="G641" t="str">
        <f>"ACCT#3326/PCT#4"</f>
        <v>ACCT#3326/PCT#4</v>
      </c>
      <c r="H641" s="2">
        <v>51.09</v>
      </c>
      <c r="I641" t="str">
        <f>"ACCT#3326/PCT#4"</f>
        <v>ACCT#3326/PCT#4</v>
      </c>
    </row>
    <row r="642" spans="1:9" x14ac:dyDescent="0.3">
      <c r="A642" t="str">
        <f>"G&amp;C"</f>
        <v>G&amp;C</v>
      </c>
      <c r="B642" t="s">
        <v>180</v>
      </c>
      <c r="C642">
        <v>999999</v>
      </c>
      <c r="D642" s="2">
        <v>200.58</v>
      </c>
      <c r="E642" s="1">
        <v>43081</v>
      </c>
      <c r="F642" t="str">
        <f>"103682"</f>
        <v>103682</v>
      </c>
      <c r="G642" t="str">
        <f>"BUSINESS CARDS-DEVELOPMENT SVC"</f>
        <v>BUSINESS CARDS-DEVELOPMENT SVC</v>
      </c>
      <c r="H642" s="2">
        <v>110.46</v>
      </c>
      <c r="I642" t="str">
        <f>"BUSINESS CARDS-DEVELOPMENT SVC"</f>
        <v>BUSINESS CARDS-DEVELOPMENT SVC</v>
      </c>
    </row>
    <row r="643" spans="1:9" x14ac:dyDescent="0.3">
      <c r="A643" t="str">
        <f>""</f>
        <v/>
      </c>
      <c r="F643" t="str">
        <f>"GC 103722"</f>
        <v>GC 103722</v>
      </c>
      <c r="G643" t="str">
        <f>"INV GC 103722"</f>
        <v>INV GC 103722</v>
      </c>
      <c r="H643" s="2">
        <v>49.16</v>
      </c>
      <c r="I643" t="str">
        <f>"INV GC 103722"</f>
        <v>INV GC 103722</v>
      </c>
    </row>
    <row r="644" spans="1:9" x14ac:dyDescent="0.3">
      <c r="A644" t="str">
        <f>""</f>
        <v/>
      </c>
      <c r="F644" t="str">
        <f>"GC 103803"</f>
        <v>GC 103803</v>
      </c>
      <c r="G644" t="str">
        <f>"INV GC 103803"</f>
        <v>INV GC 103803</v>
      </c>
      <c r="H644" s="2">
        <v>40.96</v>
      </c>
      <c r="I644" t="str">
        <f>"INV GC 103803"</f>
        <v>INV GC 103803</v>
      </c>
    </row>
    <row r="645" spans="1:9" x14ac:dyDescent="0.3">
      <c r="A645" t="str">
        <f>"G&amp;C"</f>
        <v>G&amp;C</v>
      </c>
      <c r="B645" t="s">
        <v>180</v>
      </c>
      <c r="C645">
        <v>999999</v>
      </c>
      <c r="D645" s="2">
        <v>530.22</v>
      </c>
      <c r="E645" s="1">
        <v>43097</v>
      </c>
      <c r="F645" t="str">
        <f>"103945"</f>
        <v>103945</v>
      </c>
      <c r="G645" t="str">
        <f>"INV GC 103945"</f>
        <v>INV GC 103945</v>
      </c>
      <c r="H645" s="2">
        <v>530.22</v>
      </c>
      <c r="I645" t="str">
        <f>"INV GC 103945"</f>
        <v>INV GC 103945</v>
      </c>
    </row>
    <row r="646" spans="1:9" x14ac:dyDescent="0.3">
      <c r="A646" t="str">
        <f>"002605"</f>
        <v>002605</v>
      </c>
      <c r="B646" t="s">
        <v>181</v>
      </c>
      <c r="C646">
        <v>74383</v>
      </c>
      <c r="D646" s="2">
        <v>322.72000000000003</v>
      </c>
      <c r="E646" s="1">
        <v>43096</v>
      </c>
      <c r="F646" t="str">
        <f>"201712137294"</f>
        <v>201712137294</v>
      </c>
      <c r="G646" t="str">
        <f>"CUST#2179855/PCT#3"</f>
        <v>CUST#2179855/PCT#3</v>
      </c>
      <c r="H646" s="2">
        <v>322.72000000000003</v>
      </c>
      <c r="I646" t="str">
        <f>"CUST#2179855/PCT#3"</f>
        <v>CUST#2179855/PCT#3</v>
      </c>
    </row>
    <row r="647" spans="1:9" x14ac:dyDescent="0.3">
      <c r="A647" t="str">
        <f>"004048"</f>
        <v>004048</v>
      </c>
      <c r="B647" t="s">
        <v>182</v>
      </c>
      <c r="C647">
        <v>74384</v>
      </c>
      <c r="D647" s="2">
        <v>50</v>
      </c>
      <c r="E647" s="1">
        <v>43096</v>
      </c>
      <c r="F647" t="str">
        <f>"2018-5"</f>
        <v>2018-5</v>
      </c>
      <c r="G647" t="str">
        <f>"MEMBERSHIP#511/GCAT DUES"</f>
        <v>MEMBERSHIP#511/GCAT DUES</v>
      </c>
      <c r="H647" s="2">
        <v>50</v>
      </c>
      <c r="I647" t="str">
        <f>"MEMBERSHIP#511/GCAT DUES"</f>
        <v>MEMBERSHIP#511/GCAT DUES</v>
      </c>
    </row>
    <row r="648" spans="1:9" x14ac:dyDescent="0.3">
      <c r="A648" t="str">
        <f>"002712"</f>
        <v>002712</v>
      </c>
      <c r="B648" t="s">
        <v>183</v>
      </c>
      <c r="C648">
        <v>74151</v>
      </c>
      <c r="D648" s="2">
        <v>1270</v>
      </c>
      <c r="E648" s="1">
        <v>43080</v>
      </c>
      <c r="F648" t="str">
        <f>"168543"</f>
        <v>168543</v>
      </c>
      <c r="G648" t="str">
        <f>"ORD#168543/PCT#3"</f>
        <v>ORD#168543/PCT#3</v>
      </c>
      <c r="H648" s="2">
        <v>1270</v>
      </c>
      <c r="I648" t="str">
        <f>"ORD#168543/PCT#3"</f>
        <v>ORD#168543/PCT#3</v>
      </c>
    </row>
    <row r="649" spans="1:9" x14ac:dyDescent="0.3">
      <c r="A649" t="str">
        <f>"003913"</f>
        <v>003913</v>
      </c>
      <c r="B649" t="s">
        <v>184</v>
      </c>
      <c r="C649">
        <v>74385</v>
      </c>
      <c r="D649" s="2">
        <v>616.79999999999995</v>
      </c>
      <c r="E649" s="1">
        <v>43096</v>
      </c>
      <c r="F649" t="str">
        <f>"201712187348"</f>
        <v>201712187348</v>
      </c>
      <c r="G649" t="str">
        <f>"REIMBURSE-MILEAGE/HOTEL"</f>
        <v>REIMBURSE-MILEAGE/HOTEL</v>
      </c>
      <c r="H649" s="2">
        <v>616.79999999999995</v>
      </c>
      <c r="I649" t="str">
        <f>"REIMBURSE-MILEAGE/HOTEL"</f>
        <v>REIMBURSE-MILEAGE/HOTEL</v>
      </c>
    </row>
    <row r="650" spans="1:9" x14ac:dyDescent="0.3">
      <c r="A650" t="str">
        <f>"005117"</f>
        <v>005117</v>
      </c>
      <c r="B650" t="s">
        <v>185</v>
      </c>
      <c r="C650">
        <v>74152</v>
      </c>
      <c r="D650" s="2">
        <v>1357.6</v>
      </c>
      <c r="E650" s="1">
        <v>43080</v>
      </c>
      <c r="F650" t="str">
        <f>"0068650"</f>
        <v>0068650</v>
      </c>
      <c r="G650" t="str">
        <f>"CUST#0026673/ASP PATCH/PCT#3"</f>
        <v>CUST#0026673/ASP PATCH/PCT#3</v>
      </c>
      <c r="H650" s="2">
        <v>1357.6</v>
      </c>
    </row>
    <row r="651" spans="1:9" x14ac:dyDescent="0.3">
      <c r="A651" t="str">
        <f>"T12872"</f>
        <v>T12872</v>
      </c>
      <c r="B651" t="s">
        <v>186</v>
      </c>
      <c r="C651">
        <v>74153</v>
      </c>
      <c r="D651" s="2">
        <v>373.82</v>
      </c>
      <c r="E651" s="1">
        <v>43080</v>
      </c>
      <c r="F651" t="str">
        <f>"24446134.01-W1"</f>
        <v>24446134.01-W1</v>
      </c>
      <c r="G651" t="str">
        <f>"ITEM#13511230/ACCT#S02853"</f>
        <v>ITEM#13511230/ACCT#S02853</v>
      </c>
      <c r="H651" s="2">
        <v>373.82</v>
      </c>
      <c r="I651" t="str">
        <f>"ITEM#13511230/ACCT#S02853"</f>
        <v>ITEM#13511230/ACCT#S02853</v>
      </c>
    </row>
    <row r="652" spans="1:9" x14ac:dyDescent="0.3">
      <c r="A652" t="str">
        <f>"T12872"</f>
        <v>T12872</v>
      </c>
      <c r="B652" t="s">
        <v>186</v>
      </c>
      <c r="C652">
        <v>74386</v>
      </c>
      <c r="D652" s="2">
        <v>373.82</v>
      </c>
      <c r="E652" s="1">
        <v>43096</v>
      </c>
      <c r="F652" t="str">
        <f>"55392155"</f>
        <v>55392155</v>
      </c>
      <c r="G652" t="str">
        <f>"ACCT#13698184/ORD#53501407"</f>
        <v>ACCT#13698184/ORD#53501407</v>
      </c>
      <c r="H652" s="2">
        <v>373.82</v>
      </c>
      <c r="I652" t="str">
        <f>"ACCT#13698184/ORD#53501407"</f>
        <v>ACCT#13698184/ORD#53501407</v>
      </c>
    </row>
    <row r="653" spans="1:9" x14ac:dyDescent="0.3">
      <c r="A653" t="str">
        <f>"004169"</f>
        <v>004169</v>
      </c>
      <c r="B653" t="s">
        <v>187</v>
      </c>
      <c r="C653">
        <v>74154</v>
      </c>
      <c r="D653" s="2">
        <v>87.74</v>
      </c>
      <c r="E653" s="1">
        <v>43080</v>
      </c>
      <c r="F653" t="str">
        <f>"201712046997"</f>
        <v>201712046997</v>
      </c>
      <c r="G653" t="str">
        <f>"MILEAGE REIMBURSEMENT"</f>
        <v>MILEAGE REIMBURSEMENT</v>
      </c>
      <c r="H653" s="2">
        <v>87.74</v>
      </c>
      <c r="I653" t="str">
        <f>"MILEAGE REIMBURSEMENT"</f>
        <v>MILEAGE REIMBURSEMENT</v>
      </c>
    </row>
    <row r="654" spans="1:9" x14ac:dyDescent="0.3">
      <c r="A654" t="str">
        <f>"WWGI"</f>
        <v>WWGI</v>
      </c>
      <c r="B654" t="s">
        <v>188</v>
      </c>
      <c r="C654">
        <v>74155</v>
      </c>
      <c r="D654" s="2">
        <v>30.86</v>
      </c>
      <c r="E654" s="1">
        <v>43080</v>
      </c>
      <c r="F654" t="str">
        <f>"9630293265"</f>
        <v>9630293265</v>
      </c>
      <c r="G654" t="str">
        <f>"INV 9630293265"</f>
        <v>INV 9630293265</v>
      </c>
      <c r="H654" s="2">
        <v>30.86</v>
      </c>
      <c r="I654" t="str">
        <f>"INV 9630293265"</f>
        <v>INV 9630293265</v>
      </c>
    </row>
    <row r="655" spans="1:9" x14ac:dyDescent="0.3">
      <c r="A655" t="str">
        <f>"WWGI"</f>
        <v>WWGI</v>
      </c>
      <c r="B655" t="s">
        <v>188</v>
      </c>
      <c r="C655">
        <v>74387</v>
      </c>
      <c r="D655" s="2">
        <v>1054.78</v>
      </c>
      <c r="E655" s="1">
        <v>43096</v>
      </c>
      <c r="F655" t="str">
        <f>"9635197107 8147080"</f>
        <v>9635197107 8147080</v>
      </c>
      <c r="G655" t="str">
        <f>"Ticket# 6890"</f>
        <v>Ticket# 6890</v>
      </c>
      <c r="H655" s="2">
        <v>565.42999999999995</v>
      </c>
      <c r="I655" t="str">
        <f>"Item # 5YKJ5"</f>
        <v>Item # 5YKJ5</v>
      </c>
    </row>
    <row r="656" spans="1:9" x14ac:dyDescent="0.3">
      <c r="A656" t="str">
        <f>""</f>
        <v/>
      </c>
      <c r="F656" t="str">
        <f>""</f>
        <v/>
      </c>
      <c r="G656" t="str">
        <f>""</f>
        <v/>
      </c>
      <c r="I656" t="str">
        <f>"Item # 5YLH4"</f>
        <v>Item # 5YLH4</v>
      </c>
    </row>
    <row r="657" spans="1:9" x14ac:dyDescent="0.3">
      <c r="A657" t="str">
        <f>""</f>
        <v/>
      </c>
      <c r="F657" t="str">
        <f>""</f>
        <v/>
      </c>
      <c r="G657" t="str">
        <f>""</f>
        <v/>
      </c>
      <c r="I657" t="str">
        <f>"Item # 39RJ23"</f>
        <v>Item # 39RJ23</v>
      </c>
    </row>
    <row r="658" spans="1:9" x14ac:dyDescent="0.3">
      <c r="A658" t="str">
        <f>""</f>
        <v/>
      </c>
      <c r="F658" t="str">
        <f>""</f>
        <v/>
      </c>
      <c r="G658" t="str">
        <f>""</f>
        <v/>
      </c>
      <c r="I658" t="str">
        <f>"Item # 49CY82"</f>
        <v>Item # 49CY82</v>
      </c>
    </row>
    <row r="659" spans="1:9" x14ac:dyDescent="0.3">
      <c r="A659" t="str">
        <f>""</f>
        <v/>
      </c>
      <c r="F659" t="str">
        <f>"9635887285"</f>
        <v>9635887285</v>
      </c>
      <c r="G659" t="str">
        <f>"Cooling Tower Parts"</f>
        <v>Cooling Tower Parts</v>
      </c>
      <c r="H659" s="2">
        <v>323.07</v>
      </c>
      <c r="I659" t="str">
        <f>"Item # 4NWP5"</f>
        <v>Item # 4NWP5</v>
      </c>
    </row>
    <row r="660" spans="1:9" x14ac:dyDescent="0.3">
      <c r="A660" t="str">
        <f>""</f>
        <v/>
      </c>
      <c r="F660" t="str">
        <f>""</f>
        <v/>
      </c>
      <c r="G660" t="str">
        <f>""</f>
        <v/>
      </c>
      <c r="I660" t="str">
        <f>"Item # 4NWP2"</f>
        <v>Item # 4NWP2</v>
      </c>
    </row>
    <row r="661" spans="1:9" x14ac:dyDescent="0.3">
      <c r="A661" t="str">
        <f>""</f>
        <v/>
      </c>
      <c r="F661" t="str">
        <f>""</f>
        <v/>
      </c>
      <c r="G661" t="str">
        <f>""</f>
        <v/>
      </c>
      <c r="I661" t="str">
        <f>"Item # 4NWP4"</f>
        <v>Item # 4NWP4</v>
      </c>
    </row>
    <row r="662" spans="1:9" x14ac:dyDescent="0.3">
      <c r="A662" t="str">
        <f>""</f>
        <v/>
      </c>
      <c r="F662" t="str">
        <f>""</f>
        <v/>
      </c>
      <c r="G662" t="str">
        <f>""</f>
        <v/>
      </c>
      <c r="I662" t="str">
        <f>"Item # 4NWP3"</f>
        <v>Item # 4NWP3</v>
      </c>
    </row>
    <row r="663" spans="1:9" x14ac:dyDescent="0.3">
      <c r="A663" t="str">
        <f>""</f>
        <v/>
      </c>
      <c r="F663" t="str">
        <f>"9639310987"</f>
        <v>9639310987</v>
      </c>
      <c r="G663" t="str">
        <f>"ADB Hoist Rings"</f>
        <v>ADB Hoist Rings</v>
      </c>
      <c r="H663" s="2">
        <v>166.28</v>
      </c>
      <c r="I663" t="str">
        <f>"ADB Hoist Rings"</f>
        <v>ADB Hoist Rings</v>
      </c>
    </row>
    <row r="664" spans="1:9" x14ac:dyDescent="0.3">
      <c r="A664" t="str">
        <f>"005357"</f>
        <v>005357</v>
      </c>
      <c r="B664" t="s">
        <v>189</v>
      </c>
      <c r="C664">
        <v>74388</v>
      </c>
      <c r="D664" s="2">
        <v>65.52</v>
      </c>
      <c r="E664" s="1">
        <v>43096</v>
      </c>
      <c r="F664" t="str">
        <f>"201712207444"</f>
        <v>201712207444</v>
      </c>
      <c r="G664" t="str">
        <f>"ACCT#11755075/HUMAN RESOURCES"</f>
        <v>ACCT#11755075/HUMAN RESOURCES</v>
      </c>
      <c r="H664" s="2">
        <v>65.52</v>
      </c>
      <c r="I664" t="str">
        <f>"ACCT#11755075/HUMAN RESOURCES"</f>
        <v>ACCT#11755075/HUMAN RESOURCES</v>
      </c>
    </row>
    <row r="665" spans="1:9" x14ac:dyDescent="0.3">
      <c r="A665" t="str">
        <f>"004757"</f>
        <v>004757</v>
      </c>
      <c r="B665" t="s">
        <v>190</v>
      </c>
      <c r="C665">
        <v>74389</v>
      </c>
      <c r="D665" s="2">
        <v>66769</v>
      </c>
      <c r="E665" s="1">
        <v>43096</v>
      </c>
      <c r="F665" t="str">
        <f>"DODGE VEHICLES"</f>
        <v>DODGE VEHICLES</v>
      </c>
      <c r="G665" t="str">
        <f>"Dodge 1500"</f>
        <v>Dodge 1500</v>
      </c>
      <c r="H665" s="2">
        <v>66769</v>
      </c>
      <c r="I665" t="str">
        <f>"Dodge 1500"</f>
        <v>Dodge 1500</v>
      </c>
    </row>
    <row r="666" spans="1:9" x14ac:dyDescent="0.3">
      <c r="A666" t="str">
        <f>""</f>
        <v/>
      </c>
      <c r="F666" t="str">
        <f>""</f>
        <v/>
      </c>
      <c r="G666" t="str">
        <f>""</f>
        <v/>
      </c>
      <c r="I666" t="str">
        <f>"Dodge 1500"</f>
        <v>Dodge 1500</v>
      </c>
    </row>
    <row r="667" spans="1:9" x14ac:dyDescent="0.3">
      <c r="A667" t="str">
        <f>""</f>
        <v/>
      </c>
      <c r="F667" t="str">
        <f>""</f>
        <v/>
      </c>
      <c r="G667" t="str">
        <f>""</f>
        <v/>
      </c>
      <c r="I667" t="str">
        <f>"Dodge 1500"</f>
        <v>Dodge 1500</v>
      </c>
    </row>
    <row r="668" spans="1:9" x14ac:dyDescent="0.3">
      <c r="A668" t="str">
        <f>""</f>
        <v/>
      </c>
      <c r="F668" t="str">
        <f>""</f>
        <v/>
      </c>
      <c r="G668" t="str">
        <f>""</f>
        <v/>
      </c>
      <c r="I668" t="str">
        <f>"BuyBoard Fee"</f>
        <v>BuyBoard Fee</v>
      </c>
    </row>
    <row r="669" spans="1:9" x14ac:dyDescent="0.3">
      <c r="A669" t="str">
        <f>"000097"</f>
        <v>000097</v>
      </c>
      <c r="B669" t="s">
        <v>191</v>
      </c>
      <c r="C669">
        <v>74390</v>
      </c>
      <c r="D669" s="2">
        <v>50</v>
      </c>
      <c r="E669" s="1">
        <v>43096</v>
      </c>
      <c r="F669" t="str">
        <f>"4831"</f>
        <v>4831</v>
      </c>
      <c r="G669" t="str">
        <f>"2018 MEMBERSHIP DUES"</f>
        <v>2018 MEMBERSHIP DUES</v>
      </c>
      <c r="H669" s="2">
        <v>50</v>
      </c>
      <c r="I669" t="str">
        <f>"2018 MEMBERSHIP DUES"</f>
        <v>2018 MEMBERSHIP DUES</v>
      </c>
    </row>
    <row r="670" spans="1:9" x14ac:dyDescent="0.3">
      <c r="A670" t="str">
        <f>"005317"</f>
        <v>005317</v>
      </c>
      <c r="B670" t="s">
        <v>192</v>
      </c>
      <c r="C670">
        <v>74156</v>
      </c>
      <c r="D670" s="2">
        <v>20</v>
      </c>
      <c r="E670" s="1">
        <v>43080</v>
      </c>
      <c r="F670" t="str">
        <f>"201711286796"</f>
        <v>201711286796</v>
      </c>
      <c r="G670" t="str">
        <f>"FERAL HOGS"</f>
        <v>FERAL HOGS</v>
      </c>
      <c r="H670" s="2">
        <v>20</v>
      </c>
      <c r="I670" t="str">
        <f>"FERAL HOGS"</f>
        <v>FERAL HOGS</v>
      </c>
    </row>
    <row r="671" spans="1:9" x14ac:dyDescent="0.3">
      <c r="A671" t="str">
        <f>"GTDI"</f>
        <v>GTDI</v>
      </c>
      <c r="B671" t="s">
        <v>193</v>
      </c>
      <c r="C671">
        <v>74391</v>
      </c>
      <c r="D671" s="2">
        <v>834.22</v>
      </c>
      <c r="E671" s="1">
        <v>43096</v>
      </c>
      <c r="F671" t="str">
        <f>"0641517 0641758"</f>
        <v>0641517 0641758</v>
      </c>
      <c r="G671" t="str">
        <f>"INV 0641517/INV 0641758"</f>
        <v>INV 0641517/INV 0641758</v>
      </c>
      <c r="H671" s="2">
        <v>834.22</v>
      </c>
      <c r="I671" t="str">
        <f>"INV 0641517"</f>
        <v>INV 0641517</v>
      </c>
    </row>
    <row r="672" spans="1:9" x14ac:dyDescent="0.3">
      <c r="A672" t="str">
        <f>""</f>
        <v/>
      </c>
      <c r="F672" t="str">
        <f>""</f>
        <v/>
      </c>
      <c r="G672" t="str">
        <f>""</f>
        <v/>
      </c>
      <c r="I672" t="str">
        <f>"INV 0641758"</f>
        <v>INV 0641758</v>
      </c>
    </row>
    <row r="673" spans="1:10" x14ac:dyDescent="0.3">
      <c r="A673" t="str">
        <f>"T3667"</f>
        <v>T3667</v>
      </c>
      <c r="B673" t="s">
        <v>194</v>
      </c>
      <c r="C673">
        <v>74392</v>
      </c>
      <c r="D673" s="2">
        <v>3255.58</v>
      </c>
      <c r="E673" s="1">
        <v>43096</v>
      </c>
      <c r="F673" t="str">
        <f>"1425570"</f>
        <v>1425570</v>
      </c>
      <c r="G673" t="str">
        <f>"CUST#0007014928/ORD#LR061/00"</f>
        <v>CUST#0007014928/ORD#LR061/00</v>
      </c>
      <c r="H673" s="2">
        <v>665.32</v>
      </c>
      <c r="I673" t="str">
        <f>"CUST#0007014928/ORD#LR061/00"</f>
        <v>CUST#0007014928/ORD#LR061/00</v>
      </c>
    </row>
    <row r="674" spans="1:10" x14ac:dyDescent="0.3">
      <c r="A674" t="str">
        <f>""</f>
        <v/>
      </c>
      <c r="F674" t="str">
        <f>"1425574"</f>
        <v>1425574</v>
      </c>
      <c r="G674" t="str">
        <f>"INV 1425574"</f>
        <v>INV 1425574</v>
      </c>
      <c r="H674" s="2">
        <v>2590.2600000000002</v>
      </c>
      <c r="I674" t="str">
        <f>"INV 1425574"</f>
        <v>INV 1425574</v>
      </c>
    </row>
    <row r="675" spans="1:10" x14ac:dyDescent="0.3">
      <c r="A675" t="str">
        <f>""</f>
        <v/>
      </c>
      <c r="F675" t="str">
        <f>""</f>
        <v/>
      </c>
      <c r="G675" t="str">
        <f>""</f>
        <v/>
      </c>
      <c r="I675" t="str">
        <f>"INV 1425574"</f>
        <v>INV 1425574</v>
      </c>
    </row>
    <row r="676" spans="1:10" x14ac:dyDescent="0.3">
      <c r="A676" t="str">
        <f>"003170"</f>
        <v>003170</v>
      </c>
      <c r="B676" t="s">
        <v>195</v>
      </c>
      <c r="C676">
        <v>74157</v>
      </c>
      <c r="D676" s="2">
        <v>600</v>
      </c>
      <c r="E676" s="1">
        <v>43080</v>
      </c>
      <c r="F676" t="str">
        <f>"11777"</f>
        <v>11777</v>
      </c>
      <c r="G676" t="str">
        <f>"SERVICE"</f>
        <v>SERVICE</v>
      </c>
      <c r="H676" s="2">
        <v>600</v>
      </c>
      <c r="I676" t="str">
        <f>"SERVICE"</f>
        <v>SERVICE</v>
      </c>
    </row>
    <row r="677" spans="1:10" x14ac:dyDescent="0.3">
      <c r="A677" t="str">
        <f>"005221"</f>
        <v>005221</v>
      </c>
      <c r="B677" t="s">
        <v>196</v>
      </c>
      <c r="C677">
        <v>74158</v>
      </c>
      <c r="D677" s="2">
        <v>4104.5600000000004</v>
      </c>
      <c r="E677" s="1">
        <v>43080</v>
      </c>
      <c r="F677" t="str">
        <f>"21990"</f>
        <v>21990</v>
      </c>
      <c r="G677" t="str">
        <f>"TICKET#87125 &amp; 87209/PCT#3"</f>
        <v>TICKET#87125 &amp; 87209/PCT#3</v>
      </c>
      <c r="H677" s="2">
        <v>568.74</v>
      </c>
      <c r="I677" t="str">
        <f>"TICKET#87125 &amp; 87209/PCT#3"</f>
        <v>TICKET#87125 &amp; 87209/PCT#3</v>
      </c>
    </row>
    <row r="678" spans="1:10" x14ac:dyDescent="0.3">
      <c r="A678" t="str">
        <f>""</f>
        <v/>
      </c>
      <c r="F678" t="str">
        <f>"21991"</f>
        <v>21991</v>
      </c>
      <c r="G678" t="str">
        <f>"ACCT#954/RIP RAP/PCT#2"</f>
        <v>ACCT#954/RIP RAP/PCT#2</v>
      </c>
      <c r="H678" s="2">
        <v>3535.82</v>
      </c>
      <c r="I678" t="str">
        <f>"ACCT#954/RIP RAP/PCT#2"</f>
        <v>ACCT#954/RIP RAP/PCT#2</v>
      </c>
    </row>
    <row r="679" spans="1:10" x14ac:dyDescent="0.3">
      <c r="A679" t="str">
        <f>"005221"</f>
        <v>005221</v>
      </c>
      <c r="B679" t="s">
        <v>196</v>
      </c>
      <c r="C679">
        <v>74393</v>
      </c>
      <c r="D679" s="2">
        <v>2094.6799999999998</v>
      </c>
      <c r="E679" s="1">
        <v>43096</v>
      </c>
      <c r="F679" t="str">
        <f>"22110"</f>
        <v>22110</v>
      </c>
      <c r="G679" t="str">
        <f>"ACCT#954/RIP RAP/PCT#2"</f>
        <v>ACCT#954/RIP RAP/PCT#2</v>
      </c>
      <c r="H679" s="2">
        <v>2094.6799999999998</v>
      </c>
      <c r="I679" t="str">
        <f>"ACCT#954/RIP RAP/PCT#2"</f>
        <v>ACCT#954/RIP RAP/PCT#2</v>
      </c>
    </row>
    <row r="680" spans="1:10" x14ac:dyDescent="0.3">
      <c r="A680" t="str">
        <f>"005336"</f>
        <v>005336</v>
      </c>
      <c r="B680" t="s">
        <v>197</v>
      </c>
      <c r="C680">
        <v>74159</v>
      </c>
      <c r="D680" s="2">
        <v>25</v>
      </c>
      <c r="E680" s="1">
        <v>43080</v>
      </c>
      <c r="F680" t="s">
        <v>198</v>
      </c>
      <c r="G680" t="s">
        <v>199</v>
      </c>
      <c r="H680" s="2" t="str">
        <f>"REFUND"</f>
        <v>REFUND</v>
      </c>
      <c r="I680" t="str">
        <f>"341-7018"</f>
        <v>341-7018</v>
      </c>
      <c r="J680">
        <v>25</v>
      </c>
    </row>
    <row r="681" spans="1:10" x14ac:dyDescent="0.3">
      <c r="A681" t="str">
        <f>"000061"</f>
        <v>000061</v>
      </c>
      <c r="B681" t="s">
        <v>200</v>
      </c>
      <c r="C681">
        <v>74394</v>
      </c>
      <c r="D681" s="2">
        <v>846.23</v>
      </c>
      <c r="E681" s="1">
        <v>43096</v>
      </c>
      <c r="F681" t="str">
        <f>"304074"</f>
        <v>304074</v>
      </c>
      <c r="G681" t="str">
        <f>"PARTS/PCT#2"</f>
        <v>PARTS/PCT#2</v>
      </c>
      <c r="H681" s="2">
        <v>836.27</v>
      </c>
      <c r="I681" t="str">
        <f>"PARTS/PCT#2"</f>
        <v>PARTS/PCT#2</v>
      </c>
    </row>
    <row r="682" spans="1:10" x14ac:dyDescent="0.3">
      <c r="A682" t="str">
        <f>""</f>
        <v/>
      </c>
      <c r="F682" t="str">
        <f>"304157"</f>
        <v>304157</v>
      </c>
      <c r="G682" t="str">
        <f>"PART#002019573/PCT#2"</f>
        <v>PART#002019573/PCT#2</v>
      </c>
      <c r="H682" s="2">
        <v>9.9600000000000009</v>
      </c>
      <c r="I682" t="str">
        <f>"PART#002019573/PCT#2"</f>
        <v>PART#002019573/PCT#2</v>
      </c>
    </row>
    <row r="683" spans="1:10" x14ac:dyDescent="0.3">
      <c r="A683" t="str">
        <f>"004368"</f>
        <v>004368</v>
      </c>
      <c r="B683" t="s">
        <v>201</v>
      </c>
      <c r="C683">
        <v>74160</v>
      </c>
      <c r="D683" s="2">
        <v>130</v>
      </c>
      <c r="E683" s="1">
        <v>43080</v>
      </c>
      <c r="F683" t="str">
        <f>"201711286797"</f>
        <v>201711286797</v>
      </c>
      <c r="G683" t="str">
        <f>"FERAL HOGS"</f>
        <v>FERAL HOGS</v>
      </c>
      <c r="H683" s="2">
        <v>130</v>
      </c>
      <c r="I683" t="str">
        <f>"FERAL HOGS"</f>
        <v>FERAL HOGS</v>
      </c>
    </row>
    <row r="684" spans="1:10" x14ac:dyDescent="0.3">
      <c r="A684" t="str">
        <f>"002681"</f>
        <v>002681</v>
      </c>
      <c r="B684" t="s">
        <v>202</v>
      </c>
      <c r="C684">
        <v>74161</v>
      </c>
      <c r="D684" s="2">
        <v>184.11</v>
      </c>
      <c r="E684" s="1">
        <v>43080</v>
      </c>
      <c r="F684" t="str">
        <f>"0004586132-IN"</f>
        <v>0004586132-IN</v>
      </c>
      <c r="G684" t="str">
        <f>"INV 0004586132-IN"</f>
        <v>INV 0004586132-IN</v>
      </c>
      <c r="H684" s="2">
        <v>184.11</v>
      </c>
      <c r="I684" t="str">
        <f>"INV 0004586132-IN"</f>
        <v>INV 0004586132-IN</v>
      </c>
    </row>
    <row r="685" spans="1:10" x14ac:dyDescent="0.3">
      <c r="A685" t="str">
        <f>"004624"</f>
        <v>004624</v>
      </c>
      <c r="B685" t="s">
        <v>203</v>
      </c>
      <c r="C685">
        <v>74162</v>
      </c>
      <c r="D685" s="2">
        <v>100</v>
      </c>
      <c r="E685" s="1">
        <v>43080</v>
      </c>
      <c r="F685" t="s">
        <v>92</v>
      </c>
      <c r="G685" t="s">
        <v>204</v>
      </c>
      <c r="H685" s="2" t="str">
        <f>"RESTITUTION-M. FELTS"</f>
        <v>RESTITUTION-M. FELTS</v>
      </c>
      <c r="I685" t="str">
        <f>"210-0000"</f>
        <v>210-0000</v>
      </c>
      <c r="J685">
        <v>100</v>
      </c>
    </row>
    <row r="686" spans="1:10" x14ac:dyDescent="0.3">
      <c r="A686" t="str">
        <f>"HPC"</f>
        <v>HPC</v>
      </c>
      <c r="B686" t="s">
        <v>205</v>
      </c>
      <c r="C686">
        <v>999999</v>
      </c>
      <c r="D686" s="2">
        <v>650</v>
      </c>
      <c r="E686" s="1">
        <v>43097</v>
      </c>
      <c r="F686" t="str">
        <f>"DECEMBER SERVICES"</f>
        <v>DECEMBER SERVICES</v>
      </c>
      <c r="G686" t="str">
        <f>"BASCOM L HODGES JR"</f>
        <v>BASCOM L HODGES JR</v>
      </c>
      <c r="H686" s="2">
        <v>650</v>
      </c>
      <c r="I686" t="str">
        <f>""</f>
        <v/>
      </c>
    </row>
    <row r="687" spans="1:10" x14ac:dyDescent="0.3">
      <c r="A687" t="str">
        <f>"ECKEL"</f>
        <v>ECKEL</v>
      </c>
      <c r="B687" t="s">
        <v>206</v>
      </c>
      <c r="C687">
        <v>74163</v>
      </c>
      <c r="D687" s="2">
        <v>2225</v>
      </c>
      <c r="E687" s="1">
        <v>43080</v>
      </c>
      <c r="F687" t="str">
        <f>"201712046893"</f>
        <v>201712046893</v>
      </c>
      <c r="G687" t="str">
        <f>"17-18277"</f>
        <v>17-18277</v>
      </c>
      <c r="H687" s="2">
        <v>137.5</v>
      </c>
      <c r="I687" t="str">
        <f>"17-18277"</f>
        <v>17-18277</v>
      </c>
    </row>
    <row r="688" spans="1:10" x14ac:dyDescent="0.3">
      <c r="A688" t="str">
        <f>""</f>
        <v/>
      </c>
      <c r="F688" t="str">
        <f>"201712046894"</f>
        <v>201712046894</v>
      </c>
      <c r="G688" t="str">
        <f>"17-18119"</f>
        <v>17-18119</v>
      </c>
      <c r="H688" s="2">
        <v>137.5</v>
      </c>
      <c r="I688" t="str">
        <f>"17-18119"</f>
        <v>17-18119</v>
      </c>
    </row>
    <row r="689" spans="1:9" x14ac:dyDescent="0.3">
      <c r="A689" t="str">
        <f>""</f>
        <v/>
      </c>
      <c r="F689" t="str">
        <f>"201712057162"</f>
        <v>201712057162</v>
      </c>
      <c r="G689" t="str">
        <f>"45 579"</f>
        <v>45 579</v>
      </c>
      <c r="H689" s="2">
        <v>250</v>
      </c>
      <c r="I689" t="str">
        <f>"45 579"</f>
        <v>45 579</v>
      </c>
    </row>
    <row r="690" spans="1:9" x14ac:dyDescent="0.3">
      <c r="A690" t="str">
        <f>""</f>
        <v/>
      </c>
      <c r="F690" t="str">
        <f>"201712057163"</f>
        <v>201712057163</v>
      </c>
      <c r="G690" t="str">
        <f>"55 085"</f>
        <v>55 085</v>
      </c>
      <c r="H690" s="2">
        <v>250</v>
      </c>
      <c r="I690" t="str">
        <f>"55 085"</f>
        <v>55 085</v>
      </c>
    </row>
    <row r="691" spans="1:9" x14ac:dyDescent="0.3">
      <c r="A691" t="str">
        <f>""</f>
        <v/>
      </c>
      <c r="F691" t="str">
        <f>"201712057164"</f>
        <v>201712057164</v>
      </c>
      <c r="G691" t="str">
        <f>"55 116"</f>
        <v>55 116</v>
      </c>
      <c r="H691" s="2">
        <v>250</v>
      </c>
      <c r="I691" t="str">
        <f>"55 116"</f>
        <v>55 116</v>
      </c>
    </row>
    <row r="692" spans="1:9" x14ac:dyDescent="0.3">
      <c r="A692" t="str">
        <f>""</f>
        <v/>
      </c>
      <c r="F692" t="str">
        <f>"201712057165"</f>
        <v>201712057165</v>
      </c>
      <c r="G692" t="str">
        <f>"55 509"</f>
        <v>55 509</v>
      </c>
      <c r="H692" s="2">
        <v>250</v>
      </c>
      <c r="I692" t="str">
        <f>"55 509"</f>
        <v>55 509</v>
      </c>
    </row>
    <row r="693" spans="1:9" x14ac:dyDescent="0.3">
      <c r="A693" t="str">
        <f>""</f>
        <v/>
      </c>
      <c r="F693" t="str">
        <f>"201712057166"</f>
        <v>201712057166</v>
      </c>
      <c r="G693" t="str">
        <f>"55 523"</f>
        <v>55 523</v>
      </c>
      <c r="H693" s="2">
        <v>250</v>
      </c>
      <c r="I693" t="str">
        <f>"55 523"</f>
        <v>55 523</v>
      </c>
    </row>
    <row r="694" spans="1:9" x14ac:dyDescent="0.3">
      <c r="A694" t="str">
        <f>""</f>
        <v/>
      </c>
      <c r="F694" t="str">
        <f>"201712057167"</f>
        <v>201712057167</v>
      </c>
      <c r="G694" t="str">
        <f>"55 328"</f>
        <v>55 328</v>
      </c>
      <c r="H694" s="2">
        <v>250</v>
      </c>
      <c r="I694" t="str">
        <f>"55 328"</f>
        <v>55 328</v>
      </c>
    </row>
    <row r="695" spans="1:9" x14ac:dyDescent="0.3">
      <c r="A695" t="str">
        <f>""</f>
        <v/>
      </c>
      <c r="F695" t="str">
        <f>"201712057168"</f>
        <v>201712057168</v>
      </c>
      <c r="G695" t="str">
        <f>"54 820"</f>
        <v>54 820</v>
      </c>
      <c r="H695" s="2">
        <v>250</v>
      </c>
      <c r="I695" t="str">
        <f>"54 820"</f>
        <v>54 820</v>
      </c>
    </row>
    <row r="696" spans="1:9" x14ac:dyDescent="0.3">
      <c r="A696" t="str">
        <f>""</f>
        <v/>
      </c>
      <c r="F696" t="str">
        <f>"201712067194"</f>
        <v>201712067194</v>
      </c>
      <c r="G696" t="str">
        <f>"07-11543"</f>
        <v>07-11543</v>
      </c>
      <c r="H696" s="2">
        <v>100</v>
      </c>
      <c r="I696" t="str">
        <f>"07-11543"</f>
        <v>07-11543</v>
      </c>
    </row>
    <row r="697" spans="1:9" x14ac:dyDescent="0.3">
      <c r="A697" t="str">
        <f>""</f>
        <v/>
      </c>
      <c r="F697" t="str">
        <f>"201712067195"</f>
        <v>201712067195</v>
      </c>
      <c r="G697" t="str">
        <f>"02-7522"</f>
        <v>02-7522</v>
      </c>
      <c r="H697" s="2">
        <v>100</v>
      </c>
      <c r="I697" t="str">
        <f>"02-7522"</f>
        <v>02-7522</v>
      </c>
    </row>
    <row r="698" spans="1:9" x14ac:dyDescent="0.3">
      <c r="A698" t="str">
        <f>"ECKEL"</f>
        <v>ECKEL</v>
      </c>
      <c r="B698" t="s">
        <v>206</v>
      </c>
      <c r="C698">
        <v>74395</v>
      </c>
      <c r="D698" s="2">
        <v>587.5</v>
      </c>
      <c r="E698" s="1">
        <v>43096</v>
      </c>
      <c r="F698" t="str">
        <f>"201712197395"</f>
        <v>201712197395</v>
      </c>
      <c r="G698" t="str">
        <f>"17-18672"</f>
        <v>17-18672</v>
      </c>
      <c r="H698" s="2">
        <v>100</v>
      </c>
      <c r="I698" t="str">
        <f>"17-18672"</f>
        <v>17-18672</v>
      </c>
    </row>
    <row r="699" spans="1:9" x14ac:dyDescent="0.3">
      <c r="A699" t="str">
        <f>""</f>
        <v/>
      </c>
      <c r="F699" t="str">
        <f>"201712197396"</f>
        <v>201712197396</v>
      </c>
      <c r="G699" t="str">
        <f>"17-18635"</f>
        <v>17-18635</v>
      </c>
      <c r="H699" s="2">
        <v>100</v>
      </c>
      <c r="I699" t="str">
        <f>"17-18635"</f>
        <v>17-18635</v>
      </c>
    </row>
    <row r="700" spans="1:9" x14ac:dyDescent="0.3">
      <c r="A700" t="str">
        <f>""</f>
        <v/>
      </c>
      <c r="F700" t="str">
        <f>"201712197397"</f>
        <v>201712197397</v>
      </c>
      <c r="G700" t="str">
        <f>"16-17760"</f>
        <v>16-17760</v>
      </c>
      <c r="H700" s="2">
        <v>137.5</v>
      </c>
      <c r="I700" t="str">
        <f>"16-17760"</f>
        <v>16-17760</v>
      </c>
    </row>
    <row r="701" spans="1:9" x14ac:dyDescent="0.3">
      <c r="A701" t="str">
        <f>""</f>
        <v/>
      </c>
      <c r="F701" t="str">
        <f>"201712197421"</f>
        <v>201712197421</v>
      </c>
      <c r="G701" t="str">
        <f>"55 358"</f>
        <v>55 358</v>
      </c>
      <c r="H701" s="2">
        <v>250</v>
      </c>
      <c r="I701" t="str">
        <f>"55 358"</f>
        <v>55 358</v>
      </c>
    </row>
    <row r="702" spans="1:9" x14ac:dyDescent="0.3">
      <c r="A702" t="str">
        <f>"T7901"</f>
        <v>T7901</v>
      </c>
      <c r="B702" t="s">
        <v>207</v>
      </c>
      <c r="C702">
        <v>74396</v>
      </c>
      <c r="D702" s="2">
        <v>2832.4</v>
      </c>
      <c r="E702" s="1">
        <v>43096</v>
      </c>
      <c r="F702" t="str">
        <f>"201712207461"</f>
        <v>201712207461</v>
      </c>
      <c r="G702" t="str">
        <f>"CAUSE#16 140/COURT REPORT SVC"</f>
        <v>CAUSE#16 140/COURT REPORT SVC</v>
      </c>
      <c r="H702" s="2">
        <v>2832.4</v>
      </c>
      <c r="I702" t="str">
        <f>"CAUSE#16 140/COURT REPORT SVC"</f>
        <v>CAUSE#16 140/COURT REPORT SVC</v>
      </c>
    </row>
    <row r="703" spans="1:9" x14ac:dyDescent="0.3">
      <c r="A703" t="str">
        <f>"HM"</f>
        <v>HM</v>
      </c>
      <c r="B703" t="s">
        <v>208</v>
      </c>
      <c r="C703">
        <v>74164</v>
      </c>
      <c r="D703" s="2">
        <v>2401.8000000000002</v>
      </c>
      <c r="E703" s="1">
        <v>43080</v>
      </c>
      <c r="F703" t="str">
        <f>"PIMA0275360"</f>
        <v>PIMA0275360</v>
      </c>
      <c r="G703" t="str">
        <f>"CUST#0129150/PCT#3"</f>
        <v>CUST#0129150/PCT#3</v>
      </c>
      <c r="H703" s="2">
        <v>351.82</v>
      </c>
      <c r="I703" t="str">
        <f>"CUST#0129150/PCT#3"</f>
        <v>CUST#0129150/PCT#3</v>
      </c>
    </row>
    <row r="704" spans="1:9" x14ac:dyDescent="0.3">
      <c r="A704" t="str">
        <f>""</f>
        <v/>
      </c>
      <c r="F704" t="str">
        <f>"PIMA0275635"</f>
        <v>PIMA0275635</v>
      </c>
      <c r="G704" t="str">
        <f>"CUST#0129150/PARTS/PCT#3"</f>
        <v>CUST#0129150/PARTS/PCT#3</v>
      </c>
      <c r="H704" s="2">
        <v>947.58</v>
      </c>
      <c r="I704" t="str">
        <f>"CUST#0129150/PARTS/PCT#3"</f>
        <v>CUST#0129150/PARTS/PCT#3</v>
      </c>
    </row>
    <row r="705" spans="1:9" x14ac:dyDescent="0.3">
      <c r="A705" t="str">
        <f>""</f>
        <v/>
      </c>
      <c r="F705" t="str">
        <f>"PIMA0276055"</f>
        <v>PIMA0276055</v>
      </c>
      <c r="G705" t="str">
        <f>"CUST#0129050/PCT#1"</f>
        <v>CUST#0129050/PCT#1</v>
      </c>
      <c r="H705" s="2">
        <v>335.15</v>
      </c>
      <c r="I705" t="str">
        <f>"CUST#0129050/PCT#1"</f>
        <v>CUST#0129050/PCT#1</v>
      </c>
    </row>
    <row r="706" spans="1:9" x14ac:dyDescent="0.3">
      <c r="A706" t="str">
        <f>""</f>
        <v/>
      </c>
      <c r="F706" t="str">
        <f>"PIMA0276173"</f>
        <v>PIMA0276173</v>
      </c>
      <c r="G706" t="str">
        <f>"CUST#0129150/PCT#3"</f>
        <v>CUST#0129150/PCT#3</v>
      </c>
      <c r="H706" s="2">
        <v>413.95</v>
      </c>
      <c r="I706" t="str">
        <f>"CUST#0129150/PCT#3"</f>
        <v>CUST#0129150/PCT#3</v>
      </c>
    </row>
    <row r="707" spans="1:9" x14ac:dyDescent="0.3">
      <c r="A707" t="str">
        <f>""</f>
        <v/>
      </c>
      <c r="F707" t="str">
        <f>"PIMP0259770"</f>
        <v>PIMP0259770</v>
      </c>
      <c r="G707" t="str">
        <f>"CUST#0129200/PCT#4"</f>
        <v>CUST#0129200/PCT#4</v>
      </c>
      <c r="H707" s="2">
        <v>197.78</v>
      </c>
      <c r="I707" t="str">
        <f>"CUST#0129200/PCT#4"</f>
        <v>CUST#0129200/PCT#4</v>
      </c>
    </row>
    <row r="708" spans="1:9" x14ac:dyDescent="0.3">
      <c r="A708" t="str">
        <f>""</f>
        <v/>
      </c>
      <c r="F708" t="str">
        <f>"PIMP0259921"</f>
        <v>PIMP0259921</v>
      </c>
      <c r="G708" t="str">
        <f>"CUST#0129200/PCT#4"</f>
        <v>CUST#0129200/PCT#4</v>
      </c>
      <c r="H708" s="2">
        <v>155.52000000000001</v>
      </c>
      <c r="I708" t="str">
        <f>"CUST#0129200/PCT#4"</f>
        <v>CUST#0129200/PCT#4</v>
      </c>
    </row>
    <row r="709" spans="1:9" x14ac:dyDescent="0.3">
      <c r="A709" t="str">
        <f>"HM"</f>
        <v>HM</v>
      </c>
      <c r="B709" t="s">
        <v>208</v>
      </c>
      <c r="C709">
        <v>74397</v>
      </c>
      <c r="D709" s="2">
        <v>1105.22</v>
      </c>
      <c r="E709" s="1">
        <v>43096</v>
      </c>
      <c r="F709" t="str">
        <f>"PIMA0276358"</f>
        <v>PIMA0276358</v>
      </c>
      <c r="G709" t="str">
        <f>"CUST#0129100/PCT#2"</f>
        <v>CUST#0129100/PCT#2</v>
      </c>
      <c r="H709" s="2">
        <v>73.52</v>
      </c>
      <c r="I709" t="str">
        <f>"CUST#0129100/PCT#2"</f>
        <v>CUST#0129100/PCT#2</v>
      </c>
    </row>
    <row r="710" spans="1:9" x14ac:dyDescent="0.3">
      <c r="A710" t="str">
        <f>""</f>
        <v/>
      </c>
      <c r="F710" t="str">
        <f>"PIMA0276658"</f>
        <v>PIMA0276658</v>
      </c>
      <c r="G710" t="str">
        <f>"CUST#0129100/PARTS/PCT#2"</f>
        <v>CUST#0129100/PARTS/PCT#2</v>
      </c>
      <c r="H710" s="2">
        <v>183.35</v>
      </c>
      <c r="I710" t="str">
        <f>"CUST#0129100/PARTS/PCT#2"</f>
        <v>CUST#0129100/PARTS/PCT#2</v>
      </c>
    </row>
    <row r="711" spans="1:9" x14ac:dyDescent="0.3">
      <c r="A711" t="str">
        <f>""</f>
        <v/>
      </c>
      <c r="F711" t="str">
        <f>"PIMA0276878"</f>
        <v>PIMA0276878</v>
      </c>
      <c r="G711" t="str">
        <f>"CUST#0129100/PCT#2"</f>
        <v>CUST#0129100/PCT#2</v>
      </c>
      <c r="H711" s="2">
        <v>848.35</v>
      </c>
      <c r="I711" t="str">
        <f>"CUST#0129100/PCT#2"</f>
        <v>CUST#0129100/PCT#2</v>
      </c>
    </row>
    <row r="712" spans="1:9" x14ac:dyDescent="0.3">
      <c r="A712" t="str">
        <f>"T8869"</f>
        <v>T8869</v>
      </c>
      <c r="B712" t="s">
        <v>209</v>
      </c>
      <c r="C712">
        <v>74165</v>
      </c>
      <c r="D712" s="2">
        <v>2842.19</v>
      </c>
      <c r="E712" s="1">
        <v>43080</v>
      </c>
      <c r="F712" t="str">
        <f>"ACCT#3780"</f>
        <v>ACCT#3780</v>
      </c>
      <c r="G712" t="str">
        <f>"Acct# 3780"</f>
        <v>Acct# 3780</v>
      </c>
      <c r="H712" s="2">
        <v>2842.19</v>
      </c>
      <c r="I712" t="str">
        <f>"Inv# 2020740"</f>
        <v>Inv# 2020740</v>
      </c>
    </row>
    <row r="713" spans="1:9" x14ac:dyDescent="0.3">
      <c r="A713" t="str">
        <f>""</f>
        <v/>
      </c>
      <c r="F713" t="str">
        <f>""</f>
        <v/>
      </c>
      <c r="G713" t="str">
        <f>""</f>
        <v/>
      </c>
      <c r="I713" t="str">
        <f>"Inv# 1020057"</f>
        <v>Inv# 1020057</v>
      </c>
    </row>
    <row r="714" spans="1:9" x14ac:dyDescent="0.3">
      <c r="A714" t="str">
        <f>""</f>
        <v/>
      </c>
      <c r="F714" t="str">
        <f>""</f>
        <v/>
      </c>
      <c r="G714" t="str">
        <f>""</f>
        <v/>
      </c>
      <c r="I714" t="str">
        <f>"Inv# 12762"</f>
        <v>Inv# 12762</v>
      </c>
    </row>
    <row r="715" spans="1:9" x14ac:dyDescent="0.3">
      <c r="A715" t="str">
        <f>""</f>
        <v/>
      </c>
      <c r="F715" t="str">
        <f>""</f>
        <v/>
      </c>
      <c r="G715" t="str">
        <f>""</f>
        <v/>
      </c>
      <c r="I715" t="str">
        <f>"Inv# 6020495"</f>
        <v>Inv# 6020495</v>
      </c>
    </row>
    <row r="716" spans="1:9" x14ac:dyDescent="0.3">
      <c r="A716" t="str">
        <f>""</f>
        <v/>
      </c>
      <c r="F716" t="str">
        <f>""</f>
        <v/>
      </c>
      <c r="G716" t="str">
        <f>""</f>
        <v/>
      </c>
      <c r="I716" t="str">
        <f>"Inv# 6020504"</f>
        <v>Inv# 6020504</v>
      </c>
    </row>
    <row r="717" spans="1:9" x14ac:dyDescent="0.3">
      <c r="A717" t="str">
        <f>""</f>
        <v/>
      </c>
      <c r="F717" t="str">
        <f>""</f>
        <v/>
      </c>
      <c r="G717" t="str">
        <f>""</f>
        <v/>
      </c>
      <c r="I717" t="str">
        <f>"Inv# 4013370"</f>
        <v>Inv# 4013370</v>
      </c>
    </row>
    <row r="718" spans="1:9" x14ac:dyDescent="0.3">
      <c r="A718" t="str">
        <f>""</f>
        <v/>
      </c>
      <c r="F718" t="str">
        <f>""</f>
        <v/>
      </c>
      <c r="G718" t="str">
        <f>""</f>
        <v/>
      </c>
      <c r="I718" t="str">
        <f>"Inv# 3013496"</f>
        <v>Inv# 3013496</v>
      </c>
    </row>
    <row r="719" spans="1:9" x14ac:dyDescent="0.3">
      <c r="A719" t="str">
        <f>""</f>
        <v/>
      </c>
      <c r="F719" t="str">
        <f>""</f>
        <v/>
      </c>
      <c r="G719" t="str">
        <f>""</f>
        <v/>
      </c>
      <c r="I719" t="str">
        <f>"Inv# 2020846"</f>
        <v>Inv# 2020846</v>
      </c>
    </row>
    <row r="720" spans="1:9" x14ac:dyDescent="0.3">
      <c r="A720" t="str">
        <f>""</f>
        <v/>
      </c>
      <c r="F720" t="str">
        <f>""</f>
        <v/>
      </c>
      <c r="G720" t="str">
        <f>""</f>
        <v/>
      </c>
      <c r="I720" t="str">
        <f>"Inv# 1013804"</f>
        <v>Inv# 1013804</v>
      </c>
    </row>
    <row r="721" spans="1:9" x14ac:dyDescent="0.3">
      <c r="A721" t="str">
        <f>""</f>
        <v/>
      </c>
      <c r="F721" t="str">
        <f>""</f>
        <v/>
      </c>
      <c r="G721" t="str">
        <f>""</f>
        <v/>
      </c>
      <c r="I721" t="str">
        <f>"Inv# 8021216"</f>
        <v>Inv# 8021216</v>
      </c>
    </row>
    <row r="722" spans="1:9" x14ac:dyDescent="0.3">
      <c r="A722" t="str">
        <f>""</f>
        <v/>
      </c>
      <c r="F722" t="str">
        <f>""</f>
        <v/>
      </c>
      <c r="G722" t="str">
        <f>""</f>
        <v/>
      </c>
      <c r="I722" t="str">
        <f>"Inv# 8021293"</f>
        <v>Inv# 8021293</v>
      </c>
    </row>
    <row r="723" spans="1:9" x14ac:dyDescent="0.3">
      <c r="A723" t="str">
        <f>""</f>
        <v/>
      </c>
      <c r="F723" t="str">
        <f>""</f>
        <v/>
      </c>
      <c r="G723" t="str">
        <f>""</f>
        <v/>
      </c>
      <c r="I723" t="str">
        <f>"Inv# 7014135"</f>
        <v>Inv# 7014135</v>
      </c>
    </row>
    <row r="724" spans="1:9" x14ac:dyDescent="0.3">
      <c r="A724" t="str">
        <f>""</f>
        <v/>
      </c>
      <c r="F724" t="str">
        <f>""</f>
        <v/>
      </c>
      <c r="G724" t="str">
        <f>""</f>
        <v/>
      </c>
      <c r="I724" t="str">
        <f>"Inv# 7014192"</f>
        <v>Inv# 7014192</v>
      </c>
    </row>
    <row r="725" spans="1:9" x14ac:dyDescent="0.3">
      <c r="A725" t="str">
        <f>""</f>
        <v/>
      </c>
      <c r="F725" t="str">
        <f>""</f>
        <v/>
      </c>
      <c r="G725" t="str">
        <f>""</f>
        <v/>
      </c>
      <c r="I725" t="str">
        <f>"Inv# 2185241"</f>
        <v>Inv# 2185241</v>
      </c>
    </row>
    <row r="726" spans="1:9" x14ac:dyDescent="0.3">
      <c r="A726" t="str">
        <f>""</f>
        <v/>
      </c>
      <c r="F726" t="str">
        <f>""</f>
        <v/>
      </c>
      <c r="G726" t="str">
        <f>""</f>
        <v/>
      </c>
      <c r="I726" t="str">
        <f>"Inv# 3011346"</f>
        <v>Inv# 3011346</v>
      </c>
    </row>
    <row r="727" spans="1:9" x14ac:dyDescent="0.3">
      <c r="A727" t="str">
        <f>""</f>
        <v/>
      </c>
      <c r="F727" t="str">
        <f>""</f>
        <v/>
      </c>
      <c r="G727" t="str">
        <f>""</f>
        <v/>
      </c>
      <c r="I727" t="str">
        <f>"Inv# 3022957"</f>
        <v>Inv# 3022957</v>
      </c>
    </row>
    <row r="728" spans="1:9" x14ac:dyDescent="0.3">
      <c r="A728" t="str">
        <f>""</f>
        <v/>
      </c>
      <c r="F728" t="str">
        <f>""</f>
        <v/>
      </c>
      <c r="G728" t="str">
        <f>""</f>
        <v/>
      </c>
      <c r="I728" t="str">
        <f>"Inv# 9011784"</f>
        <v>Inv# 9011784</v>
      </c>
    </row>
    <row r="729" spans="1:9" x14ac:dyDescent="0.3">
      <c r="A729" t="str">
        <f>""</f>
        <v/>
      </c>
      <c r="F729" t="str">
        <f>""</f>
        <v/>
      </c>
      <c r="G729" t="str">
        <f>""</f>
        <v/>
      </c>
      <c r="I729" t="str">
        <f>"Inv# 9020069"</f>
        <v>Inv# 9020069</v>
      </c>
    </row>
    <row r="730" spans="1:9" x14ac:dyDescent="0.3">
      <c r="A730" t="str">
        <f>""</f>
        <v/>
      </c>
      <c r="F730" t="str">
        <f>""</f>
        <v/>
      </c>
      <c r="G730" t="str">
        <f>""</f>
        <v/>
      </c>
      <c r="I730" t="str">
        <f>"Inv# 7020201"</f>
        <v>Inv# 7020201</v>
      </c>
    </row>
    <row r="731" spans="1:9" x14ac:dyDescent="0.3">
      <c r="A731" t="str">
        <f>""</f>
        <v/>
      </c>
      <c r="F731" t="str">
        <f>""</f>
        <v/>
      </c>
      <c r="G731" t="str">
        <f>""</f>
        <v/>
      </c>
      <c r="I731" t="str">
        <f>"Inv# 6012089"</f>
        <v>Inv# 6012089</v>
      </c>
    </row>
    <row r="732" spans="1:9" x14ac:dyDescent="0.3">
      <c r="A732" t="str">
        <f>""</f>
        <v/>
      </c>
      <c r="F732" t="str">
        <f>""</f>
        <v/>
      </c>
      <c r="G732" t="str">
        <f>""</f>
        <v/>
      </c>
      <c r="I732" t="str">
        <f>"Overpayment"</f>
        <v>Overpayment</v>
      </c>
    </row>
    <row r="733" spans="1:9" x14ac:dyDescent="0.3">
      <c r="A733" t="str">
        <f>""</f>
        <v/>
      </c>
      <c r="F733" t="str">
        <f>""</f>
        <v/>
      </c>
      <c r="G733" t="str">
        <f>""</f>
        <v/>
      </c>
      <c r="I733" t="str">
        <f>"Inv# 9012864"</f>
        <v>Inv# 9012864</v>
      </c>
    </row>
    <row r="734" spans="1:9" x14ac:dyDescent="0.3">
      <c r="A734" t="str">
        <f>""</f>
        <v/>
      </c>
      <c r="F734" t="str">
        <f>""</f>
        <v/>
      </c>
      <c r="G734" t="str">
        <f>""</f>
        <v/>
      </c>
      <c r="I734" t="str">
        <f>"Inv# 8020180"</f>
        <v>Inv# 8020180</v>
      </c>
    </row>
    <row r="735" spans="1:9" x14ac:dyDescent="0.3">
      <c r="A735" t="str">
        <f>""</f>
        <v/>
      </c>
      <c r="F735" t="str">
        <f>""</f>
        <v/>
      </c>
      <c r="G735" t="str">
        <f>""</f>
        <v/>
      </c>
      <c r="I735" t="str">
        <f>"Inv# 9562388"</f>
        <v>Inv# 9562388</v>
      </c>
    </row>
    <row r="736" spans="1:9" x14ac:dyDescent="0.3">
      <c r="A736" t="str">
        <f>""</f>
        <v/>
      </c>
      <c r="F736" t="str">
        <f>""</f>
        <v/>
      </c>
      <c r="G736" t="str">
        <f>""</f>
        <v/>
      </c>
      <c r="I736" t="str">
        <f>"Inv# 5592252"</f>
        <v>Inv# 5592252</v>
      </c>
    </row>
    <row r="737" spans="1:9" x14ac:dyDescent="0.3">
      <c r="A737" t="str">
        <f>""</f>
        <v/>
      </c>
      <c r="F737" t="str">
        <f>""</f>
        <v/>
      </c>
      <c r="G737" t="str">
        <f>""</f>
        <v/>
      </c>
      <c r="I737" t="str">
        <f>"Inv# 9562388"</f>
        <v>Inv# 9562388</v>
      </c>
    </row>
    <row r="738" spans="1:9" x14ac:dyDescent="0.3">
      <c r="A738" t="str">
        <f>""</f>
        <v/>
      </c>
      <c r="F738" t="str">
        <f>""</f>
        <v/>
      </c>
      <c r="G738" t="str">
        <f>""</f>
        <v/>
      </c>
      <c r="I738" t="str">
        <f>"Inv# 2014613"</f>
        <v>Inv# 2014613</v>
      </c>
    </row>
    <row r="739" spans="1:9" x14ac:dyDescent="0.3">
      <c r="A739" t="str">
        <f>""</f>
        <v/>
      </c>
      <c r="F739" t="str">
        <f>""</f>
        <v/>
      </c>
      <c r="G739" t="str">
        <f>""</f>
        <v/>
      </c>
      <c r="I739" t="str">
        <f>"Inv# 3160154"</f>
        <v>Inv# 3160154</v>
      </c>
    </row>
    <row r="740" spans="1:9" x14ac:dyDescent="0.3">
      <c r="A740" t="str">
        <f>""</f>
        <v/>
      </c>
      <c r="F740" t="str">
        <f>""</f>
        <v/>
      </c>
      <c r="G740" t="str">
        <f>""</f>
        <v/>
      </c>
      <c r="I740" t="str">
        <f>"Inv# 6253228"</f>
        <v>Inv# 6253228</v>
      </c>
    </row>
    <row r="741" spans="1:9" x14ac:dyDescent="0.3">
      <c r="A741" t="str">
        <f>""</f>
        <v/>
      </c>
      <c r="F741" t="str">
        <f>""</f>
        <v/>
      </c>
      <c r="G741" t="str">
        <f>""</f>
        <v/>
      </c>
      <c r="I741" t="str">
        <f>"Inv# 6134663"</f>
        <v>Inv# 6134663</v>
      </c>
    </row>
    <row r="742" spans="1:9" x14ac:dyDescent="0.3">
      <c r="A742" t="str">
        <f>""</f>
        <v/>
      </c>
      <c r="F742" t="str">
        <f>""</f>
        <v/>
      </c>
      <c r="G742" t="str">
        <f>""</f>
        <v/>
      </c>
      <c r="I742" t="str">
        <f>"Inv# 2120198"</f>
        <v>Inv# 2120198</v>
      </c>
    </row>
    <row r="743" spans="1:9" x14ac:dyDescent="0.3">
      <c r="A743" t="str">
        <f>""</f>
        <v/>
      </c>
      <c r="F743" t="str">
        <f>""</f>
        <v/>
      </c>
      <c r="G743" t="str">
        <f>""</f>
        <v/>
      </c>
      <c r="I743" t="str">
        <f>"Inv# 2593338"</f>
        <v>Inv# 2593338</v>
      </c>
    </row>
    <row r="744" spans="1:9" x14ac:dyDescent="0.3">
      <c r="A744" t="str">
        <f>""</f>
        <v/>
      </c>
      <c r="F744" t="str">
        <f>""</f>
        <v/>
      </c>
      <c r="G744" t="str">
        <f>""</f>
        <v/>
      </c>
      <c r="I744" t="str">
        <f>"Inv# 6090766"</f>
        <v>Inv# 6090766</v>
      </c>
    </row>
    <row r="745" spans="1:9" x14ac:dyDescent="0.3">
      <c r="A745" t="str">
        <f>""</f>
        <v/>
      </c>
      <c r="F745" t="str">
        <f>""</f>
        <v/>
      </c>
      <c r="G745" t="str">
        <f>""</f>
        <v/>
      </c>
      <c r="I745" t="str">
        <f>"Inv# 6165074"</f>
        <v>Inv# 6165074</v>
      </c>
    </row>
    <row r="746" spans="1:9" x14ac:dyDescent="0.3">
      <c r="A746" t="str">
        <f>""</f>
        <v/>
      </c>
      <c r="F746" t="str">
        <f>""</f>
        <v/>
      </c>
      <c r="G746" t="str">
        <f>""</f>
        <v/>
      </c>
      <c r="I746" t="str">
        <f>"Inv# 5591877"</f>
        <v>Inv# 5591877</v>
      </c>
    </row>
    <row r="747" spans="1:9" x14ac:dyDescent="0.3">
      <c r="A747" t="str">
        <f>""</f>
        <v/>
      </c>
      <c r="F747" t="str">
        <f>""</f>
        <v/>
      </c>
      <c r="G747" t="str">
        <f>""</f>
        <v/>
      </c>
      <c r="I747" t="str">
        <f>"Inv# 4060302"</f>
        <v>Inv# 4060302</v>
      </c>
    </row>
    <row r="748" spans="1:9" x14ac:dyDescent="0.3">
      <c r="A748" t="str">
        <f>""</f>
        <v/>
      </c>
      <c r="F748" t="str">
        <f>""</f>
        <v/>
      </c>
      <c r="G748" t="str">
        <f>""</f>
        <v/>
      </c>
      <c r="I748" t="str">
        <f>"Inv# 3583414"</f>
        <v>Inv# 3583414</v>
      </c>
    </row>
    <row r="749" spans="1:9" x14ac:dyDescent="0.3">
      <c r="A749" t="str">
        <f>""</f>
        <v/>
      </c>
      <c r="F749" t="str">
        <f>""</f>
        <v/>
      </c>
      <c r="G749" t="str">
        <f>""</f>
        <v/>
      </c>
      <c r="I749" t="str">
        <f>"Inv# 2090907"</f>
        <v>Inv# 2090907</v>
      </c>
    </row>
    <row r="750" spans="1:9" x14ac:dyDescent="0.3">
      <c r="A750" t="str">
        <f>""</f>
        <v/>
      </c>
      <c r="F750" t="str">
        <f>""</f>
        <v/>
      </c>
      <c r="G750" t="str">
        <f>""</f>
        <v/>
      </c>
      <c r="I750" t="str">
        <f>"Inv# 9562943"</f>
        <v>Inv# 9562943</v>
      </c>
    </row>
    <row r="751" spans="1:9" x14ac:dyDescent="0.3">
      <c r="A751" t="str">
        <f>""</f>
        <v/>
      </c>
      <c r="F751" t="str">
        <f>""</f>
        <v/>
      </c>
      <c r="G751" t="str">
        <f>""</f>
        <v/>
      </c>
      <c r="I751" t="str">
        <f>"Inv# 2103686"</f>
        <v>Inv# 2103686</v>
      </c>
    </row>
    <row r="752" spans="1:9" x14ac:dyDescent="0.3">
      <c r="A752" t="str">
        <f>""</f>
        <v/>
      </c>
      <c r="F752" t="str">
        <f>""</f>
        <v/>
      </c>
      <c r="G752" t="str">
        <f>""</f>
        <v/>
      </c>
      <c r="I752" t="str">
        <f>"Inv# 2103687"</f>
        <v>Inv# 2103687</v>
      </c>
    </row>
    <row r="753" spans="1:9" x14ac:dyDescent="0.3">
      <c r="A753" t="str">
        <f>""</f>
        <v/>
      </c>
      <c r="F753" t="str">
        <f>""</f>
        <v/>
      </c>
      <c r="G753" t="str">
        <f>""</f>
        <v/>
      </c>
      <c r="I753" t="str">
        <f>"Inv# 2160222"</f>
        <v>Inv# 2160222</v>
      </c>
    </row>
    <row r="754" spans="1:9" x14ac:dyDescent="0.3">
      <c r="A754" t="str">
        <f>""</f>
        <v/>
      </c>
      <c r="F754" t="str">
        <f>""</f>
        <v/>
      </c>
      <c r="G754" t="str">
        <f>""</f>
        <v/>
      </c>
      <c r="I754" t="str">
        <f>"Inv# 2160223"</f>
        <v>Inv# 2160223</v>
      </c>
    </row>
    <row r="755" spans="1:9" x14ac:dyDescent="0.3">
      <c r="A755" t="str">
        <f>""</f>
        <v/>
      </c>
      <c r="F755" t="str">
        <f>""</f>
        <v/>
      </c>
      <c r="G755" t="str">
        <f>""</f>
        <v/>
      </c>
      <c r="I755" t="str">
        <f>"Inv# 6562047"</f>
        <v>Inv# 6562047</v>
      </c>
    </row>
    <row r="756" spans="1:9" x14ac:dyDescent="0.3">
      <c r="A756" t="str">
        <f>""</f>
        <v/>
      </c>
      <c r="F756" t="str">
        <f>""</f>
        <v/>
      </c>
      <c r="G756" t="str">
        <f>""</f>
        <v/>
      </c>
      <c r="I756" t="str">
        <f>"Inv# 4090839"</f>
        <v>Inv# 4090839</v>
      </c>
    </row>
    <row r="757" spans="1:9" x14ac:dyDescent="0.3">
      <c r="A757" t="str">
        <f>""</f>
        <v/>
      </c>
      <c r="F757" t="str">
        <f>""</f>
        <v/>
      </c>
      <c r="G757" t="str">
        <f>""</f>
        <v/>
      </c>
      <c r="I757" t="str">
        <f>"Inv# 3013467"</f>
        <v>Inv# 3013467</v>
      </c>
    </row>
    <row r="758" spans="1:9" x14ac:dyDescent="0.3">
      <c r="A758" t="str">
        <f>""</f>
        <v/>
      </c>
      <c r="F758" t="str">
        <f>""</f>
        <v/>
      </c>
      <c r="G758" t="str">
        <f>""</f>
        <v/>
      </c>
      <c r="I758" t="str">
        <f>"Inv# 8562961"</f>
        <v>Inv# 8562961</v>
      </c>
    </row>
    <row r="759" spans="1:9" x14ac:dyDescent="0.3">
      <c r="A759" t="str">
        <f>""</f>
        <v/>
      </c>
      <c r="F759" t="str">
        <f>""</f>
        <v/>
      </c>
      <c r="G759" t="str">
        <f>""</f>
        <v/>
      </c>
      <c r="I759" t="str">
        <f>"Inv# 3011344"</f>
        <v>Inv# 3011344</v>
      </c>
    </row>
    <row r="760" spans="1:9" x14ac:dyDescent="0.3">
      <c r="A760" t="str">
        <f>""</f>
        <v/>
      </c>
      <c r="F760" t="str">
        <f>""</f>
        <v/>
      </c>
      <c r="G760" t="str">
        <f>""</f>
        <v/>
      </c>
      <c r="I760" t="str">
        <f>"Inv# 9020020"</f>
        <v>Inv# 9020020</v>
      </c>
    </row>
    <row r="761" spans="1:9" x14ac:dyDescent="0.3">
      <c r="A761" t="str">
        <f>""</f>
        <v/>
      </c>
      <c r="F761" t="str">
        <f>""</f>
        <v/>
      </c>
      <c r="G761" t="str">
        <f>""</f>
        <v/>
      </c>
      <c r="I761" t="str">
        <f>"Inv# 7561986"</f>
        <v>Inv# 7561986</v>
      </c>
    </row>
    <row r="762" spans="1:9" x14ac:dyDescent="0.3">
      <c r="A762" t="str">
        <f>"005228"</f>
        <v>005228</v>
      </c>
      <c r="B762" t="s">
        <v>210</v>
      </c>
      <c r="C762">
        <v>74166</v>
      </c>
      <c r="D762" s="2">
        <v>771</v>
      </c>
      <c r="E762" s="1">
        <v>43080</v>
      </c>
      <c r="F762" t="str">
        <f>"201712067216"</f>
        <v>201712067216</v>
      </c>
      <c r="G762" t="str">
        <f>"INDIGENT HEALTH"</f>
        <v>INDIGENT HEALTH</v>
      </c>
      <c r="H762" s="2">
        <v>771</v>
      </c>
      <c r="I762" t="str">
        <f>"INDIGENT HEALTH"</f>
        <v>INDIGENT HEALTH</v>
      </c>
    </row>
    <row r="763" spans="1:9" x14ac:dyDescent="0.3">
      <c r="A763" t="str">
        <f>"003342"</f>
        <v>003342</v>
      </c>
      <c r="B763" t="s">
        <v>211</v>
      </c>
      <c r="C763">
        <v>74167</v>
      </c>
      <c r="D763" s="2">
        <v>5</v>
      </c>
      <c r="E763" s="1">
        <v>43080</v>
      </c>
      <c r="F763" t="str">
        <f>"201712047017"</f>
        <v>201712047017</v>
      </c>
      <c r="G763" t="str">
        <f>"FERAL HOGS"</f>
        <v>FERAL HOGS</v>
      </c>
      <c r="H763" s="2">
        <v>5</v>
      </c>
      <c r="I763" t="str">
        <f>"FERAL HOGS"</f>
        <v>FERAL HOGS</v>
      </c>
    </row>
    <row r="764" spans="1:9" x14ac:dyDescent="0.3">
      <c r="A764" t="str">
        <f>"003653"</f>
        <v>003653</v>
      </c>
      <c r="B764" t="s">
        <v>212</v>
      </c>
      <c r="C764">
        <v>74321</v>
      </c>
      <c r="D764" s="2">
        <v>1809.08</v>
      </c>
      <c r="E764" s="1">
        <v>43081</v>
      </c>
      <c r="F764" t="str">
        <f>"S1712040001-00038"</f>
        <v>S1712040001-00038</v>
      </c>
      <c r="G764" t="str">
        <f>"ACCT#100402264 / 12/04/2017"</f>
        <v>ACCT#100402264 / 12/04/2017</v>
      </c>
      <c r="H764" s="2">
        <v>1809.08</v>
      </c>
      <c r="I764" t="str">
        <f>"ACCT#100402264 / 12/04/2017"</f>
        <v>ACCT#100402264 / 12/04/2017</v>
      </c>
    </row>
    <row r="765" spans="1:9" x14ac:dyDescent="0.3">
      <c r="A765" t="str">
        <f>""</f>
        <v/>
      </c>
      <c r="F765" t="str">
        <f>""</f>
        <v/>
      </c>
      <c r="G765" t="str">
        <f>""</f>
        <v/>
      </c>
      <c r="I765" t="str">
        <f>"ACCT#100402264 / 12/04/2017"</f>
        <v>ACCT#100402264 / 12/04/2017</v>
      </c>
    </row>
    <row r="766" spans="1:9" x14ac:dyDescent="0.3">
      <c r="A766" t="str">
        <f>""</f>
        <v/>
      </c>
      <c r="F766" t="str">
        <f>""</f>
        <v/>
      </c>
      <c r="G766" t="str">
        <f>""</f>
        <v/>
      </c>
      <c r="I766" t="str">
        <f>"ACCT#100402264 / 12/04/2017"</f>
        <v>ACCT#100402264 / 12/04/2017</v>
      </c>
    </row>
    <row r="767" spans="1:9" x14ac:dyDescent="0.3">
      <c r="A767" t="str">
        <f>"003545"</f>
        <v>003545</v>
      </c>
      <c r="B767" t="s">
        <v>213</v>
      </c>
      <c r="C767">
        <v>74168</v>
      </c>
      <c r="D767" s="2">
        <v>48.48</v>
      </c>
      <c r="E767" s="1">
        <v>43080</v>
      </c>
      <c r="F767" t="str">
        <f>"101281"</f>
        <v>101281</v>
      </c>
      <c r="G767" t="str">
        <f>"ALUMINUM HISE/PCT#1"</f>
        <v>ALUMINUM HISE/PCT#1</v>
      </c>
      <c r="H767" s="2">
        <v>48.48</v>
      </c>
      <c r="I767" t="str">
        <f>"ALUMINUM HISE/PCT#1"</f>
        <v>ALUMINUM HISE/PCT#1</v>
      </c>
    </row>
    <row r="768" spans="1:9" x14ac:dyDescent="0.3">
      <c r="A768" t="str">
        <f>"003545"</f>
        <v>003545</v>
      </c>
      <c r="B768" t="s">
        <v>213</v>
      </c>
      <c r="C768">
        <v>74398</v>
      </c>
      <c r="D768" s="2">
        <v>725.46</v>
      </c>
      <c r="E768" s="1">
        <v>43096</v>
      </c>
      <c r="F768" t="str">
        <f>"101354"</f>
        <v>101354</v>
      </c>
      <c r="G768" t="str">
        <f>"CYL REPAIR/P999503500/PCT#1"</f>
        <v>CYL REPAIR/P999503500/PCT#1</v>
      </c>
      <c r="H768" s="2">
        <v>228.09</v>
      </c>
      <c r="I768" t="str">
        <f>"CYL REPAIR/P999503500/PCT#1"</f>
        <v>CYL REPAIR/P999503500/PCT#1</v>
      </c>
    </row>
    <row r="769" spans="1:9" x14ac:dyDescent="0.3">
      <c r="A769" t="str">
        <f>""</f>
        <v/>
      </c>
      <c r="F769" t="str">
        <f>"101473"</f>
        <v>101473</v>
      </c>
      <c r="G769" t="str">
        <f>"PARTS/PCT#1"</f>
        <v>PARTS/PCT#1</v>
      </c>
      <c r="H769" s="2">
        <v>497.37</v>
      </c>
      <c r="I769" t="str">
        <f>"PARTS/PCT#1"</f>
        <v>PARTS/PCT#1</v>
      </c>
    </row>
    <row r="770" spans="1:9" x14ac:dyDescent="0.3">
      <c r="A770" t="str">
        <f>"T11576"</f>
        <v>T11576</v>
      </c>
      <c r="B770" t="s">
        <v>214</v>
      </c>
      <c r="C770">
        <v>999999</v>
      </c>
      <c r="D770" s="2">
        <v>2430</v>
      </c>
      <c r="E770" s="1">
        <v>43081</v>
      </c>
      <c r="F770" t="str">
        <f>"65081"</f>
        <v>65081</v>
      </c>
      <c r="G770" t="str">
        <f>"PROF SVCS FOR JANUARY 2018"</f>
        <v>PROF SVCS FOR JANUARY 2018</v>
      </c>
      <c r="H770" s="2">
        <v>2430</v>
      </c>
      <c r="I770" t="str">
        <f>"PROF SVCS FOR JANUARY 2018"</f>
        <v>PROF SVCS FOR JANUARY 2018</v>
      </c>
    </row>
    <row r="771" spans="1:9" x14ac:dyDescent="0.3">
      <c r="A771" t="str">
        <f>""</f>
        <v/>
      </c>
      <c r="F771" t="str">
        <f>""</f>
        <v/>
      </c>
      <c r="G771" t="str">
        <f>""</f>
        <v/>
      </c>
      <c r="I771" t="str">
        <f>"PROF SVCS FOR JANUARY 2018"</f>
        <v>PROF SVCS FOR JANUARY 2018</v>
      </c>
    </row>
    <row r="772" spans="1:9" x14ac:dyDescent="0.3">
      <c r="A772" t="str">
        <f>"000778"</f>
        <v>000778</v>
      </c>
      <c r="B772" t="s">
        <v>215</v>
      </c>
      <c r="C772">
        <v>74169</v>
      </c>
      <c r="D772" s="2">
        <v>104.75</v>
      </c>
      <c r="E772" s="1">
        <v>43080</v>
      </c>
      <c r="F772" t="str">
        <f>"33-92270"</f>
        <v>33-92270</v>
      </c>
      <c r="G772" t="str">
        <f>"CUST#80378/REF#33-54846/PCT#2"</f>
        <v>CUST#80378/REF#33-54846/PCT#2</v>
      </c>
      <c r="H772" s="2">
        <v>104.75</v>
      </c>
      <c r="I772" t="str">
        <f>"CUST#80378/REF#33-54846/PCT#2"</f>
        <v>CUST#80378/REF#33-54846/PCT#2</v>
      </c>
    </row>
    <row r="773" spans="1:9" x14ac:dyDescent="0.3">
      <c r="A773" t="str">
        <f>"IRON"</f>
        <v>IRON</v>
      </c>
      <c r="B773" t="s">
        <v>216</v>
      </c>
      <c r="C773">
        <v>74170</v>
      </c>
      <c r="D773" s="2">
        <v>264.48</v>
      </c>
      <c r="E773" s="1">
        <v>43080</v>
      </c>
      <c r="F773" t="str">
        <f>"NRB7123"</f>
        <v>NRB7123</v>
      </c>
      <c r="G773" t="str">
        <f>"CUST#AX773/COUNTY CLERK"</f>
        <v>CUST#AX773/COUNTY CLERK</v>
      </c>
      <c r="H773" s="2">
        <v>66.12</v>
      </c>
      <c r="I773" t="str">
        <f>"CUST#AX773/COUNTY CLERK"</f>
        <v>CUST#AX773/COUNTY CLERK</v>
      </c>
    </row>
    <row r="774" spans="1:9" x14ac:dyDescent="0.3">
      <c r="A774" t="str">
        <f>""</f>
        <v/>
      </c>
      <c r="F774" t="str">
        <f>"NWE3609"</f>
        <v>NWE3609</v>
      </c>
      <c r="G774" t="str">
        <f>"CUST#AX773/COUNTY CLERK"</f>
        <v>CUST#AX773/COUNTY CLERK</v>
      </c>
      <c r="H774" s="2">
        <v>66.12</v>
      </c>
      <c r="I774" t="str">
        <f>"CUST#AX773/COUNTY CLERK"</f>
        <v>CUST#AX773/COUNTY CLERK</v>
      </c>
    </row>
    <row r="775" spans="1:9" x14ac:dyDescent="0.3">
      <c r="A775" t="str">
        <f>""</f>
        <v/>
      </c>
      <c r="F775" t="str">
        <f>"PJB7756"</f>
        <v>PJB7756</v>
      </c>
      <c r="G775" t="str">
        <f>"CUST#AX773/COUNTY CLERK"</f>
        <v>CUST#AX773/COUNTY CLERK</v>
      </c>
      <c r="H775" s="2">
        <v>66.12</v>
      </c>
      <c r="I775" t="str">
        <f>"CUST#AX773/COUNTY CLERK"</f>
        <v>CUST#AX773/COUNTY CLERK</v>
      </c>
    </row>
    <row r="776" spans="1:9" x14ac:dyDescent="0.3">
      <c r="A776" t="str">
        <f>""</f>
        <v/>
      </c>
      <c r="F776" t="str">
        <f>"PLV8252"</f>
        <v>PLV8252</v>
      </c>
      <c r="G776" t="str">
        <f>"CUST ID#AX773/COUNTY CLERK"</f>
        <v>CUST ID#AX773/COUNTY CLERK</v>
      </c>
      <c r="H776" s="2">
        <v>66.12</v>
      </c>
      <c r="I776" t="str">
        <f>"CUST ID#AX773/COUNTY CLERK"</f>
        <v>CUST ID#AX773/COUNTY CLERK</v>
      </c>
    </row>
    <row r="777" spans="1:9" x14ac:dyDescent="0.3">
      <c r="A777" t="str">
        <f>"005163"</f>
        <v>005163</v>
      </c>
      <c r="B777" t="s">
        <v>217</v>
      </c>
      <c r="C777">
        <v>74399</v>
      </c>
      <c r="D777" s="2">
        <v>87.42</v>
      </c>
      <c r="E777" s="1">
        <v>43096</v>
      </c>
      <c r="F777" t="str">
        <f>"201712157331"</f>
        <v>201712157331</v>
      </c>
      <c r="G777" t="str">
        <f>"MILEAGE REIMBURSEMENT-NOV 29"</f>
        <v>MILEAGE REIMBURSEMENT-NOV 29</v>
      </c>
      <c r="H777" s="2">
        <v>87.42</v>
      </c>
      <c r="I777" t="str">
        <f>"MILEAGE REIMBURSEMENT-NOV 29"</f>
        <v>MILEAGE REIMBURSEMENT-NOV 29</v>
      </c>
    </row>
    <row r="778" spans="1:9" x14ac:dyDescent="0.3">
      <c r="A778" t="str">
        <f>"T7585"</f>
        <v>T7585</v>
      </c>
      <c r="B778" t="s">
        <v>218</v>
      </c>
      <c r="C778">
        <v>999999</v>
      </c>
      <c r="D778" s="2">
        <v>440</v>
      </c>
      <c r="E778" s="1">
        <v>43081</v>
      </c>
      <c r="F778" t="str">
        <f>"14510"</f>
        <v>14510</v>
      </c>
      <c r="G778" t="str">
        <f>"CONSTRUCTION UNIT RENTAL"</f>
        <v>CONSTRUCTION UNIT RENTAL</v>
      </c>
      <c r="H778" s="2">
        <v>260</v>
      </c>
      <c r="I778" t="str">
        <f>"CONSTRUCTION UNIT RENTAL"</f>
        <v>CONSTRUCTION UNIT RENTAL</v>
      </c>
    </row>
    <row r="779" spans="1:9" x14ac:dyDescent="0.3">
      <c r="A779" t="str">
        <f>""</f>
        <v/>
      </c>
      <c r="F779" t="str">
        <f>"14563"</f>
        <v>14563</v>
      </c>
      <c r="G779" t="str">
        <f>"CONSTRUCTION/FUEL SURCHARGE/P4"</f>
        <v>CONSTRUCTION/FUEL SURCHARGE/P4</v>
      </c>
      <c r="H779" s="2">
        <v>180</v>
      </c>
      <c r="I779" t="str">
        <f>"CONSTRUCTION/FUEL SURCHARGE/P4"</f>
        <v>CONSTRUCTION/FUEL SURCHARGE/P4</v>
      </c>
    </row>
    <row r="780" spans="1:9" x14ac:dyDescent="0.3">
      <c r="A780" t="str">
        <f>"005135"</f>
        <v>005135</v>
      </c>
      <c r="B780" t="s">
        <v>219</v>
      </c>
      <c r="C780">
        <v>74400</v>
      </c>
      <c r="D780" s="2">
        <v>180.4</v>
      </c>
      <c r="E780" s="1">
        <v>43096</v>
      </c>
      <c r="F780" t="str">
        <f>"201712187357"</f>
        <v>201712187357</v>
      </c>
      <c r="G780" t="str">
        <f>"REIMBURSE MILEAGE"</f>
        <v>REIMBURSE MILEAGE</v>
      </c>
      <c r="H780" s="2">
        <v>180.4</v>
      </c>
      <c r="I780" t="str">
        <f>"REIMBURSE MILEAGE"</f>
        <v>REIMBURSE MILEAGE</v>
      </c>
    </row>
    <row r="781" spans="1:9" x14ac:dyDescent="0.3">
      <c r="A781" t="str">
        <f>"003184"</f>
        <v>003184</v>
      </c>
      <c r="B781" t="s">
        <v>220</v>
      </c>
      <c r="C781">
        <v>74401</v>
      </c>
      <c r="D781" s="2">
        <v>175</v>
      </c>
      <c r="E781" s="1">
        <v>43096</v>
      </c>
      <c r="F781" t="str">
        <f>"PER DIEM-J.DAVENPO"</f>
        <v>PER DIEM-J.DAVENPO</v>
      </c>
      <c r="G781" t="str">
        <f>"PER DIEM"</f>
        <v>PER DIEM</v>
      </c>
      <c r="H781" s="2">
        <v>175</v>
      </c>
      <c r="I781" t="str">
        <f>"PER DIEM"</f>
        <v>PER DIEM</v>
      </c>
    </row>
    <row r="782" spans="1:9" x14ac:dyDescent="0.3">
      <c r="A782" t="str">
        <f>"JEG"</f>
        <v>JEG</v>
      </c>
      <c r="B782" t="s">
        <v>221</v>
      </c>
      <c r="C782">
        <v>74171</v>
      </c>
      <c r="D782" s="2">
        <v>300</v>
      </c>
      <c r="E782" s="1">
        <v>43080</v>
      </c>
      <c r="F782" t="str">
        <f>"127-17"</f>
        <v>127-17</v>
      </c>
      <c r="G782" t="str">
        <f>"RIGHT OF WAY/OLD SA RD/PCT#3"</f>
        <v>RIGHT OF WAY/OLD SA RD/PCT#3</v>
      </c>
      <c r="H782" s="2">
        <v>300</v>
      </c>
      <c r="I782" t="str">
        <f>"RIGHT OF WAY/OLD SA RD/PCT#3"</f>
        <v>RIGHT OF WAY/OLD SA RD/PCT#3</v>
      </c>
    </row>
    <row r="783" spans="1:9" x14ac:dyDescent="0.3">
      <c r="A783" t="str">
        <f>"JEG"</f>
        <v>JEG</v>
      </c>
      <c r="B783" t="s">
        <v>221</v>
      </c>
      <c r="C783">
        <v>74402</v>
      </c>
      <c r="D783" s="2">
        <v>900</v>
      </c>
      <c r="E783" s="1">
        <v>43096</v>
      </c>
      <c r="F783" t="str">
        <f>"800-17"</f>
        <v>800-17</v>
      </c>
      <c r="G783" t="str">
        <f>"STAKE FRONT PROPERTY/PCT#1"</f>
        <v>STAKE FRONT PROPERTY/PCT#1</v>
      </c>
      <c r="H783" s="2">
        <v>900</v>
      </c>
      <c r="I783" t="str">
        <f>"STAKE FRONT PROPERTY/PCT#1"</f>
        <v>STAKE FRONT PROPERTY/PCT#1</v>
      </c>
    </row>
    <row r="784" spans="1:9" x14ac:dyDescent="0.3">
      <c r="A784" t="str">
        <f>"JOB"</f>
        <v>JOB</v>
      </c>
      <c r="B784" t="s">
        <v>222</v>
      </c>
      <c r="C784">
        <v>74172</v>
      </c>
      <c r="D784" s="2">
        <v>250</v>
      </c>
      <c r="E784" s="1">
        <v>43080</v>
      </c>
      <c r="F784" t="str">
        <f>"201712016871"</f>
        <v>201712016871</v>
      </c>
      <c r="G784" t="str">
        <f>"55 309"</f>
        <v>55 309</v>
      </c>
      <c r="H784" s="2">
        <v>250</v>
      </c>
      <c r="I784" t="str">
        <f>"55 309"</f>
        <v>55 309</v>
      </c>
    </row>
    <row r="785" spans="1:10" x14ac:dyDescent="0.3">
      <c r="A785" t="str">
        <f>"JOB"</f>
        <v>JOB</v>
      </c>
      <c r="B785" t="s">
        <v>222</v>
      </c>
      <c r="C785">
        <v>74403</v>
      </c>
      <c r="D785" s="2">
        <v>250</v>
      </c>
      <c r="E785" s="1">
        <v>43096</v>
      </c>
      <c r="F785" t="str">
        <f>"201712197410"</f>
        <v>201712197410</v>
      </c>
      <c r="G785" t="str">
        <f>"55 334"</f>
        <v>55 334</v>
      </c>
      <c r="H785" s="2">
        <v>250</v>
      </c>
      <c r="I785" t="str">
        <f>"55 334"</f>
        <v>55 334</v>
      </c>
    </row>
    <row r="786" spans="1:10" x14ac:dyDescent="0.3">
      <c r="A786" t="str">
        <f>"005344"</f>
        <v>005344</v>
      </c>
      <c r="B786" t="s">
        <v>223</v>
      </c>
      <c r="C786">
        <v>74404</v>
      </c>
      <c r="D786" s="2">
        <v>300</v>
      </c>
      <c r="E786" s="1">
        <v>43096</v>
      </c>
      <c r="F786" t="str">
        <f>"201712127273"</f>
        <v>201712127273</v>
      </c>
      <c r="G786" t="str">
        <f>"SUBSTITUTE COURT REPORTING"</f>
        <v>SUBSTITUTE COURT REPORTING</v>
      </c>
      <c r="H786" s="2">
        <v>300</v>
      </c>
      <c r="I786" t="str">
        <f>"SUBSTITUTE COURT REPORTING"</f>
        <v>SUBSTITUTE COURT REPORTING</v>
      </c>
    </row>
    <row r="787" spans="1:10" x14ac:dyDescent="0.3">
      <c r="A787" t="str">
        <f>"004314"</f>
        <v>004314</v>
      </c>
      <c r="B787" t="s">
        <v>224</v>
      </c>
      <c r="C787">
        <v>74173</v>
      </c>
      <c r="D787" s="2">
        <v>200</v>
      </c>
      <c r="E787" s="1">
        <v>43080</v>
      </c>
      <c r="F787" t="str">
        <f>"201711286798"</f>
        <v>201711286798</v>
      </c>
      <c r="G787" t="str">
        <f>"FERAL HOGS"</f>
        <v>FERAL HOGS</v>
      </c>
      <c r="H787" s="2">
        <v>200</v>
      </c>
      <c r="I787" t="str">
        <f>"FERAL HOGS"</f>
        <v>FERAL HOGS</v>
      </c>
    </row>
    <row r="788" spans="1:10" x14ac:dyDescent="0.3">
      <c r="A788" t="str">
        <f>"T7860"</f>
        <v>T7860</v>
      </c>
      <c r="B788" t="s">
        <v>225</v>
      </c>
      <c r="C788">
        <v>999999</v>
      </c>
      <c r="D788" s="2">
        <v>1150</v>
      </c>
      <c r="E788" s="1">
        <v>43081</v>
      </c>
      <c r="F788" t="s">
        <v>56</v>
      </c>
      <c r="G788" t="s">
        <v>226</v>
      </c>
      <c r="H788" s="2" t="str">
        <f>"AD LITEM FEE"</f>
        <v>AD LITEM FEE</v>
      </c>
      <c r="I788" t="str">
        <f>"995-4110"</f>
        <v>995-4110</v>
      </c>
      <c r="J788">
        <v>100</v>
      </c>
    </row>
    <row r="789" spans="1:10" x14ac:dyDescent="0.3">
      <c r="A789" t="str">
        <f>""</f>
        <v/>
      </c>
      <c r="F789" t="s">
        <v>56</v>
      </c>
      <c r="G789" t="s">
        <v>57</v>
      </c>
      <c r="H789" s="2" t="str">
        <f>"AD LITEM FEE"</f>
        <v>AD LITEM FEE</v>
      </c>
      <c r="I789" t="str">
        <f>"995-4110"</f>
        <v>995-4110</v>
      </c>
      <c r="J789">
        <v>150</v>
      </c>
    </row>
    <row r="790" spans="1:10" x14ac:dyDescent="0.3">
      <c r="A790" t="str">
        <f>""</f>
        <v/>
      </c>
      <c r="F790" t="str">
        <f>"11777"</f>
        <v>11777</v>
      </c>
      <c r="G790" t="str">
        <f>"AD LITEM FEE"</f>
        <v>AD LITEM FEE</v>
      </c>
      <c r="H790" s="2">
        <v>150</v>
      </c>
      <c r="I790" t="str">
        <f>"AD LITEM FEE"</f>
        <v>AD LITEM FEE</v>
      </c>
    </row>
    <row r="791" spans="1:10" x14ac:dyDescent="0.3">
      <c r="A791" t="str">
        <f>""</f>
        <v/>
      </c>
      <c r="F791" t="str">
        <f>"201712057158"</f>
        <v>201712057158</v>
      </c>
      <c r="G791" t="str">
        <f>"55 313"</f>
        <v>55 313</v>
      </c>
      <c r="H791" s="2">
        <v>250</v>
      </c>
      <c r="I791" t="str">
        <f>"55 313"</f>
        <v>55 313</v>
      </c>
    </row>
    <row r="792" spans="1:10" x14ac:dyDescent="0.3">
      <c r="A792" t="str">
        <f>""</f>
        <v/>
      </c>
      <c r="F792" t="str">
        <f>"201712057159"</f>
        <v>201712057159</v>
      </c>
      <c r="G792" t="str">
        <f>"52 973"</f>
        <v>52 973</v>
      </c>
      <c r="H792" s="2">
        <v>250</v>
      </c>
      <c r="I792" t="str">
        <f>"52 973"</f>
        <v>52 973</v>
      </c>
    </row>
    <row r="793" spans="1:10" x14ac:dyDescent="0.3">
      <c r="A793" t="str">
        <f>""</f>
        <v/>
      </c>
      <c r="F793" t="str">
        <f>"201712057160"</f>
        <v>201712057160</v>
      </c>
      <c r="G793" t="str">
        <f>"55 587"</f>
        <v>55 587</v>
      </c>
      <c r="H793" s="2">
        <v>250</v>
      </c>
      <c r="I793" t="str">
        <f>"55 587"</f>
        <v>55 587</v>
      </c>
    </row>
    <row r="794" spans="1:10" x14ac:dyDescent="0.3">
      <c r="A794" t="str">
        <f>"T7860"</f>
        <v>T7860</v>
      </c>
      <c r="B794" t="s">
        <v>225</v>
      </c>
      <c r="C794">
        <v>999999</v>
      </c>
      <c r="D794" s="2">
        <v>950</v>
      </c>
      <c r="E794" s="1">
        <v>43097</v>
      </c>
      <c r="F794" t="str">
        <f>"201712197379"</f>
        <v>201712197379</v>
      </c>
      <c r="G794" t="str">
        <f>"17-18461"</f>
        <v>17-18461</v>
      </c>
      <c r="H794" s="2">
        <v>100</v>
      </c>
      <c r="I794" t="str">
        <f>"17-18461"</f>
        <v>17-18461</v>
      </c>
    </row>
    <row r="795" spans="1:10" x14ac:dyDescent="0.3">
      <c r="A795" t="str">
        <f>""</f>
        <v/>
      </c>
      <c r="F795" t="str">
        <f>"201712197385"</f>
        <v>201712197385</v>
      </c>
      <c r="G795" t="str">
        <f>"17-18664"</f>
        <v>17-18664</v>
      </c>
      <c r="H795" s="2">
        <v>100</v>
      </c>
      <c r="I795" t="str">
        <f>"17-18664"</f>
        <v>17-18664</v>
      </c>
    </row>
    <row r="796" spans="1:10" x14ac:dyDescent="0.3">
      <c r="A796" t="str">
        <f>""</f>
        <v/>
      </c>
      <c r="F796" t="str">
        <f>"201712197430"</f>
        <v>201712197430</v>
      </c>
      <c r="G796" t="str">
        <f>"55001"</f>
        <v>55001</v>
      </c>
      <c r="H796" s="2">
        <v>250</v>
      </c>
      <c r="I796" t="str">
        <f>"55001"</f>
        <v>55001</v>
      </c>
    </row>
    <row r="797" spans="1:10" x14ac:dyDescent="0.3">
      <c r="A797" t="str">
        <f>""</f>
        <v/>
      </c>
      <c r="F797" t="str">
        <f>"201712197431"</f>
        <v>201712197431</v>
      </c>
      <c r="G797" t="str">
        <f>"54 679"</f>
        <v>54 679</v>
      </c>
      <c r="H797" s="2">
        <v>250</v>
      </c>
      <c r="I797" t="str">
        <f>"54 679"</f>
        <v>54 679</v>
      </c>
    </row>
    <row r="798" spans="1:10" x14ac:dyDescent="0.3">
      <c r="A798" t="str">
        <f>""</f>
        <v/>
      </c>
      <c r="F798" t="str">
        <f>"201712197434"</f>
        <v>201712197434</v>
      </c>
      <c r="G798" t="str">
        <f>"54 438"</f>
        <v>54 438</v>
      </c>
      <c r="H798" s="2">
        <v>250</v>
      </c>
      <c r="I798" t="str">
        <f>"54 438"</f>
        <v>54 438</v>
      </c>
    </row>
    <row r="799" spans="1:10" x14ac:dyDescent="0.3">
      <c r="A799" t="str">
        <f>"004891"</f>
        <v>004891</v>
      </c>
      <c r="B799" t="s">
        <v>227</v>
      </c>
      <c r="C799">
        <v>74174</v>
      </c>
      <c r="D799" s="2">
        <v>50</v>
      </c>
      <c r="E799" s="1">
        <v>43080</v>
      </c>
      <c r="F799" t="s">
        <v>228</v>
      </c>
      <c r="G799" t="s">
        <v>229</v>
      </c>
      <c r="H799" s="2" t="str">
        <f>"RESTITUTION-M. ALMS"</f>
        <v>RESTITUTION-M. ALMS</v>
      </c>
      <c r="I799" t="str">
        <f>"210-0000"</f>
        <v>210-0000</v>
      </c>
      <c r="J799">
        <v>50</v>
      </c>
    </row>
    <row r="800" spans="1:10" x14ac:dyDescent="0.3">
      <c r="A800" t="str">
        <f>"005318"</f>
        <v>005318</v>
      </c>
      <c r="B800" t="s">
        <v>230</v>
      </c>
      <c r="C800">
        <v>74175</v>
      </c>
      <c r="D800" s="2">
        <v>25</v>
      </c>
      <c r="E800" s="1">
        <v>43080</v>
      </c>
      <c r="F800" t="str">
        <f>"201711286799"</f>
        <v>201711286799</v>
      </c>
      <c r="G800" t="str">
        <f>"FERAL HOGS"</f>
        <v>FERAL HOGS</v>
      </c>
      <c r="H800" s="2">
        <v>25</v>
      </c>
      <c r="I800" t="str">
        <f>"FERAL HOGS"</f>
        <v>FERAL HOGS</v>
      </c>
    </row>
    <row r="801" spans="1:9" x14ac:dyDescent="0.3">
      <c r="A801" t="str">
        <f>"T14062"</f>
        <v>T14062</v>
      </c>
      <c r="B801" t="s">
        <v>231</v>
      </c>
      <c r="C801">
        <v>74405</v>
      </c>
      <c r="D801" s="2">
        <v>4288</v>
      </c>
      <c r="E801" s="1">
        <v>43096</v>
      </c>
      <c r="F801" t="str">
        <f>"17-18896"</f>
        <v>17-18896</v>
      </c>
      <c r="G801" t="str">
        <f>"INV 1029"</f>
        <v>INV 1029</v>
      </c>
      <c r="H801" s="2">
        <v>4288</v>
      </c>
      <c r="I801" t="str">
        <f>"INV 1029"</f>
        <v>INV 1029</v>
      </c>
    </row>
    <row r="802" spans="1:9" x14ac:dyDescent="0.3">
      <c r="A802" t="str">
        <f>"002183"</f>
        <v>002183</v>
      </c>
      <c r="B802" t="s">
        <v>232</v>
      </c>
      <c r="C802">
        <v>74176</v>
      </c>
      <c r="D802" s="2">
        <v>15</v>
      </c>
      <c r="E802" s="1">
        <v>43080</v>
      </c>
      <c r="F802" t="str">
        <f>"201711286800"</f>
        <v>201711286800</v>
      </c>
      <c r="G802" t="str">
        <f>"FERAL HOGS"</f>
        <v>FERAL HOGS</v>
      </c>
      <c r="H802" s="2">
        <v>15</v>
      </c>
      <c r="I802" t="str">
        <f>"FERAL HOGS"</f>
        <v>FERAL HOGS</v>
      </c>
    </row>
    <row r="803" spans="1:9" x14ac:dyDescent="0.3">
      <c r="A803" t="str">
        <f>"004900"</f>
        <v>004900</v>
      </c>
      <c r="B803" t="s">
        <v>233</v>
      </c>
      <c r="C803">
        <v>74177</v>
      </c>
      <c r="D803" s="2">
        <v>163591.46</v>
      </c>
      <c r="E803" s="1">
        <v>43080</v>
      </c>
      <c r="F803" t="str">
        <f>"121314 121315"</f>
        <v>121314 121315</v>
      </c>
      <c r="G803" t="str">
        <f>"Inv# 121314 &amp; Inv# 121315"</f>
        <v>Inv# 121314 &amp; Inv# 121315</v>
      </c>
      <c r="H803" s="2">
        <v>163591.46</v>
      </c>
      <c r="I803" t="str">
        <f>"Inv# 121314"</f>
        <v>Inv# 121314</v>
      </c>
    </row>
    <row r="804" spans="1:9" x14ac:dyDescent="0.3">
      <c r="A804" t="str">
        <f>""</f>
        <v/>
      </c>
      <c r="F804" t="str">
        <f>""</f>
        <v/>
      </c>
      <c r="G804" t="str">
        <f>""</f>
        <v/>
      </c>
      <c r="I804" t="str">
        <f>"Inv# 121315"</f>
        <v>Inv# 121315</v>
      </c>
    </row>
    <row r="805" spans="1:9" x14ac:dyDescent="0.3">
      <c r="A805" t="str">
        <f>"003848"</f>
        <v>003848</v>
      </c>
      <c r="B805" t="s">
        <v>234</v>
      </c>
      <c r="C805">
        <v>999999</v>
      </c>
      <c r="D805" s="2">
        <v>22867.53</v>
      </c>
      <c r="E805" s="1">
        <v>43097</v>
      </c>
      <c r="F805" t="str">
        <f>"201712147317"</f>
        <v>201712147317</v>
      </c>
      <c r="G805" t="str">
        <f>"16140"</f>
        <v>16140</v>
      </c>
      <c r="H805" s="2">
        <v>22867.53</v>
      </c>
      <c r="I805" t="str">
        <f>"16140"</f>
        <v>16140</v>
      </c>
    </row>
    <row r="806" spans="1:9" x14ac:dyDescent="0.3">
      <c r="A806" t="str">
        <f>"005339"</f>
        <v>005339</v>
      </c>
      <c r="B806" t="s">
        <v>235</v>
      </c>
      <c r="C806">
        <v>74178</v>
      </c>
      <c r="D806" s="2">
        <v>65</v>
      </c>
      <c r="E806" s="1">
        <v>43080</v>
      </c>
      <c r="F806" t="str">
        <f>"201712057190"</f>
        <v>201712057190</v>
      </c>
      <c r="G806" t="str">
        <f>"REFUND FOR RETURNED DOG"</f>
        <v>REFUND FOR RETURNED DOG</v>
      </c>
      <c r="H806" s="2">
        <v>65</v>
      </c>
      <c r="I806" t="str">
        <f>"REFUND FOR RETURNED DOG"</f>
        <v>REFUND FOR RETURNED DOG</v>
      </c>
    </row>
    <row r="807" spans="1:9" x14ac:dyDescent="0.3">
      <c r="A807" t="str">
        <f>"T12640"</f>
        <v>T12640</v>
      </c>
      <c r="B807" t="s">
        <v>236</v>
      </c>
      <c r="C807">
        <v>74406</v>
      </c>
      <c r="D807" s="2">
        <v>575</v>
      </c>
      <c r="E807" s="1">
        <v>43096</v>
      </c>
      <c r="F807" t="str">
        <f>"K.LITTLE REGISTRAT"</f>
        <v>K.LITTLE REGISTRAT</v>
      </c>
      <c r="G807" t="str">
        <f>"K. LITTLE REGISTRATION"</f>
        <v>K. LITTLE REGISTRATION</v>
      </c>
      <c r="H807" s="2">
        <v>575</v>
      </c>
      <c r="I807" t="str">
        <f>"K. LITTLE REGISTRATION"</f>
        <v>K. LITTLE REGISTRATION</v>
      </c>
    </row>
    <row r="808" spans="1:9" x14ac:dyDescent="0.3">
      <c r="A808" t="str">
        <f>"004606"</f>
        <v>004606</v>
      </c>
      <c r="B808" t="s">
        <v>237</v>
      </c>
      <c r="C808">
        <v>74179</v>
      </c>
      <c r="D808" s="2">
        <v>125</v>
      </c>
      <c r="E808" s="1">
        <v>43080</v>
      </c>
      <c r="F808" t="str">
        <f>"201712046883"</f>
        <v>201712046883</v>
      </c>
      <c r="G808" t="str">
        <f>"REIMBURSE FOR CONFERENCE"</f>
        <v>REIMBURSE FOR CONFERENCE</v>
      </c>
      <c r="H808" s="2">
        <v>125</v>
      </c>
      <c r="I808" t="str">
        <f>"REIMBURSE FOR CONFERENCE"</f>
        <v>REIMBURSE FOR CONFERENCE</v>
      </c>
    </row>
    <row r="809" spans="1:9" x14ac:dyDescent="0.3">
      <c r="A809" t="str">
        <f>"004006"</f>
        <v>004006</v>
      </c>
      <c r="B809" t="s">
        <v>238</v>
      </c>
      <c r="C809">
        <v>74180</v>
      </c>
      <c r="D809" s="2">
        <v>50</v>
      </c>
      <c r="E809" s="1">
        <v>43080</v>
      </c>
      <c r="F809" t="str">
        <f>"201711286801"</f>
        <v>201711286801</v>
      </c>
      <c r="G809" t="str">
        <f>"FERAL HOGS"</f>
        <v>FERAL HOGS</v>
      </c>
      <c r="H809" s="2">
        <v>50</v>
      </c>
      <c r="I809" t="str">
        <f>"FERAL HOGS"</f>
        <v>FERAL HOGS</v>
      </c>
    </row>
    <row r="810" spans="1:9" x14ac:dyDescent="0.3">
      <c r="A810" t="str">
        <f>"T14548"</f>
        <v>T14548</v>
      </c>
      <c r="B810" t="s">
        <v>239</v>
      </c>
      <c r="C810">
        <v>999999</v>
      </c>
      <c r="D810" s="2">
        <v>1350</v>
      </c>
      <c r="E810" s="1">
        <v>43081</v>
      </c>
      <c r="F810" t="str">
        <f>"201711286759"</f>
        <v>201711286759</v>
      </c>
      <c r="G810" t="str">
        <f>"54 638"</f>
        <v>54 638</v>
      </c>
      <c r="H810" s="2">
        <v>-250</v>
      </c>
      <c r="I810" t="str">
        <f>"54 638"</f>
        <v>54 638</v>
      </c>
    </row>
    <row r="811" spans="1:9" x14ac:dyDescent="0.3">
      <c r="A811" t="str">
        <f>""</f>
        <v/>
      </c>
      <c r="F811" t="str">
        <f>"201712057174"</f>
        <v>201712057174</v>
      </c>
      <c r="G811" t="str">
        <f>"423-5389"</f>
        <v>423-5389</v>
      </c>
      <c r="H811" s="2">
        <v>100</v>
      </c>
      <c r="I811" t="str">
        <f>"423-5389"</f>
        <v>423-5389</v>
      </c>
    </row>
    <row r="812" spans="1:9" x14ac:dyDescent="0.3">
      <c r="A812" t="str">
        <f>""</f>
        <v/>
      </c>
      <c r="F812" t="str">
        <f>"201712057175"</f>
        <v>201712057175</v>
      </c>
      <c r="G812" t="str">
        <f>"55510"</f>
        <v>55510</v>
      </c>
      <c r="H812" s="2">
        <v>250</v>
      </c>
      <c r="I812" t="str">
        <f>"55510"</f>
        <v>55510</v>
      </c>
    </row>
    <row r="813" spans="1:9" x14ac:dyDescent="0.3">
      <c r="A813" t="str">
        <f>""</f>
        <v/>
      </c>
      <c r="F813" t="str">
        <f>"201712057176"</f>
        <v>201712057176</v>
      </c>
      <c r="G813" t="str">
        <f>"54985"</f>
        <v>54985</v>
      </c>
      <c r="H813" s="2">
        <v>250</v>
      </c>
      <c r="I813" t="str">
        <f>"54985"</f>
        <v>54985</v>
      </c>
    </row>
    <row r="814" spans="1:9" x14ac:dyDescent="0.3">
      <c r="A814" t="str">
        <f>""</f>
        <v/>
      </c>
      <c r="F814" t="str">
        <f>"201712057177"</f>
        <v>201712057177</v>
      </c>
      <c r="G814" t="str">
        <f>"54986"</f>
        <v>54986</v>
      </c>
      <c r="H814" s="2">
        <v>250</v>
      </c>
      <c r="I814" t="str">
        <f>"54986"</f>
        <v>54986</v>
      </c>
    </row>
    <row r="815" spans="1:9" x14ac:dyDescent="0.3">
      <c r="A815" t="str">
        <f>""</f>
        <v/>
      </c>
      <c r="F815" t="str">
        <f>"201712057178"</f>
        <v>201712057178</v>
      </c>
      <c r="G815" t="str">
        <f>"55091"</f>
        <v>55091</v>
      </c>
      <c r="H815" s="2">
        <v>250</v>
      </c>
      <c r="I815" t="str">
        <f>"55091"</f>
        <v>55091</v>
      </c>
    </row>
    <row r="816" spans="1:9" x14ac:dyDescent="0.3">
      <c r="A816" t="str">
        <f>""</f>
        <v/>
      </c>
      <c r="F816" t="str">
        <f>"201712057179"</f>
        <v>201712057179</v>
      </c>
      <c r="G816" t="str">
        <f>"55084 1JP421717B 1JP421717A"</f>
        <v>55084 1JP421717B 1JP421717A</v>
      </c>
      <c r="H816" s="2">
        <v>500</v>
      </c>
      <c r="I816" t="str">
        <f>"55084 1JP421717B 1JP421717A"</f>
        <v>55084 1JP421717B 1JP421717A</v>
      </c>
    </row>
    <row r="817" spans="1:10" x14ac:dyDescent="0.3">
      <c r="A817" t="str">
        <f>"T14548"</f>
        <v>T14548</v>
      </c>
      <c r="B817" t="s">
        <v>239</v>
      </c>
      <c r="C817">
        <v>999999</v>
      </c>
      <c r="D817" s="2">
        <v>2050</v>
      </c>
      <c r="E817" s="1">
        <v>43097</v>
      </c>
      <c r="F817" t="str">
        <f>"201712127271"</f>
        <v>201712127271</v>
      </c>
      <c r="G817" t="str">
        <f>"15444  15584"</f>
        <v>15444  15584</v>
      </c>
      <c r="H817" s="2">
        <v>600</v>
      </c>
      <c r="I817" t="str">
        <f>"15444  15584"</f>
        <v>15444  15584</v>
      </c>
    </row>
    <row r="818" spans="1:10" x14ac:dyDescent="0.3">
      <c r="A818" t="str">
        <f>""</f>
        <v/>
      </c>
      <c r="F818" t="str">
        <f>"201712157332"</f>
        <v>201712157332</v>
      </c>
      <c r="G818" t="str">
        <f>"20170131"</f>
        <v>20170131</v>
      </c>
      <c r="H818" s="2">
        <v>400</v>
      </c>
      <c r="I818" t="str">
        <f>"20170131"</f>
        <v>20170131</v>
      </c>
    </row>
    <row r="819" spans="1:10" x14ac:dyDescent="0.3">
      <c r="A819" t="str">
        <f>""</f>
        <v/>
      </c>
      <c r="F819" t="str">
        <f>"201712157333"</f>
        <v>201712157333</v>
      </c>
      <c r="G819" t="str">
        <f>"423-2898"</f>
        <v>423-2898</v>
      </c>
      <c r="H819" s="2">
        <v>75</v>
      </c>
      <c r="I819" t="str">
        <f>"423-2898"</f>
        <v>423-2898</v>
      </c>
    </row>
    <row r="820" spans="1:10" x14ac:dyDescent="0.3">
      <c r="A820" t="str">
        <f>""</f>
        <v/>
      </c>
      <c r="F820" t="str">
        <f>"201712197399"</f>
        <v>201712197399</v>
      </c>
      <c r="G820" t="str">
        <f>"17-18769"</f>
        <v>17-18769</v>
      </c>
      <c r="H820" s="2">
        <v>100</v>
      </c>
      <c r="I820" t="str">
        <f>"17-18769"</f>
        <v>17-18769</v>
      </c>
    </row>
    <row r="821" spans="1:10" x14ac:dyDescent="0.3">
      <c r="A821" t="str">
        <f>""</f>
        <v/>
      </c>
      <c r="F821" t="str">
        <f>"201712197413"</f>
        <v>201712197413</v>
      </c>
      <c r="G821" t="str">
        <f>"409225-IM"</f>
        <v>409225-IM</v>
      </c>
      <c r="H821" s="2">
        <v>250</v>
      </c>
      <c r="I821" t="str">
        <f>"409225-IM"</f>
        <v>409225-IM</v>
      </c>
    </row>
    <row r="822" spans="1:10" x14ac:dyDescent="0.3">
      <c r="A822" t="str">
        <f>""</f>
        <v/>
      </c>
      <c r="F822" t="str">
        <f>"201712197414"</f>
        <v>201712197414</v>
      </c>
      <c r="G822" t="str">
        <f>"02-1110-2"</f>
        <v>02-1110-2</v>
      </c>
      <c r="H822" s="2">
        <v>250</v>
      </c>
      <c r="I822" t="str">
        <f>"02-1110-2"</f>
        <v>02-1110-2</v>
      </c>
    </row>
    <row r="823" spans="1:10" x14ac:dyDescent="0.3">
      <c r="A823" t="str">
        <f>""</f>
        <v/>
      </c>
      <c r="F823" t="str">
        <f>"201712197415"</f>
        <v>201712197415</v>
      </c>
      <c r="G823" t="str">
        <f>"403155-2M  403155-3M"</f>
        <v>403155-2M  403155-3M</v>
      </c>
      <c r="H823" s="2">
        <v>375</v>
      </c>
      <c r="I823" t="str">
        <f>"403155-2M  403155-3M"</f>
        <v>403155-2M  403155-3M</v>
      </c>
    </row>
    <row r="824" spans="1:10" x14ac:dyDescent="0.3">
      <c r="A824" t="str">
        <f>"004892"</f>
        <v>004892</v>
      </c>
      <c r="B824" t="s">
        <v>240</v>
      </c>
      <c r="C824">
        <v>74181</v>
      </c>
      <c r="D824" s="2">
        <v>25</v>
      </c>
      <c r="E824" s="1">
        <v>43080</v>
      </c>
      <c r="F824" t="s">
        <v>241</v>
      </c>
      <c r="G824" t="s">
        <v>242</v>
      </c>
      <c r="H824" s="2" t="str">
        <f>"RESTITUTION-J. HOFFMAN"</f>
        <v>RESTITUTION-J. HOFFMAN</v>
      </c>
      <c r="I824" t="str">
        <f>"210-0000"</f>
        <v>210-0000</v>
      </c>
      <c r="J824">
        <v>25</v>
      </c>
    </row>
    <row r="825" spans="1:10" x14ac:dyDescent="0.3">
      <c r="A825" t="str">
        <f>"003677"</f>
        <v>003677</v>
      </c>
      <c r="B825" t="s">
        <v>243</v>
      </c>
      <c r="C825">
        <v>74182</v>
      </c>
      <c r="D825" s="2">
        <v>25</v>
      </c>
      <c r="E825" s="1">
        <v>43080</v>
      </c>
      <c r="F825" t="s">
        <v>92</v>
      </c>
      <c r="G825" t="s">
        <v>244</v>
      </c>
      <c r="H825" s="2" t="str">
        <f>"RESTITUTION-D. SPURK"</f>
        <v>RESTITUTION-D. SPURK</v>
      </c>
      <c r="I825" t="str">
        <f>"210-0000"</f>
        <v>210-0000</v>
      </c>
      <c r="J825">
        <v>25</v>
      </c>
    </row>
    <row r="826" spans="1:10" x14ac:dyDescent="0.3">
      <c r="A826" t="str">
        <f>"KMPC"</f>
        <v>KMPC</v>
      </c>
      <c r="B826" t="s">
        <v>245</v>
      </c>
      <c r="C826">
        <v>74183</v>
      </c>
      <c r="D826" s="2">
        <v>174.09</v>
      </c>
      <c r="E826" s="1">
        <v>43080</v>
      </c>
      <c r="F826" t="str">
        <f>"152000000134010"</f>
        <v>152000000134010</v>
      </c>
      <c r="G826" t="str">
        <f>"ACCT#1520-BA2437"</f>
        <v>ACCT#1520-BA2437</v>
      </c>
      <c r="H826" s="2">
        <v>174.09</v>
      </c>
      <c r="I826" t="str">
        <f>"ACCT#1520-BA2437"</f>
        <v>ACCT#1520-BA2437</v>
      </c>
    </row>
    <row r="827" spans="1:10" x14ac:dyDescent="0.3">
      <c r="A827" t="str">
        <f>"KBTRI"</f>
        <v>KBTRI</v>
      </c>
      <c r="B827" t="s">
        <v>246</v>
      </c>
      <c r="C827">
        <v>74184</v>
      </c>
      <c r="D827" s="2">
        <v>2617</v>
      </c>
      <c r="E827" s="1">
        <v>43080</v>
      </c>
      <c r="F827" t="str">
        <f>"13"</f>
        <v>13</v>
      </c>
      <c r="G827" t="str">
        <f>"TOWER RENT"</f>
        <v>TOWER RENT</v>
      </c>
      <c r="H827" s="2">
        <v>2617</v>
      </c>
      <c r="I827" t="str">
        <f>"TOWER RENT"</f>
        <v>TOWER RENT</v>
      </c>
    </row>
    <row r="828" spans="1:10" x14ac:dyDescent="0.3">
      <c r="A828" t="str">
        <f>"003896"</f>
        <v>003896</v>
      </c>
      <c r="B828" t="s">
        <v>247</v>
      </c>
      <c r="C828">
        <v>999999</v>
      </c>
      <c r="D828" s="2">
        <v>24</v>
      </c>
      <c r="E828" s="1">
        <v>43081</v>
      </c>
      <c r="F828" t="str">
        <f>"201712016863"</f>
        <v>201712016863</v>
      </c>
      <c r="G828" t="str">
        <f>"PARKING REIMBURSEMENT"</f>
        <v>PARKING REIMBURSEMENT</v>
      </c>
      <c r="H828" s="2">
        <v>24</v>
      </c>
      <c r="I828" t="str">
        <f>"PARKING REIMBURSEMENT"</f>
        <v>PARKING REIMBURSEMENT</v>
      </c>
    </row>
    <row r="829" spans="1:10" x14ac:dyDescent="0.3">
      <c r="A829" t="str">
        <f>"KFT"</f>
        <v>KFT</v>
      </c>
      <c r="B829" t="s">
        <v>248</v>
      </c>
      <c r="C829">
        <v>74185</v>
      </c>
      <c r="D829" s="2">
        <v>7556.47</v>
      </c>
      <c r="E829" s="1">
        <v>43080</v>
      </c>
      <c r="F829" t="str">
        <f>"W093461"</f>
        <v>W093461</v>
      </c>
      <c r="G829" t="str">
        <f>"ACCT#BASCO1/PCT#1"</f>
        <v>ACCT#BASCO1/PCT#1</v>
      </c>
      <c r="H829" s="2">
        <v>3850.78</v>
      </c>
      <c r="I829" t="str">
        <f>"ACCT#BASCO1/PCT#1"</f>
        <v>ACCT#BASCO1/PCT#1</v>
      </c>
    </row>
    <row r="830" spans="1:10" x14ac:dyDescent="0.3">
      <c r="A830" t="str">
        <f>""</f>
        <v/>
      </c>
      <c r="F830" t="str">
        <f>"W093467"</f>
        <v>W093467</v>
      </c>
      <c r="G830" t="str">
        <f>"ACCT#BASCO1/PCT#1"</f>
        <v>ACCT#BASCO1/PCT#1</v>
      </c>
      <c r="H830" s="2">
        <v>3705.69</v>
      </c>
      <c r="I830" t="str">
        <f>"ACCT#BASCO1/PCT#1"</f>
        <v>ACCT#BASCO1/PCT#1</v>
      </c>
    </row>
    <row r="831" spans="1:10" x14ac:dyDescent="0.3">
      <c r="A831" t="str">
        <f>"KFT"</f>
        <v>KFT</v>
      </c>
      <c r="B831" t="s">
        <v>248</v>
      </c>
      <c r="C831">
        <v>74407</v>
      </c>
      <c r="D831" s="2">
        <v>324.8</v>
      </c>
      <c r="E831" s="1">
        <v>43096</v>
      </c>
      <c r="F831" t="str">
        <f>"246927"</f>
        <v>246927</v>
      </c>
      <c r="G831" t="str">
        <f>"ACCT#BASTCO//PCT#2"</f>
        <v>ACCT#BASTCO//PCT#2</v>
      </c>
      <c r="H831" s="2">
        <v>324.8</v>
      </c>
      <c r="I831" t="str">
        <f>"ACCT#BASTCO//PCT#2"</f>
        <v>ACCT#BASTCO//PCT#2</v>
      </c>
    </row>
    <row r="832" spans="1:10" x14ac:dyDescent="0.3">
      <c r="A832" t="str">
        <f>"001722"</f>
        <v>001722</v>
      </c>
      <c r="B832" t="s">
        <v>249</v>
      </c>
      <c r="C832">
        <v>74186</v>
      </c>
      <c r="D832" s="2">
        <v>3586.81</v>
      </c>
      <c r="E832" s="1">
        <v>43080</v>
      </c>
      <c r="F832" t="str">
        <f>"ACCT#535311"</f>
        <v>ACCT#535311</v>
      </c>
      <c r="G832" t="str">
        <f>"INV 11155952"</f>
        <v>INV 11155952</v>
      </c>
      <c r="H832" s="2">
        <v>3586.81</v>
      </c>
      <c r="I832" t="str">
        <f>"INV 11155952"</f>
        <v>INV 11155952</v>
      </c>
    </row>
    <row r="833" spans="1:9" x14ac:dyDescent="0.3">
      <c r="A833" t="str">
        <f>""</f>
        <v/>
      </c>
      <c r="F833" t="str">
        <f>""</f>
        <v/>
      </c>
      <c r="G833" t="str">
        <f>""</f>
        <v/>
      </c>
      <c r="I833" t="str">
        <f>"INV 11216238"</f>
        <v>INV 11216238</v>
      </c>
    </row>
    <row r="834" spans="1:9" x14ac:dyDescent="0.3">
      <c r="A834" t="str">
        <f>""</f>
        <v/>
      </c>
      <c r="F834" t="str">
        <f>""</f>
        <v/>
      </c>
      <c r="G834" t="str">
        <f>""</f>
        <v/>
      </c>
      <c r="I834" t="str">
        <f>"INV 11292297"</f>
        <v>INV 11292297</v>
      </c>
    </row>
    <row r="835" spans="1:9" x14ac:dyDescent="0.3">
      <c r="A835" t="str">
        <f>"001722"</f>
        <v>001722</v>
      </c>
      <c r="B835" t="s">
        <v>249</v>
      </c>
      <c r="C835">
        <v>74408</v>
      </c>
      <c r="D835" s="2">
        <v>2894.22</v>
      </c>
      <c r="E835" s="1">
        <v>43096</v>
      </c>
      <c r="F835" t="str">
        <f>"12060896 12138823"</f>
        <v>12060896 12138823</v>
      </c>
      <c r="G835" t="str">
        <f>"INV 12060896"</f>
        <v>INV 12060896</v>
      </c>
      <c r="H835" s="2">
        <v>2894.22</v>
      </c>
      <c r="I835" t="str">
        <f>"INV 12060896"</f>
        <v>INV 12060896</v>
      </c>
    </row>
    <row r="836" spans="1:9" x14ac:dyDescent="0.3">
      <c r="A836" t="str">
        <f>""</f>
        <v/>
      </c>
      <c r="F836" t="str">
        <f>""</f>
        <v/>
      </c>
      <c r="G836" t="str">
        <f>""</f>
        <v/>
      </c>
      <c r="I836" t="str">
        <f>"INV 12138823"</f>
        <v>INV 12138823</v>
      </c>
    </row>
    <row r="837" spans="1:9" x14ac:dyDescent="0.3">
      <c r="A837" t="str">
        <f>"002327"</f>
        <v>002327</v>
      </c>
      <c r="B837" t="s">
        <v>250</v>
      </c>
      <c r="C837">
        <v>74187</v>
      </c>
      <c r="D837" s="2">
        <v>339.98</v>
      </c>
      <c r="E837" s="1">
        <v>43080</v>
      </c>
      <c r="F837" t="str">
        <f>"201712047008"</f>
        <v>201712047008</v>
      </c>
      <c r="G837" t="str">
        <f>"REIMBURSEMENT-LODGING"</f>
        <v>REIMBURSEMENT-LODGING</v>
      </c>
      <c r="H837" s="2">
        <v>339.98</v>
      </c>
      <c r="I837" t="str">
        <f>"REIMBURSEMENT-LODGING"</f>
        <v>REIMBURSEMENT-LODGING</v>
      </c>
    </row>
    <row r="838" spans="1:9" x14ac:dyDescent="0.3">
      <c r="A838" t="str">
        <f>"002420"</f>
        <v>002420</v>
      </c>
      <c r="B838" t="s">
        <v>251</v>
      </c>
      <c r="C838">
        <v>999999</v>
      </c>
      <c r="D838" s="2">
        <v>6649.5</v>
      </c>
      <c r="E838" s="1">
        <v>43081</v>
      </c>
      <c r="F838" t="str">
        <f>"201711286762"</f>
        <v>201711286762</v>
      </c>
      <c r="G838" t="str">
        <f>"423-1015"</f>
        <v>423-1015</v>
      </c>
      <c r="H838" s="2">
        <v>420</v>
      </c>
      <c r="I838" t="str">
        <f>"423-1015"</f>
        <v>423-1015</v>
      </c>
    </row>
    <row r="839" spans="1:9" x14ac:dyDescent="0.3">
      <c r="A839" t="str">
        <f>""</f>
        <v/>
      </c>
      <c r="F839" t="str">
        <f>"201711286763"</f>
        <v>201711286763</v>
      </c>
      <c r="G839" t="str">
        <f>"423-3430"</f>
        <v>423-3430</v>
      </c>
      <c r="H839" s="2">
        <v>357.5</v>
      </c>
      <c r="I839" t="str">
        <f>"423-3430"</f>
        <v>423-3430</v>
      </c>
    </row>
    <row r="840" spans="1:9" x14ac:dyDescent="0.3">
      <c r="A840" t="str">
        <f>""</f>
        <v/>
      </c>
      <c r="F840" t="str">
        <f>"201711286764"</f>
        <v>201711286764</v>
      </c>
      <c r="G840" t="str">
        <f>"423-4921"</f>
        <v>423-4921</v>
      </c>
      <c r="H840" s="2">
        <v>232.5</v>
      </c>
      <c r="I840" t="str">
        <f>"423-4921"</f>
        <v>423-4921</v>
      </c>
    </row>
    <row r="841" spans="1:9" x14ac:dyDescent="0.3">
      <c r="A841" t="str">
        <f>""</f>
        <v/>
      </c>
      <c r="F841" t="str">
        <f>"201711286765"</f>
        <v>201711286765</v>
      </c>
      <c r="G841" t="str">
        <f>"423-2783"</f>
        <v>423-2783</v>
      </c>
      <c r="H841" s="2">
        <v>52.5</v>
      </c>
      <c r="I841" t="str">
        <f>"423-2783"</f>
        <v>423-2783</v>
      </c>
    </row>
    <row r="842" spans="1:9" x14ac:dyDescent="0.3">
      <c r="A842" t="str">
        <f>""</f>
        <v/>
      </c>
      <c r="F842" t="str">
        <f>"201712046895"</f>
        <v>201712046895</v>
      </c>
      <c r="G842" t="str">
        <f>"16-17944"</f>
        <v>16-17944</v>
      </c>
      <c r="H842" s="2">
        <v>1172.5</v>
      </c>
      <c r="I842" t="str">
        <f>"16-17944"</f>
        <v>16-17944</v>
      </c>
    </row>
    <row r="843" spans="1:9" x14ac:dyDescent="0.3">
      <c r="A843" t="str">
        <f>""</f>
        <v/>
      </c>
      <c r="F843" t="str">
        <f>"201712046896"</f>
        <v>201712046896</v>
      </c>
      <c r="G843" t="str">
        <f>"17-18576"</f>
        <v>17-18576</v>
      </c>
      <c r="H843" s="2">
        <v>375</v>
      </c>
      <c r="I843" t="str">
        <f>"17-18576"</f>
        <v>17-18576</v>
      </c>
    </row>
    <row r="844" spans="1:9" x14ac:dyDescent="0.3">
      <c r="A844" t="str">
        <f>""</f>
        <v/>
      </c>
      <c r="F844" t="str">
        <f>"201712046897"</f>
        <v>201712046897</v>
      </c>
      <c r="G844" t="str">
        <f>"00-6295"</f>
        <v>00-6295</v>
      </c>
      <c r="H844" s="2">
        <v>300</v>
      </c>
      <c r="I844" t="str">
        <f>"00-6295"</f>
        <v>00-6295</v>
      </c>
    </row>
    <row r="845" spans="1:9" x14ac:dyDescent="0.3">
      <c r="A845" t="str">
        <f>""</f>
        <v/>
      </c>
      <c r="F845" t="str">
        <f>"201712046898"</f>
        <v>201712046898</v>
      </c>
      <c r="G845" t="str">
        <f>"12-15233"</f>
        <v>12-15233</v>
      </c>
      <c r="H845" s="2">
        <v>355</v>
      </c>
      <c r="I845" t="str">
        <f>"12-15233"</f>
        <v>12-15233</v>
      </c>
    </row>
    <row r="846" spans="1:9" x14ac:dyDescent="0.3">
      <c r="A846" t="str">
        <f>""</f>
        <v/>
      </c>
      <c r="F846" t="str">
        <f>"201712046899"</f>
        <v>201712046899</v>
      </c>
      <c r="G846" t="str">
        <f>"17-18250"</f>
        <v>17-18250</v>
      </c>
      <c r="H846" s="2">
        <v>15</v>
      </c>
      <c r="I846" t="str">
        <f>"17-18250"</f>
        <v>17-18250</v>
      </c>
    </row>
    <row r="847" spans="1:9" x14ac:dyDescent="0.3">
      <c r="A847" t="str">
        <f>""</f>
        <v/>
      </c>
      <c r="F847" t="str">
        <f>"201712046900"</f>
        <v>201712046900</v>
      </c>
      <c r="G847" t="str">
        <f>"08-12875"</f>
        <v>08-12875</v>
      </c>
      <c r="H847" s="2">
        <v>137.5</v>
      </c>
      <c r="I847" t="str">
        <f>"08-12875"</f>
        <v>08-12875</v>
      </c>
    </row>
    <row r="848" spans="1:9" x14ac:dyDescent="0.3">
      <c r="A848" t="str">
        <f>""</f>
        <v/>
      </c>
      <c r="F848" t="str">
        <f>"201712046901"</f>
        <v>201712046901</v>
      </c>
      <c r="G848" t="str">
        <f>"08-13005"</f>
        <v>08-13005</v>
      </c>
      <c r="H848" s="2">
        <v>90</v>
      </c>
      <c r="I848" t="str">
        <f>"08-13005"</f>
        <v>08-13005</v>
      </c>
    </row>
    <row r="849" spans="1:9" x14ac:dyDescent="0.3">
      <c r="A849" t="str">
        <f>""</f>
        <v/>
      </c>
      <c r="F849" t="str">
        <f>"201712046902"</f>
        <v>201712046902</v>
      </c>
      <c r="G849" t="str">
        <f>"17-18493"</f>
        <v>17-18493</v>
      </c>
      <c r="H849" s="2">
        <v>195</v>
      </c>
      <c r="I849" t="str">
        <f>"17-18493"</f>
        <v>17-18493</v>
      </c>
    </row>
    <row r="850" spans="1:9" x14ac:dyDescent="0.3">
      <c r="A850" t="str">
        <f>""</f>
        <v/>
      </c>
      <c r="F850" t="str">
        <f>"201712046903"</f>
        <v>201712046903</v>
      </c>
      <c r="G850" t="str">
        <f>"16-18067"</f>
        <v>16-18067</v>
      </c>
      <c r="H850" s="2">
        <v>152.5</v>
      </c>
      <c r="I850" t="str">
        <f>"16-18067"</f>
        <v>16-18067</v>
      </c>
    </row>
    <row r="851" spans="1:9" x14ac:dyDescent="0.3">
      <c r="A851" t="str">
        <f>""</f>
        <v/>
      </c>
      <c r="F851" t="str">
        <f>"201712046904"</f>
        <v>201712046904</v>
      </c>
      <c r="G851" t="str">
        <f>"16-17760"</f>
        <v>16-17760</v>
      </c>
      <c r="H851" s="2">
        <v>7.5</v>
      </c>
      <c r="I851" t="str">
        <f>"16-17760"</f>
        <v>16-17760</v>
      </c>
    </row>
    <row r="852" spans="1:9" x14ac:dyDescent="0.3">
      <c r="A852" t="str">
        <f>""</f>
        <v/>
      </c>
      <c r="F852" t="str">
        <f>"201712046905"</f>
        <v>201712046905</v>
      </c>
      <c r="G852" t="str">
        <f>"14-16754"</f>
        <v>14-16754</v>
      </c>
      <c r="H852" s="2">
        <v>157.5</v>
      </c>
      <c r="I852" t="str">
        <f>"14-16754"</f>
        <v>14-16754</v>
      </c>
    </row>
    <row r="853" spans="1:9" x14ac:dyDescent="0.3">
      <c r="A853" t="str">
        <f>""</f>
        <v/>
      </c>
      <c r="F853" t="str">
        <f>"201712046906"</f>
        <v>201712046906</v>
      </c>
      <c r="G853" t="str">
        <f>"17-18615"</f>
        <v>17-18615</v>
      </c>
      <c r="H853" s="2">
        <v>807.5</v>
      </c>
      <c r="I853" t="str">
        <f>"17-18615"</f>
        <v>17-18615</v>
      </c>
    </row>
    <row r="854" spans="1:9" x14ac:dyDescent="0.3">
      <c r="A854" t="str">
        <f>""</f>
        <v/>
      </c>
      <c r="F854" t="str">
        <f>"201712046907"</f>
        <v>201712046907</v>
      </c>
      <c r="G854" t="str">
        <f>"04-9415"</f>
        <v>04-9415</v>
      </c>
      <c r="H854" s="2">
        <v>362</v>
      </c>
      <c r="I854" t="str">
        <f>"04-9415"</f>
        <v>04-9415</v>
      </c>
    </row>
    <row r="855" spans="1:9" x14ac:dyDescent="0.3">
      <c r="A855" t="str">
        <f>""</f>
        <v/>
      </c>
      <c r="F855" t="str">
        <f>"201712046908"</f>
        <v>201712046908</v>
      </c>
      <c r="G855" t="str">
        <f>"17-18525"</f>
        <v>17-18525</v>
      </c>
      <c r="H855" s="2">
        <v>872.5</v>
      </c>
      <c r="I855" t="str">
        <f>"17-18525"</f>
        <v>17-18525</v>
      </c>
    </row>
    <row r="856" spans="1:9" x14ac:dyDescent="0.3">
      <c r="A856" t="str">
        <f>""</f>
        <v/>
      </c>
      <c r="F856" t="str">
        <f>"201712067203"</f>
        <v>201712067203</v>
      </c>
      <c r="G856" t="str">
        <f>"17-18576"</f>
        <v>17-18576</v>
      </c>
      <c r="H856" s="2">
        <v>82.5</v>
      </c>
      <c r="I856" t="str">
        <f>"17-18576"</f>
        <v>17-18576</v>
      </c>
    </row>
    <row r="857" spans="1:9" x14ac:dyDescent="0.3">
      <c r="A857" t="str">
        <f>""</f>
        <v/>
      </c>
      <c r="F857" t="str">
        <f>"201712067204"</f>
        <v>201712067204</v>
      </c>
      <c r="G857" t="str">
        <f>"17-18250"</f>
        <v>17-18250</v>
      </c>
      <c r="H857" s="2">
        <v>45</v>
      </c>
      <c r="I857" t="str">
        <f>"17-18250"</f>
        <v>17-18250</v>
      </c>
    </row>
    <row r="858" spans="1:9" x14ac:dyDescent="0.3">
      <c r="A858" t="str">
        <f>""</f>
        <v/>
      </c>
      <c r="F858" t="str">
        <f>"201712067205"</f>
        <v>201712067205</v>
      </c>
      <c r="G858" t="str">
        <f>"17-18615"</f>
        <v>17-18615</v>
      </c>
      <c r="H858" s="2">
        <v>67.5</v>
      </c>
      <c r="I858" t="str">
        <f>"17-18615"</f>
        <v>17-18615</v>
      </c>
    </row>
    <row r="859" spans="1:9" x14ac:dyDescent="0.3">
      <c r="A859" t="str">
        <f>""</f>
        <v/>
      </c>
      <c r="F859" t="str">
        <f>"201712067206"</f>
        <v>201712067206</v>
      </c>
      <c r="G859" t="str">
        <f>"12-15233"</f>
        <v>12-15233</v>
      </c>
      <c r="H859" s="2">
        <v>30</v>
      </c>
      <c r="I859" t="str">
        <f>"12-15233"</f>
        <v>12-15233</v>
      </c>
    </row>
    <row r="860" spans="1:9" x14ac:dyDescent="0.3">
      <c r="A860" t="str">
        <f>""</f>
        <v/>
      </c>
      <c r="F860" t="str">
        <f>"201712067207"</f>
        <v>201712067207</v>
      </c>
      <c r="G860" t="str">
        <f>"00-6295"</f>
        <v>00-6295</v>
      </c>
      <c r="H860" s="2">
        <v>182.5</v>
      </c>
      <c r="I860" t="str">
        <f>"00-6295"</f>
        <v>00-6295</v>
      </c>
    </row>
    <row r="861" spans="1:9" x14ac:dyDescent="0.3">
      <c r="A861" t="str">
        <f>""</f>
        <v/>
      </c>
      <c r="F861" t="str">
        <f>"201712067208"</f>
        <v>201712067208</v>
      </c>
      <c r="G861" t="str">
        <f>"17-18493"</f>
        <v>17-18493</v>
      </c>
      <c r="H861" s="2">
        <v>52.5</v>
      </c>
      <c r="I861" t="str">
        <f>"17-18493"</f>
        <v>17-18493</v>
      </c>
    </row>
    <row r="862" spans="1:9" x14ac:dyDescent="0.3">
      <c r="A862" t="str">
        <f>""</f>
        <v/>
      </c>
      <c r="F862" t="str">
        <f>"201712067209"</f>
        <v>201712067209</v>
      </c>
      <c r="G862" t="str">
        <f>"14-16754"</f>
        <v>14-16754</v>
      </c>
      <c r="H862" s="2">
        <v>45</v>
      </c>
      <c r="I862" t="str">
        <f>"14-16754"</f>
        <v>14-16754</v>
      </c>
    </row>
    <row r="863" spans="1:9" x14ac:dyDescent="0.3">
      <c r="A863" t="str">
        <f>""</f>
        <v/>
      </c>
      <c r="F863" t="str">
        <f>"201712067210"</f>
        <v>201712067210</v>
      </c>
      <c r="G863" t="str">
        <f>"17-18525"</f>
        <v>17-18525</v>
      </c>
      <c r="H863" s="2">
        <v>82.5</v>
      </c>
      <c r="I863" t="str">
        <f>"17-18525"</f>
        <v>17-18525</v>
      </c>
    </row>
    <row r="864" spans="1:9" x14ac:dyDescent="0.3">
      <c r="A864" t="str">
        <f>"002900"</f>
        <v>002900</v>
      </c>
      <c r="B864" t="s">
        <v>252</v>
      </c>
      <c r="C864">
        <v>74188</v>
      </c>
      <c r="D864" s="2">
        <v>853.57</v>
      </c>
      <c r="E864" s="1">
        <v>43080</v>
      </c>
      <c r="F864" t="str">
        <f>"553238614"</f>
        <v>553238614</v>
      </c>
      <c r="G864" t="str">
        <f>"INV 553238614"</f>
        <v>INV 553238614</v>
      </c>
      <c r="H864" s="2">
        <v>853.57</v>
      </c>
      <c r="I864" t="str">
        <f>"INV 553238614"</f>
        <v>INV 553238614</v>
      </c>
    </row>
    <row r="865" spans="1:9" x14ac:dyDescent="0.3">
      <c r="A865" t="str">
        <f>"T13669"</f>
        <v>T13669</v>
      </c>
      <c r="B865" t="s">
        <v>253</v>
      </c>
      <c r="C865">
        <v>74409</v>
      </c>
      <c r="D865" s="2">
        <v>225</v>
      </c>
      <c r="E865" s="1">
        <v>43096</v>
      </c>
      <c r="F865" t="str">
        <f>"17636"</f>
        <v>17636</v>
      </c>
      <c r="G865" t="str">
        <f>"SPANISH INTERPRETATION"</f>
        <v>SPANISH INTERPRETATION</v>
      </c>
      <c r="H865" s="2">
        <v>225</v>
      </c>
      <c r="I865" t="str">
        <f>"SPANISH INTERPRETATION"</f>
        <v>SPANISH INTERPRETATION</v>
      </c>
    </row>
    <row r="866" spans="1:9" x14ac:dyDescent="0.3">
      <c r="A866" t="str">
        <f>"001530"</f>
        <v>001530</v>
      </c>
      <c r="B866" t="s">
        <v>254</v>
      </c>
      <c r="C866">
        <v>74189</v>
      </c>
      <c r="D866" s="2">
        <v>284.2</v>
      </c>
      <c r="E866" s="1">
        <v>43080</v>
      </c>
      <c r="F866" t="str">
        <f>"1420944-20171130"</f>
        <v>1420944-20171130</v>
      </c>
      <c r="G866" t="str">
        <f>"BILLING ID#1420944/SHERIFF OFF"</f>
        <v>BILLING ID#1420944/SHERIFF OFF</v>
      </c>
      <c r="H866" s="2">
        <v>284.2</v>
      </c>
      <c r="I866" t="str">
        <f>"BILLING ID#1420944/SHERIFF OFF"</f>
        <v>BILLING ID#1420944/SHERIFF OFF</v>
      </c>
    </row>
    <row r="867" spans="1:9" x14ac:dyDescent="0.3">
      <c r="A867" t="str">
        <f>"001530"</f>
        <v>001530</v>
      </c>
      <c r="B867" t="s">
        <v>254</v>
      </c>
      <c r="C867">
        <v>74410</v>
      </c>
      <c r="D867" s="2">
        <v>213.15</v>
      </c>
      <c r="E867" s="1">
        <v>43096</v>
      </c>
      <c r="F867" t="str">
        <f>"1361725-20171130"</f>
        <v>1361725-20171130</v>
      </c>
      <c r="G867" t="str">
        <f>"BILLING#1361725/INDIGENT CARE"</f>
        <v>BILLING#1361725/INDIGENT CARE</v>
      </c>
      <c r="H867" s="2">
        <v>120.65</v>
      </c>
      <c r="I867" t="str">
        <f>"BILLING#1361725/INDIGENT CARE"</f>
        <v>BILLING#1361725/INDIGENT CARE</v>
      </c>
    </row>
    <row r="868" spans="1:9" x14ac:dyDescent="0.3">
      <c r="A868" t="str">
        <f>""</f>
        <v/>
      </c>
      <c r="F868" t="str">
        <f>"1394645-20171130"</f>
        <v>1394645-20171130</v>
      </c>
      <c r="G868" t="str">
        <f>"BILLING #:1394645/COUNTY CLERK"</f>
        <v>BILLING #:1394645/COUNTY CLERK</v>
      </c>
      <c r="H868" s="2">
        <v>42.5</v>
      </c>
      <c r="I868" t="str">
        <f>"BILLING #:1394645/COUNTY CLERK"</f>
        <v>BILLING #:1394645/COUNTY CLERK</v>
      </c>
    </row>
    <row r="869" spans="1:9" x14ac:dyDescent="0.3">
      <c r="A869" t="str">
        <f>""</f>
        <v/>
      </c>
      <c r="F869" t="str">
        <f>""</f>
        <v/>
      </c>
      <c r="G869" t="str">
        <f>""</f>
        <v/>
      </c>
      <c r="I869" t="str">
        <f>"BILLING #:1394645/COUNTY CLERK"</f>
        <v>BILLING #:1394645/COUNTY CLERK</v>
      </c>
    </row>
    <row r="870" spans="1:9" x14ac:dyDescent="0.3">
      <c r="A870" t="str">
        <f>""</f>
        <v/>
      </c>
      <c r="F870" t="str">
        <f>"1489870-20171130"</f>
        <v>1489870-20171130</v>
      </c>
      <c r="G870" t="str">
        <f>"BILLING ID#1489870/DIST CLERK"</f>
        <v>BILLING ID#1489870/DIST CLERK</v>
      </c>
      <c r="H870" s="2">
        <v>50</v>
      </c>
      <c r="I870" t="str">
        <f>"BILLING ID#1489870/DIST CLERK"</f>
        <v>BILLING ID#1489870/DIST CLERK</v>
      </c>
    </row>
    <row r="871" spans="1:9" x14ac:dyDescent="0.3">
      <c r="A871" t="str">
        <f>"000684"</f>
        <v>000684</v>
      </c>
      <c r="B871" t="s">
        <v>255</v>
      </c>
      <c r="C871">
        <v>74190</v>
      </c>
      <c r="D871" s="2">
        <v>1314.46</v>
      </c>
      <c r="E871" s="1">
        <v>43080</v>
      </c>
      <c r="F871" t="str">
        <f>"1253343"</f>
        <v>1253343</v>
      </c>
      <c r="G871" t="str">
        <f>"ACCT#15717/TIRE SVCS"</f>
        <v>ACCT#15717/TIRE SVCS</v>
      </c>
      <c r="H871" s="2">
        <v>731.58</v>
      </c>
      <c r="I871" t="str">
        <f>"ACCT#15717/TIRE SVCS"</f>
        <v>ACCT#15717/TIRE SVCS</v>
      </c>
    </row>
    <row r="872" spans="1:9" x14ac:dyDescent="0.3">
      <c r="A872" t="str">
        <f>""</f>
        <v/>
      </c>
      <c r="F872" t="str">
        <f>"1255868"</f>
        <v>1255868</v>
      </c>
      <c r="G872" t="str">
        <f>"TIRE SVCS/601 COOL WATER"</f>
        <v>TIRE SVCS/601 COOL WATER</v>
      </c>
      <c r="H872" s="2">
        <v>582.88</v>
      </c>
      <c r="I872" t="str">
        <f>"TIRE SVCS/601 COOL WATER"</f>
        <v>TIRE SVCS/601 COOL WATER</v>
      </c>
    </row>
    <row r="873" spans="1:9" x14ac:dyDescent="0.3">
      <c r="A873" t="str">
        <f>"000684"</f>
        <v>000684</v>
      </c>
      <c r="B873" t="s">
        <v>255</v>
      </c>
      <c r="C873">
        <v>74411</v>
      </c>
      <c r="D873" s="2">
        <v>465.14</v>
      </c>
      <c r="E873" s="1">
        <v>43096</v>
      </c>
      <c r="F873" t="str">
        <f>"1270817"</f>
        <v>1270817</v>
      </c>
      <c r="G873" t="str">
        <f>"ACCT#15717/TIRE SVCS/ENVIR SVC"</f>
        <v>ACCT#15717/TIRE SVCS/ENVIR SVC</v>
      </c>
      <c r="H873" s="2">
        <v>465.14</v>
      </c>
      <c r="I873" t="str">
        <f>"ACCT#15717/TIRE SVCS/ENVIR SVC"</f>
        <v>ACCT#15717/TIRE SVCS/ENVIR SVC</v>
      </c>
    </row>
    <row r="874" spans="1:9" x14ac:dyDescent="0.3">
      <c r="A874" t="str">
        <f>"T11113"</f>
        <v>T11113</v>
      </c>
      <c r="B874" t="s">
        <v>256</v>
      </c>
      <c r="C874">
        <v>0</v>
      </c>
      <c r="D874" s="2">
        <v>7.5</v>
      </c>
      <c r="E874" s="1">
        <v>43082</v>
      </c>
      <c r="F874" t="str">
        <f>"201712137290"</f>
        <v>201712137290</v>
      </c>
      <c r="G874" t="str">
        <f>"VEHICLE REGISTRATION / P3"</f>
        <v>VEHICLE REGISTRATION / P3</v>
      </c>
      <c r="H874" s="2">
        <v>7.5</v>
      </c>
      <c r="I874" t="str">
        <f>"VEHICLE REGISTRATION / P3"</f>
        <v>VEHICLE REGISTRATION / P3</v>
      </c>
    </row>
    <row r="875" spans="1:9" x14ac:dyDescent="0.3">
      <c r="A875" t="str">
        <f>"T11113"</f>
        <v>T11113</v>
      </c>
      <c r="B875" t="s">
        <v>256</v>
      </c>
      <c r="C875">
        <v>74412</v>
      </c>
      <c r="D875" s="2">
        <v>125</v>
      </c>
      <c r="E875" s="1">
        <v>43096</v>
      </c>
      <c r="F875" t="str">
        <f>"201712187349"</f>
        <v>201712187349</v>
      </c>
      <c r="G875" t="str">
        <f>"2 TITLE TRANS-2018 RAMS/ENVIRO"</f>
        <v>2 TITLE TRANS-2018 RAMS/ENVIRO</v>
      </c>
      <c r="H875" s="2">
        <v>44</v>
      </c>
      <c r="I875" t="str">
        <f>"2 TITLE TRANS-2018 RAMS/ENVIRO"</f>
        <v>2 TITLE TRANS-2018 RAMS/ENVIRO</v>
      </c>
    </row>
    <row r="876" spans="1:9" x14ac:dyDescent="0.3">
      <c r="A876" t="str">
        <f>""</f>
        <v/>
      </c>
      <c r="F876" t="str">
        <f>"201712187350"</f>
        <v>201712187350</v>
      </c>
      <c r="G876" t="str">
        <f>"TITLE TRANS/2018 DODG/LPHPC"</f>
        <v>TITLE TRANS/2018 DODG/LPHPC</v>
      </c>
      <c r="H876" s="2">
        <v>22</v>
      </c>
      <c r="I876" t="str">
        <f>"TITLE TRANS/2018 DODG/LPHPC"</f>
        <v>TITLE TRANS/2018 DODG/LPHPC</v>
      </c>
    </row>
    <row r="877" spans="1:9" x14ac:dyDescent="0.3">
      <c r="A877" t="str">
        <f>""</f>
        <v/>
      </c>
      <c r="F877" t="str">
        <f>"201712187352"</f>
        <v>201712187352</v>
      </c>
      <c r="G877" t="str">
        <f>"REGISTRATION FOR 2007 FRHT/P2"</f>
        <v>REGISTRATION FOR 2007 FRHT/P2</v>
      </c>
      <c r="H877" s="2">
        <v>7.5</v>
      </c>
      <c r="I877" t="str">
        <f>"REGISTRATION FOR 2007 FRHT/P2"</f>
        <v>REGISTRATION FOR 2007 FRHT/P2</v>
      </c>
    </row>
    <row r="878" spans="1:9" x14ac:dyDescent="0.3">
      <c r="A878" t="str">
        <f>""</f>
        <v/>
      </c>
      <c r="F878" t="str">
        <f>"201712187354"</f>
        <v>201712187354</v>
      </c>
      <c r="G878" t="str">
        <f>"2012 FRT/2011 FORD/1999 CPS/P4"</f>
        <v>2012 FRT/2011 FORD/1999 CPS/P4</v>
      </c>
      <c r="H878" s="2">
        <v>51.5</v>
      </c>
      <c r="I878" t="str">
        <f>"2012 FRT/2011 FORD/1999 CPS/P4"</f>
        <v>2012 FRT/2011 FORD/1999 CPS/P4</v>
      </c>
    </row>
    <row r="879" spans="1:9" x14ac:dyDescent="0.3">
      <c r="A879" t="str">
        <f>"T11113"</f>
        <v>T11113</v>
      </c>
      <c r="B879" t="s">
        <v>256</v>
      </c>
      <c r="C879">
        <v>999999</v>
      </c>
      <c r="D879" s="2">
        <v>88.5</v>
      </c>
      <c r="E879" s="1">
        <v>43081</v>
      </c>
      <c r="F879" t="str">
        <f>"201712046927"</f>
        <v>201712046927</v>
      </c>
      <c r="G879" t="str">
        <f>"2008 DODG PK/#1262196/PCT#1"</f>
        <v>2008 DODG PK/#1262196/PCT#1</v>
      </c>
      <c r="H879" s="2">
        <v>7.5</v>
      </c>
      <c r="I879" t="str">
        <f>"2008 DODG PK/#1262196/PCT#1"</f>
        <v>2008 DODG PK/#1262196/PCT#1</v>
      </c>
    </row>
    <row r="880" spans="1:9" x14ac:dyDescent="0.3">
      <c r="A880" t="str">
        <f>""</f>
        <v/>
      </c>
      <c r="F880" t="str">
        <f>"201712046931"</f>
        <v>201712046931</v>
      </c>
      <c r="G880" t="str">
        <f>"1987 INTL DP/PCT#3/PL#1077746"</f>
        <v>1987 INTL DP/PCT#3/PL#1077746</v>
      </c>
      <c r="H880" s="2">
        <v>7.5</v>
      </c>
      <c r="I880" t="str">
        <f>"1987 INTL DP/PCT#3/PL#1077746"</f>
        <v>1987 INTL DP/PCT#3/PL#1077746</v>
      </c>
    </row>
    <row r="881" spans="1:9" x14ac:dyDescent="0.3">
      <c r="A881" t="str">
        <f>""</f>
        <v/>
      </c>
      <c r="F881" t="str">
        <f>"201712046933"</f>
        <v>201712046933</v>
      </c>
      <c r="G881" t="str">
        <f>"2014 FRHT/PCT#4/PL#1161238"</f>
        <v>2014 FRHT/PCT#4/PL#1161238</v>
      </c>
      <c r="H881" s="2">
        <v>22</v>
      </c>
      <c r="I881" t="str">
        <f>"2014 FRHT/PCT#4/PL#1161238"</f>
        <v>2014 FRHT/PCT#4/PL#1161238</v>
      </c>
    </row>
    <row r="882" spans="1:9" x14ac:dyDescent="0.3">
      <c r="A882" t="str">
        <f>""</f>
        <v/>
      </c>
      <c r="F882" t="str">
        <f>"201712057027"</f>
        <v>201712057027</v>
      </c>
      <c r="G882" t="str">
        <f>"2011 FRHT/PCT#3/PLATE#1136669"</f>
        <v>2011 FRHT/PCT#3/PLATE#1136669</v>
      </c>
      <c r="H882" s="2">
        <v>22</v>
      </c>
      <c r="I882" t="str">
        <f>"2011 FRHT/PCT#3/PLATE#1136669"</f>
        <v>2011 FRHT/PCT#3/PLATE#1136669</v>
      </c>
    </row>
    <row r="883" spans="1:9" x14ac:dyDescent="0.3">
      <c r="A883" t="str">
        <f>""</f>
        <v/>
      </c>
      <c r="F883" t="str">
        <f>"201712057028"</f>
        <v>201712057028</v>
      </c>
      <c r="G883" t="str">
        <f>"07 FRHT DP/PCT#3/PLATE#9037705"</f>
        <v>07 FRHT DP/PCT#3/PLATE#9037705</v>
      </c>
      <c r="H883" s="2">
        <v>22</v>
      </c>
      <c r="I883" t="str">
        <f>"07 FRHT DP/PCT#3/PLATE#9037705"</f>
        <v>07 FRHT DP/PCT#3/PLATE#9037705</v>
      </c>
    </row>
    <row r="884" spans="1:9" x14ac:dyDescent="0.3">
      <c r="A884" t="str">
        <f>""</f>
        <v/>
      </c>
      <c r="F884" t="str">
        <f>"201712057092"</f>
        <v>201712057092</v>
      </c>
      <c r="G884" t="str">
        <f>"13 FORD PK/PCT#3/PLATE#1136663"</f>
        <v>13 FORD PK/PCT#3/PLATE#1136663</v>
      </c>
      <c r="H884" s="2">
        <v>7.5</v>
      </c>
      <c r="I884" t="str">
        <f>"13 FORD PK/PCT#3/PLATE#1136663"</f>
        <v>13 FORD PK/PCT#3/PLATE#1136663</v>
      </c>
    </row>
    <row r="885" spans="1:9" x14ac:dyDescent="0.3">
      <c r="A885" t="str">
        <f>"T12652"</f>
        <v>T12652</v>
      </c>
      <c r="B885" t="s">
        <v>257</v>
      </c>
      <c r="C885">
        <v>74191</v>
      </c>
      <c r="D885" s="2">
        <v>1350</v>
      </c>
      <c r="E885" s="1">
        <v>43080</v>
      </c>
      <c r="F885" t="str">
        <f>"201711286760"</f>
        <v>201711286760</v>
      </c>
      <c r="G885" t="str">
        <f>"54 638"</f>
        <v>54 638</v>
      </c>
      <c r="H885" s="2">
        <v>250</v>
      </c>
      <c r="I885" t="str">
        <f>"54 638"</f>
        <v>54 638</v>
      </c>
    </row>
    <row r="886" spans="1:9" x14ac:dyDescent="0.3">
      <c r="A886" t="str">
        <f>""</f>
        <v/>
      </c>
      <c r="F886" t="str">
        <f>"201712046909"</f>
        <v>201712046909</v>
      </c>
      <c r="G886" t="str">
        <f>"06-10714"</f>
        <v>06-10714</v>
      </c>
      <c r="H886" s="2">
        <v>100</v>
      </c>
      <c r="I886" t="str">
        <f>"06-10714"</f>
        <v>06-10714</v>
      </c>
    </row>
    <row r="887" spans="1:9" x14ac:dyDescent="0.3">
      <c r="A887" t="str">
        <f>""</f>
        <v/>
      </c>
      <c r="F887" t="str">
        <f>"201712046910"</f>
        <v>201712046910</v>
      </c>
      <c r="G887" t="str">
        <f>"14-16390"</f>
        <v>14-16390</v>
      </c>
      <c r="H887" s="2">
        <v>200</v>
      </c>
      <c r="I887" t="str">
        <f>"14-16390"</f>
        <v>14-16390</v>
      </c>
    </row>
    <row r="888" spans="1:9" x14ac:dyDescent="0.3">
      <c r="A888" t="str">
        <f>""</f>
        <v/>
      </c>
      <c r="F888" t="str">
        <f>"201712046911"</f>
        <v>201712046911</v>
      </c>
      <c r="G888" t="str">
        <f>"14-16742"</f>
        <v>14-16742</v>
      </c>
      <c r="H888" s="2">
        <v>100</v>
      </c>
      <c r="I888" t="str">
        <f>"14-16742"</f>
        <v>14-16742</v>
      </c>
    </row>
    <row r="889" spans="1:9" x14ac:dyDescent="0.3">
      <c r="A889" t="str">
        <f>""</f>
        <v/>
      </c>
      <c r="F889" t="str">
        <f>"201712046923"</f>
        <v>201712046923</v>
      </c>
      <c r="G889" t="str">
        <f>"423-3068"</f>
        <v>423-3068</v>
      </c>
      <c r="H889" s="2">
        <v>200</v>
      </c>
      <c r="I889" t="str">
        <f>"423-3068"</f>
        <v>423-3068</v>
      </c>
    </row>
    <row r="890" spans="1:9" x14ac:dyDescent="0.3">
      <c r="A890" t="str">
        <f>""</f>
        <v/>
      </c>
      <c r="F890" t="str">
        <f>"201712046924"</f>
        <v>201712046924</v>
      </c>
      <c r="G890" t="str">
        <f>"423-4117"</f>
        <v>423-4117</v>
      </c>
      <c r="H890" s="2">
        <v>200</v>
      </c>
      <c r="I890" t="str">
        <f>"423-4117"</f>
        <v>423-4117</v>
      </c>
    </row>
    <row r="891" spans="1:9" x14ac:dyDescent="0.3">
      <c r="A891" t="str">
        <f>""</f>
        <v/>
      </c>
      <c r="F891" t="str">
        <f>"201712046925"</f>
        <v>201712046925</v>
      </c>
      <c r="G891" t="str">
        <f>"24 530"</f>
        <v>24 530</v>
      </c>
      <c r="H891" s="2">
        <v>100</v>
      </c>
      <c r="I891" t="str">
        <f>"24 530"</f>
        <v>24 530</v>
      </c>
    </row>
    <row r="892" spans="1:9" x14ac:dyDescent="0.3">
      <c r="A892" t="str">
        <f>""</f>
        <v/>
      </c>
      <c r="F892" t="str">
        <f>"201712067196"</f>
        <v>201712067196</v>
      </c>
      <c r="G892" t="str">
        <f>"14-16654"</f>
        <v>14-16654</v>
      </c>
      <c r="H892" s="2">
        <v>100</v>
      </c>
      <c r="I892" t="str">
        <f>"14-16654"</f>
        <v>14-16654</v>
      </c>
    </row>
    <row r="893" spans="1:9" x14ac:dyDescent="0.3">
      <c r="A893" t="str">
        <f>""</f>
        <v/>
      </c>
      <c r="F893" t="str">
        <f>"201712067197"</f>
        <v>201712067197</v>
      </c>
      <c r="G893" t="str">
        <f>"15-17443"</f>
        <v>15-17443</v>
      </c>
      <c r="H893" s="2">
        <v>100</v>
      </c>
      <c r="I893" t="str">
        <f>"15-17443"</f>
        <v>15-17443</v>
      </c>
    </row>
    <row r="894" spans="1:9" x14ac:dyDescent="0.3">
      <c r="A894" t="str">
        <f>"T7299"</f>
        <v>T7299</v>
      </c>
      <c r="B894" t="s">
        <v>258</v>
      </c>
      <c r="C894">
        <v>74192</v>
      </c>
      <c r="D894" s="2">
        <v>430.26</v>
      </c>
      <c r="E894" s="1">
        <v>43080</v>
      </c>
      <c r="F894" t="str">
        <f>"201712047009"</f>
        <v>201712047009</v>
      </c>
      <c r="G894" t="str">
        <f>"REIMBURSE-LODGING"</f>
        <v>REIMBURSE-LODGING</v>
      </c>
      <c r="H894" s="2">
        <v>430.26</v>
      </c>
      <c r="I894" t="str">
        <f>"REIMBURSE-LODGING"</f>
        <v>REIMBURSE-LODGING</v>
      </c>
    </row>
    <row r="895" spans="1:9" x14ac:dyDescent="0.3">
      <c r="A895" t="str">
        <f>"003434"</f>
        <v>003434</v>
      </c>
      <c r="B895" t="s">
        <v>259</v>
      </c>
      <c r="C895">
        <v>74193</v>
      </c>
      <c r="D895" s="2">
        <v>55</v>
      </c>
      <c r="E895" s="1">
        <v>43080</v>
      </c>
      <c r="F895" t="str">
        <f>"201711286802"</f>
        <v>201711286802</v>
      </c>
      <c r="G895" t="str">
        <f>"FERAL HOGS"</f>
        <v>FERAL HOGS</v>
      </c>
      <c r="H895" s="2">
        <v>55</v>
      </c>
      <c r="I895" t="str">
        <f>"FERAL HOGS"</f>
        <v>FERAL HOGS</v>
      </c>
    </row>
    <row r="896" spans="1:9" x14ac:dyDescent="0.3">
      <c r="A896" t="str">
        <f>"LSBC"</f>
        <v>LSBC</v>
      </c>
      <c r="B896" t="s">
        <v>260</v>
      </c>
      <c r="C896">
        <v>74413</v>
      </c>
      <c r="D896" s="2">
        <v>13.8</v>
      </c>
      <c r="E896" s="1">
        <v>43096</v>
      </c>
      <c r="F896" t="str">
        <f>"95159"</f>
        <v>95159</v>
      </c>
      <c r="G896" t="str">
        <f>"ACCT#3025/PARTS/PCT#2"</f>
        <v>ACCT#3025/PARTS/PCT#2</v>
      </c>
      <c r="H896" s="2">
        <v>13.8</v>
      </c>
      <c r="I896" t="str">
        <f>"ACCT#3025/PARTS/PCT#2"</f>
        <v>ACCT#3025/PARTS/PCT#2</v>
      </c>
    </row>
    <row r="897" spans="1:9" x14ac:dyDescent="0.3">
      <c r="A897" t="str">
        <f>"004851"</f>
        <v>004851</v>
      </c>
      <c r="B897" t="s">
        <v>261</v>
      </c>
      <c r="C897">
        <v>74414</v>
      </c>
      <c r="D897" s="2">
        <v>1308.45</v>
      </c>
      <c r="E897" s="1">
        <v>43096</v>
      </c>
      <c r="F897" t="str">
        <f>"201712207481"</f>
        <v>201712207481</v>
      </c>
      <c r="G897" t="str">
        <f>"INDIGENT HEALTH"</f>
        <v>INDIGENT HEALTH</v>
      </c>
      <c r="H897" s="2">
        <v>1308.45</v>
      </c>
      <c r="I897" t="str">
        <f>"INDIGENT HEALTH"</f>
        <v>INDIGENT HEALTH</v>
      </c>
    </row>
    <row r="898" spans="1:9" x14ac:dyDescent="0.3">
      <c r="A898" t="str">
        <f>""</f>
        <v/>
      </c>
      <c r="F898" t="str">
        <f>""</f>
        <v/>
      </c>
      <c r="G898" t="str">
        <f>""</f>
        <v/>
      </c>
      <c r="I898" t="str">
        <f>"INDIGENT HEALTH"</f>
        <v>INDIGENT HEALTH</v>
      </c>
    </row>
    <row r="899" spans="1:9" x14ac:dyDescent="0.3">
      <c r="A899" t="str">
        <f>"005300"</f>
        <v>005300</v>
      </c>
      <c r="B899" t="s">
        <v>262</v>
      </c>
      <c r="C899">
        <v>74415</v>
      </c>
      <c r="D899" s="2">
        <v>7461.12</v>
      </c>
      <c r="E899" s="1">
        <v>43096</v>
      </c>
      <c r="F899" t="str">
        <f>"1544221-00"</f>
        <v>1544221-00</v>
      </c>
      <c r="G899" t="str">
        <f>"Order# 1544221.00"</f>
        <v>Order# 1544221.00</v>
      </c>
      <c r="H899" s="2">
        <v>7461.12</v>
      </c>
      <c r="I899" t="str">
        <f>"Product# A563"</f>
        <v>Product# A563</v>
      </c>
    </row>
    <row r="900" spans="1:9" x14ac:dyDescent="0.3">
      <c r="A900" t="str">
        <f>""</f>
        <v/>
      </c>
      <c r="F900" t="str">
        <f>""</f>
        <v/>
      </c>
      <c r="G900" t="str">
        <f>""</f>
        <v/>
      </c>
      <c r="I900" t="str">
        <f>"Product# A565"</f>
        <v>Product# A565</v>
      </c>
    </row>
    <row r="901" spans="1:9" x14ac:dyDescent="0.3">
      <c r="A901" t="str">
        <f>"004557"</f>
        <v>004557</v>
      </c>
      <c r="B901" t="s">
        <v>263</v>
      </c>
      <c r="C901">
        <v>999999</v>
      </c>
      <c r="D901" s="2">
        <v>3691.63</v>
      </c>
      <c r="E901" s="1">
        <v>43097</v>
      </c>
      <c r="F901" t="str">
        <f>"GL-BCSO-7278"</f>
        <v>GL-BCSO-7278</v>
      </c>
      <c r="G901" t="str">
        <f>"INV GL-BCSO-7278"</f>
        <v>INV GL-BCSO-7278</v>
      </c>
      <c r="H901" s="2">
        <v>50</v>
      </c>
      <c r="I901" t="str">
        <f>"INV GL-BCSO-7278"</f>
        <v>INV GL-BCSO-7278</v>
      </c>
    </row>
    <row r="902" spans="1:9" x14ac:dyDescent="0.3">
      <c r="A902" t="str">
        <f>""</f>
        <v/>
      </c>
      <c r="F902" t="str">
        <f>"LS-BCSO-0117"</f>
        <v>LS-BCSO-0117</v>
      </c>
      <c r="G902" t="str">
        <f>"INV LS-BCSO-0117"</f>
        <v>INV LS-BCSO-0117</v>
      </c>
      <c r="H902" s="2">
        <v>3641.63</v>
      </c>
      <c r="I902" t="str">
        <f>"INV LS-BCSO-0117"</f>
        <v>INV LS-BCSO-0117</v>
      </c>
    </row>
    <row r="903" spans="1:9" x14ac:dyDescent="0.3">
      <c r="A903" t="str">
        <f>"004563"</f>
        <v>004563</v>
      </c>
      <c r="B903" t="s">
        <v>264</v>
      </c>
      <c r="C903">
        <v>74194</v>
      </c>
      <c r="D903" s="2">
        <v>310.79000000000002</v>
      </c>
      <c r="E903" s="1">
        <v>43080</v>
      </c>
      <c r="F903" t="str">
        <f>"201712067217"</f>
        <v>201712067217</v>
      </c>
      <c r="G903" t="str">
        <f>"INDIGENT HEALTH"</f>
        <v>INDIGENT HEALTH</v>
      </c>
      <c r="H903" s="2">
        <v>310.79000000000002</v>
      </c>
      <c r="I903" t="str">
        <f>"INDIGENT HEALTH"</f>
        <v>INDIGENT HEALTH</v>
      </c>
    </row>
    <row r="904" spans="1:9" x14ac:dyDescent="0.3">
      <c r="A904" t="str">
        <f>"004563"</f>
        <v>004563</v>
      </c>
      <c r="B904" t="s">
        <v>264</v>
      </c>
      <c r="C904">
        <v>74416</v>
      </c>
      <c r="D904" s="2">
        <v>248.4</v>
      </c>
      <c r="E904" s="1">
        <v>43096</v>
      </c>
      <c r="F904" t="str">
        <f>"201712207482"</f>
        <v>201712207482</v>
      </c>
      <c r="G904" t="str">
        <f>"INDIGENT HEALTH"</f>
        <v>INDIGENT HEALTH</v>
      </c>
      <c r="H904" s="2">
        <v>248.4</v>
      </c>
      <c r="I904" t="str">
        <f>"INDIGENT HEALTH"</f>
        <v>INDIGENT HEALTH</v>
      </c>
    </row>
    <row r="905" spans="1:9" x14ac:dyDescent="0.3">
      <c r="A905" t="str">
        <f>"004109"</f>
        <v>004109</v>
      </c>
      <c r="B905" t="s">
        <v>265</v>
      </c>
      <c r="C905">
        <v>74195</v>
      </c>
      <c r="D905" s="2">
        <v>186.55</v>
      </c>
      <c r="E905" s="1">
        <v>43080</v>
      </c>
      <c r="F905" t="str">
        <f>"201712067218"</f>
        <v>201712067218</v>
      </c>
      <c r="G905" t="str">
        <f>"INDIGENT HEALTH"</f>
        <v>INDIGENT HEALTH</v>
      </c>
      <c r="H905" s="2">
        <v>186.55</v>
      </c>
      <c r="I905" t="str">
        <f>"INDIGENT HEALTH"</f>
        <v>INDIGENT HEALTH</v>
      </c>
    </row>
    <row r="906" spans="1:9" x14ac:dyDescent="0.3">
      <c r="A906" t="str">
        <f>"004109"</f>
        <v>004109</v>
      </c>
      <c r="B906" t="s">
        <v>265</v>
      </c>
      <c r="C906">
        <v>74417</v>
      </c>
      <c r="D906" s="2">
        <v>233.01</v>
      </c>
      <c r="E906" s="1">
        <v>43096</v>
      </c>
      <c r="F906" t="str">
        <f>"201712207483"</f>
        <v>201712207483</v>
      </c>
      <c r="G906" t="str">
        <f>"INDIGENT HEALTH"</f>
        <v>INDIGENT HEALTH</v>
      </c>
      <c r="H906" s="2">
        <v>233.01</v>
      </c>
      <c r="I906" t="str">
        <f>"INDIGENT HEALTH"</f>
        <v>INDIGENT HEALTH</v>
      </c>
    </row>
    <row r="907" spans="1:9" x14ac:dyDescent="0.3">
      <c r="A907" t="str">
        <f>"LIE"</f>
        <v>LIE</v>
      </c>
      <c r="B907" t="s">
        <v>266</v>
      </c>
      <c r="C907">
        <v>74196</v>
      </c>
      <c r="D907" s="2">
        <v>264.45999999999998</v>
      </c>
      <c r="E907" s="1">
        <v>43080</v>
      </c>
      <c r="F907" t="str">
        <f>"1029759"</f>
        <v>1029759</v>
      </c>
      <c r="G907" t="str">
        <f>"ACCT#4358/PARTS/PCT#1"</f>
        <v>ACCT#4358/PARTS/PCT#1</v>
      </c>
      <c r="H907" s="2">
        <v>173.03</v>
      </c>
      <c r="I907" t="str">
        <f>"ACCT#4358/PARTS/PCT#1"</f>
        <v>ACCT#4358/PARTS/PCT#1</v>
      </c>
    </row>
    <row r="908" spans="1:9" x14ac:dyDescent="0.3">
      <c r="A908" t="str">
        <f>""</f>
        <v/>
      </c>
      <c r="F908" t="str">
        <f>"315459"</f>
        <v>315459</v>
      </c>
      <c r="G908" t="str">
        <f>"CUST#4358/PCT#1"</f>
        <v>CUST#4358/PCT#1</v>
      </c>
      <c r="H908" s="2">
        <v>91.43</v>
      </c>
      <c r="I908" t="str">
        <f>"CUST#4358/PCT#1"</f>
        <v>CUST#4358/PCT#1</v>
      </c>
    </row>
    <row r="909" spans="1:9" x14ac:dyDescent="0.3">
      <c r="A909" t="str">
        <f>"LIE"</f>
        <v>LIE</v>
      </c>
      <c r="B909" t="s">
        <v>266</v>
      </c>
      <c r="C909">
        <v>74418</v>
      </c>
      <c r="D909" s="2">
        <v>156.12</v>
      </c>
      <c r="E909" s="1">
        <v>43096</v>
      </c>
      <c r="F909" t="str">
        <f>"1030710"</f>
        <v>1030710</v>
      </c>
      <c r="G909" t="str">
        <f>"ACCT#4358/PART#TLD60056R/PCT#1"</f>
        <v>ACCT#4358/PART#TLD60056R/PCT#1</v>
      </c>
      <c r="H909" s="2">
        <v>156.12</v>
      </c>
      <c r="I909" t="str">
        <f>"ACCT#4358/PART#TLD60056R/PCT#1"</f>
        <v>ACCT#4358/PART#TLD60056R/PCT#1</v>
      </c>
    </row>
    <row r="910" spans="1:9" x14ac:dyDescent="0.3">
      <c r="A910" t="str">
        <f>"004005"</f>
        <v>004005</v>
      </c>
      <c r="B910" t="s">
        <v>267</v>
      </c>
      <c r="C910">
        <v>74197</v>
      </c>
      <c r="D910" s="2">
        <v>100</v>
      </c>
      <c r="E910" s="1">
        <v>43080</v>
      </c>
      <c r="F910" t="str">
        <f>"201711286803"</f>
        <v>201711286803</v>
      </c>
      <c r="G910" t="str">
        <f>"FERAL HOGS"</f>
        <v>FERAL HOGS</v>
      </c>
      <c r="H910" s="2">
        <v>100</v>
      </c>
      <c r="I910" t="str">
        <f>"FERAL HOGS"</f>
        <v>FERAL HOGS</v>
      </c>
    </row>
    <row r="911" spans="1:9" x14ac:dyDescent="0.3">
      <c r="A911" t="str">
        <f>"T13085"</f>
        <v>T13085</v>
      </c>
      <c r="B911" t="s">
        <v>268</v>
      </c>
      <c r="C911">
        <v>999999</v>
      </c>
      <c r="D911" s="2">
        <v>409.95</v>
      </c>
      <c r="E911" s="1">
        <v>43081</v>
      </c>
      <c r="F911" t="str">
        <f>"10-000101"</f>
        <v>10-000101</v>
      </c>
      <c r="G911" t="str">
        <f>"INV 10-000101"</f>
        <v>INV 10-000101</v>
      </c>
      <c r="H911" s="2">
        <v>409.95</v>
      </c>
      <c r="I911" t="str">
        <f>"INV 10-000101"</f>
        <v>INV 10-000101</v>
      </c>
    </row>
    <row r="912" spans="1:9" x14ac:dyDescent="0.3">
      <c r="A912" t="str">
        <f>"T13085"</f>
        <v>T13085</v>
      </c>
      <c r="B912" t="s">
        <v>268</v>
      </c>
      <c r="C912">
        <v>999999</v>
      </c>
      <c r="D912" s="2">
        <v>15.95</v>
      </c>
      <c r="E912" s="1">
        <v>43097</v>
      </c>
      <c r="F912" t="str">
        <f>"CLEAN UNIT 1671"</f>
        <v>CLEAN UNIT 1671</v>
      </c>
      <c r="G912" t="str">
        <f>"CAPT. R. COLE"</f>
        <v>CAPT. R. COLE</v>
      </c>
      <c r="H912" s="2">
        <v>15.95</v>
      </c>
      <c r="I912" t="str">
        <f>"CAPT. R. COLE"</f>
        <v>CAPT. R. COLE</v>
      </c>
    </row>
    <row r="913" spans="1:9" x14ac:dyDescent="0.3">
      <c r="A913" t="str">
        <f>"000888"</f>
        <v>000888</v>
      </c>
      <c r="B913" t="s">
        <v>269</v>
      </c>
      <c r="C913">
        <v>74419</v>
      </c>
      <c r="D913" s="2">
        <v>1837.49</v>
      </c>
      <c r="E913" s="1">
        <v>43096</v>
      </c>
      <c r="F913" t="str">
        <f>"99006938692"</f>
        <v>99006938692</v>
      </c>
      <c r="G913" t="str">
        <f>"Acct# 99006938692"</f>
        <v>Acct# 99006938692</v>
      </c>
      <c r="H913" s="2">
        <v>1837.49</v>
      </c>
      <c r="I913" t="str">
        <f>"Inv# 911846"</f>
        <v>Inv# 911846</v>
      </c>
    </row>
    <row r="914" spans="1:9" x14ac:dyDescent="0.3">
      <c r="A914" t="str">
        <f>""</f>
        <v/>
      </c>
      <c r="F914" t="str">
        <f>""</f>
        <v/>
      </c>
      <c r="G914" t="str">
        <f>""</f>
        <v/>
      </c>
      <c r="I914" t="str">
        <f>"Inv# 911613"</f>
        <v>Inv# 911613</v>
      </c>
    </row>
    <row r="915" spans="1:9" x14ac:dyDescent="0.3">
      <c r="A915" t="str">
        <f>""</f>
        <v/>
      </c>
      <c r="F915" t="str">
        <f>""</f>
        <v/>
      </c>
      <c r="G915" t="str">
        <f>""</f>
        <v/>
      </c>
      <c r="I915" t="str">
        <f>"Inv# 902615"</f>
        <v>Inv# 902615</v>
      </c>
    </row>
    <row r="916" spans="1:9" x14ac:dyDescent="0.3">
      <c r="A916" t="str">
        <f>""</f>
        <v/>
      </c>
      <c r="F916" t="str">
        <f>""</f>
        <v/>
      </c>
      <c r="G916" t="str">
        <f>""</f>
        <v/>
      </c>
      <c r="I916" t="str">
        <f>"Inv# 910855"</f>
        <v>Inv# 910855</v>
      </c>
    </row>
    <row r="917" spans="1:9" x14ac:dyDescent="0.3">
      <c r="A917" t="str">
        <f>""</f>
        <v/>
      </c>
      <c r="F917" t="str">
        <f>""</f>
        <v/>
      </c>
      <c r="G917" t="str">
        <f>""</f>
        <v/>
      </c>
      <c r="I917" t="str">
        <f>"Inv# 912265"</f>
        <v>Inv# 912265</v>
      </c>
    </row>
    <row r="918" spans="1:9" x14ac:dyDescent="0.3">
      <c r="A918" t="str">
        <f>""</f>
        <v/>
      </c>
      <c r="F918" t="str">
        <f>""</f>
        <v/>
      </c>
      <c r="G918" t="str">
        <f>""</f>
        <v/>
      </c>
      <c r="I918" t="str">
        <f>"Inv# 902831"</f>
        <v>Inv# 902831</v>
      </c>
    </row>
    <row r="919" spans="1:9" x14ac:dyDescent="0.3">
      <c r="A919" t="str">
        <f>""</f>
        <v/>
      </c>
      <c r="F919" t="str">
        <f>""</f>
        <v/>
      </c>
      <c r="G919" t="str">
        <f>""</f>
        <v/>
      </c>
      <c r="I919" t="str">
        <f>"Inv# 913862"</f>
        <v>Inv# 913862</v>
      </c>
    </row>
    <row r="920" spans="1:9" x14ac:dyDescent="0.3">
      <c r="A920" t="str">
        <f>""</f>
        <v/>
      </c>
      <c r="F920" t="str">
        <f>""</f>
        <v/>
      </c>
      <c r="G920" t="str">
        <f>""</f>
        <v/>
      </c>
      <c r="I920" t="str">
        <f>"Inv# 914692"</f>
        <v>Inv# 914692</v>
      </c>
    </row>
    <row r="921" spans="1:9" x14ac:dyDescent="0.3">
      <c r="A921" t="str">
        <f>""</f>
        <v/>
      </c>
      <c r="F921" t="str">
        <f>""</f>
        <v/>
      </c>
      <c r="G921" t="str">
        <f>""</f>
        <v/>
      </c>
      <c r="I921" t="str">
        <f>"Inv# 901512"</f>
        <v>Inv# 901512</v>
      </c>
    </row>
    <row r="922" spans="1:9" x14ac:dyDescent="0.3">
      <c r="A922" t="str">
        <f>""</f>
        <v/>
      </c>
      <c r="F922" t="str">
        <f>""</f>
        <v/>
      </c>
      <c r="G922" t="str">
        <f>""</f>
        <v/>
      </c>
      <c r="I922" t="str">
        <f>"Inv# 914791"</f>
        <v>Inv# 914791</v>
      </c>
    </row>
    <row r="923" spans="1:9" x14ac:dyDescent="0.3">
      <c r="A923" t="str">
        <f>""</f>
        <v/>
      </c>
      <c r="F923" t="str">
        <f>""</f>
        <v/>
      </c>
      <c r="G923" t="str">
        <f>""</f>
        <v/>
      </c>
      <c r="I923" t="str">
        <f>"Inv# 909677"</f>
        <v>Inv# 909677</v>
      </c>
    </row>
    <row r="924" spans="1:9" x14ac:dyDescent="0.3">
      <c r="A924" t="str">
        <f>""</f>
        <v/>
      </c>
      <c r="F924" t="str">
        <f>""</f>
        <v/>
      </c>
      <c r="G924" t="str">
        <f>""</f>
        <v/>
      </c>
      <c r="I924" t="str">
        <f>"Inv# 913895"</f>
        <v>Inv# 913895</v>
      </c>
    </row>
    <row r="925" spans="1:9" x14ac:dyDescent="0.3">
      <c r="A925" t="str">
        <f>""</f>
        <v/>
      </c>
      <c r="F925" t="str">
        <f>""</f>
        <v/>
      </c>
      <c r="G925" t="str">
        <f>""</f>
        <v/>
      </c>
      <c r="I925" t="str">
        <f>"Inv# 912334"</f>
        <v>Inv# 912334</v>
      </c>
    </row>
    <row r="926" spans="1:9" x14ac:dyDescent="0.3">
      <c r="A926" t="str">
        <f>""</f>
        <v/>
      </c>
      <c r="F926" t="str">
        <f>""</f>
        <v/>
      </c>
      <c r="G926" t="str">
        <f>""</f>
        <v/>
      </c>
      <c r="I926" t="str">
        <f>"Inv# 920358"</f>
        <v>Inv# 920358</v>
      </c>
    </row>
    <row r="927" spans="1:9" x14ac:dyDescent="0.3">
      <c r="A927" t="str">
        <f>""</f>
        <v/>
      </c>
      <c r="F927" t="str">
        <f>""</f>
        <v/>
      </c>
      <c r="G927" t="str">
        <f>""</f>
        <v/>
      </c>
      <c r="I927" t="str">
        <f>"Inv# 912334"</f>
        <v>Inv# 912334</v>
      </c>
    </row>
    <row r="928" spans="1:9" x14ac:dyDescent="0.3">
      <c r="A928" t="str">
        <f>""</f>
        <v/>
      </c>
      <c r="F928" t="str">
        <f>""</f>
        <v/>
      </c>
      <c r="G928" t="str">
        <f>""</f>
        <v/>
      </c>
      <c r="I928" t="str">
        <f>"Inv# 909180"</f>
        <v>Inv# 909180</v>
      </c>
    </row>
    <row r="929" spans="1:9" x14ac:dyDescent="0.3">
      <c r="A929" t="str">
        <f>""</f>
        <v/>
      </c>
      <c r="F929" t="str">
        <f>""</f>
        <v/>
      </c>
      <c r="G929" t="str">
        <f>""</f>
        <v/>
      </c>
      <c r="I929" t="str">
        <f>"Finance Charge"</f>
        <v>Finance Charge</v>
      </c>
    </row>
    <row r="930" spans="1:9" x14ac:dyDescent="0.3">
      <c r="A930" t="str">
        <f>""</f>
        <v/>
      </c>
      <c r="F930" t="str">
        <f>""</f>
        <v/>
      </c>
      <c r="G930" t="str">
        <f>""</f>
        <v/>
      </c>
      <c r="I930" t="str">
        <f>"Inv# 909293"</f>
        <v>Inv# 909293</v>
      </c>
    </row>
    <row r="931" spans="1:9" x14ac:dyDescent="0.3">
      <c r="A931" t="str">
        <f>""</f>
        <v/>
      </c>
      <c r="F931" t="str">
        <f>""</f>
        <v/>
      </c>
      <c r="G931" t="str">
        <f>""</f>
        <v/>
      </c>
      <c r="I931" t="str">
        <f>"Inv# 919441"</f>
        <v>Inv# 919441</v>
      </c>
    </row>
    <row r="932" spans="1:9" x14ac:dyDescent="0.3">
      <c r="A932" t="str">
        <f>""</f>
        <v/>
      </c>
      <c r="F932" t="str">
        <f>""</f>
        <v/>
      </c>
      <c r="G932" t="str">
        <f>""</f>
        <v/>
      </c>
      <c r="I932" t="str">
        <f>"Inv# 909768"</f>
        <v>Inv# 909768</v>
      </c>
    </row>
    <row r="933" spans="1:9" x14ac:dyDescent="0.3">
      <c r="A933" t="str">
        <f>""</f>
        <v/>
      </c>
      <c r="F933" t="str">
        <f>""</f>
        <v/>
      </c>
      <c r="G933" t="str">
        <f>""</f>
        <v/>
      </c>
      <c r="I933" t="str">
        <f>"Inv# 918123"</f>
        <v>Inv# 918123</v>
      </c>
    </row>
    <row r="934" spans="1:9" x14ac:dyDescent="0.3">
      <c r="A934" t="str">
        <f>""</f>
        <v/>
      </c>
      <c r="F934" t="str">
        <f>""</f>
        <v/>
      </c>
      <c r="G934" t="str">
        <f>""</f>
        <v/>
      </c>
      <c r="I934" t="str">
        <f>"Inv# 913480"</f>
        <v>Inv# 913480</v>
      </c>
    </row>
    <row r="935" spans="1:9" x14ac:dyDescent="0.3">
      <c r="A935" t="str">
        <f>""</f>
        <v/>
      </c>
      <c r="F935" t="str">
        <f>""</f>
        <v/>
      </c>
      <c r="G935" t="str">
        <f>""</f>
        <v/>
      </c>
      <c r="I935" t="str">
        <f>"Inv# 909661"</f>
        <v>Inv# 909661</v>
      </c>
    </row>
    <row r="936" spans="1:9" x14ac:dyDescent="0.3">
      <c r="A936" t="str">
        <f>"004036"</f>
        <v>004036</v>
      </c>
      <c r="B936" t="s">
        <v>270</v>
      </c>
      <c r="C936">
        <v>74198</v>
      </c>
      <c r="D936" s="2">
        <v>950</v>
      </c>
      <c r="E936" s="1">
        <v>43080</v>
      </c>
      <c r="F936" t="str">
        <f>"10816"</f>
        <v>10816</v>
      </c>
      <c r="G936" t="str">
        <f>"INV 10816"</f>
        <v>INV 10816</v>
      </c>
      <c r="H936" s="2">
        <v>950</v>
      </c>
      <c r="I936" t="str">
        <f>"INV 10816"</f>
        <v>INV 10816</v>
      </c>
    </row>
    <row r="937" spans="1:9" x14ac:dyDescent="0.3">
      <c r="A937" t="str">
        <f>"T6669"</f>
        <v>T6669</v>
      </c>
      <c r="B937" t="s">
        <v>271</v>
      </c>
      <c r="C937">
        <v>74420</v>
      </c>
      <c r="D937" s="2">
        <v>218</v>
      </c>
      <c r="E937" s="1">
        <v>43096</v>
      </c>
      <c r="F937" t="str">
        <f>"193245"</f>
        <v>193245</v>
      </c>
      <c r="G937" t="str">
        <f>"INV 193245"</f>
        <v>INV 193245</v>
      </c>
      <c r="H937" s="2">
        <v>218</v>
      </c>
      <c r="I937" t="str">
        <f>"INV 193245"</f>
        <v>INV 193245</v>
      </c>
    </row>
    <row r="938" spans="1:9" x14ac:dyDescent="0.3">
      <c r="A938" t="str">
        <f>"MARIA"</f>
        <v>MARIA</v>
      </c>
      <c r="B938" t="s">
        <v>272</v>
      </c>
      <c r="C938">
        <v>999999</v>
      </c>
      <c r="D938" s="2">
        <v>572.01</v>
      </c>
      <c r="E938" s="1">
        <v>43081</v>
      </c>
      <c r="F938" t="str">
        <f>"201712016876"</f>
        <v>201712016876</v>
      </c>
      <c r="G938" t="str">
        <f>"CRIMINAL 11/29/2017"</f>
        <v>CRIMINAL 11/29/2017</v>
      </c>
      <c r="H938" s="2">
        <v>130.66999999999999</v>
      </c>
      <c r="I938" t="str">
        <f>"CRIMINAL 11/29/2017"</f>
        <v>CRIMINAL 11/29/2017</v>
      </c>
    </row>
    <row r="939" spans="1:9" x14ac:dyDescent="0.3">
      <c r="A939" t="str">
        <f>""</f>
        <v/>
      </c>
      <c r="F939" t="str">
        <f>"201712046912"</f>
        <v>201712046912</v>
      </c>
      <c r="G939" t="str">
        <f>"17-18119"</f>
        <v>17-18119</v>
      </c>
      <c r="H939" s="2">
        <v>183.17</v>
      </c>
      <c r="I939" t="str">
        <f>"17-18119"</f>
        <v>17-18119</v>
      </c>
    </row>
    <row r="940" spans="1:9" x14ac:dyDescent="0.3">
      <c r="A940" t="str">
        <f>""</f>
        <v/>
      </c>
      <c r="F940" t="str">
        <f>"201712057180"</f>
        <v>201712057180</v>
      </c>
      <c r="G940" t="str">
        <f>"17-18433"</f>
        <v>17-18433</v>
      </c>
      <c r="H940" s="2">
        <v>75</v>
      </c>
      <c r="I940" t="str">
        <f>"17-18433"</f>
        <v>17-18433</v>
      </c>
    </row>
    <row r="941" spans="1:9" x14ac:dyDescent="0.3">
      <c r="A941" t="str">
        <f>""</f>
        <v/>
      </c>
      <c r="F941" t="str">
        <f>"201712057181"</f>
        <v>201712057181</v>
      </c>
      <c r="G941" t="str">
        <f>"CRIMINAL  11/30/17"</f>
        <v>CRIMINAL  11/30/17</v>
      </c>
      <c r="H941" s="2">
        <v>183.17</v>
      </c>
      <c r="I941" t="str">
        <f>"CRIMINAL  11/30/17"</f>
        <v>CRIMINAL  11/30/17</v>
      </c>
    </row>
    <row r="942" spans="1:9" x14ac:dyDescent="0.3">
      <c r="A942" t="str">
        <f>"MARIA"</f>
        <v>MARIA</v>
      </c>
      <c r="B942" t="s">
        <v>272</v>
      </c>
      <c r="C942">
        <v>999999</v>
      </c>
      <c r="D942" s="2">
        <v>1211.52</v>
      </c>
      <c r="E942" s="1">
        <v>43097</v>
      </c>
      <c r="F942" t="str">
        <f>"201712147307"</f>
        <v>201712147307</v>
      </c>
      <c r="G942" t="str">
        <f>"423-3120"</f>
        <v>423-3120</v>
      </c>
      <c r="H942" s="2">
        <v>228.17</v>
      </c>
      <c r="I942" t="str">
        <f>"423-3120"</f>
        <v>423-3120</v>
      </c>
    </row>
    <row r="943" spans="1:9" x14ac:dyDescent="0.3">
      <c r="A943" t="str">
        <f>""</f>
        <v/>
      </c>
      <c r="F943" t="str">
        <f>"201712147308"</f>
        <v>201712147308</v>
      </c>
      <c r="G943" t="str">
        <f>"CRIMINAL DC 12/11/17"</f>
        <v>CRIMINAL DC 12/11/17</v>
      </c>
      <c r="H943" s="2">
        <v>183.17</v>
      </c>
      <c r="I943" t="str">
        <f>"CRIMINAL DC 12/11/17"</f>
        <v>CRIMINAL DC 12/11/17</v>
      </c>
    </row>
    <row r="944" spans="1:9" x14ac:dyDescent="0.3">
      <c r="A944" t="str">
        <f>""</f>
        <v/>
      </c>
      <c r="F944" t="str">
        <f>"201712147310"</f>
        <v>201712147310</v>
      </c>
      <c r="G944" t="str">
        <f>"423-3547"</f>
        <v>423-3547</v>
      </c>
      <c r="H944" s="2">
        <v>130.66999999999999</v>
      </c>
      <c r="I944" t="str">
        <f>"423-3547"</f>
        <v>423-3547</v>
      </c>
    </row>
    <row r="945" spans="1:9" x14ac:dyDescent="0.3">
      <c r="A945" t="str">
        <f>""</f>
        <v/>
      </c>
      <c r="F945" t="str">
        <f>"201712147311"</f>
        <v>201712147311</v>
      </c>
      <c r="G945" t="str">
        <f>"16 216"</f>
        <v>16 216</v>
      </c>
      <c r="H945" s="2">
        <v>228.17</v>
      </c>
      <c r="I945" t="str">
        <f>"16 216"</f>
        <v>16 216</v>
      </c>
    </row>
    <row r="946" spans="1:9" x14ac:dyDescent="0.3">
      <c r="A946" t="str">
        <f>""</f>
        <v/>
      </c>
      <c r="F946" t="str">
        <f>"201712197370"</f>
        <v>201712197370</v>
      </c>
      <c r="G946" t="str">
        <f>"CRIMINAL 12/11/2017"</f>
        <v>CRIMINAL 12/11/2017</v>
      </c>
      <c r="H946" s="2">
        <v>183.17</v>
      </c>
      <c r="I946" t="str">
        <f>"CRIMINAL 12/11/2017"</f>
        <v>CRIMINAL 12/11/2017</v>
      </c>
    </row>
    <row r="947" spans="1:9" x14ac:dyDescent="0.3">
      <c r="A947" t="str">
        <f>""</f>
        <v/>
      </c>
      <c r="F947" t="str">
        <f>"201712197371"</f>
        <v>201712197371</v>
      </c>
      <c r="G947" t="str">
        <f>"CRIMINAL 12/14/2017"</f>
        <v>CRIMINAL 12/14/2017</v>
      </c>
      <c r="H947" s="2">
        <v>183.17</v>
      </c>
      <c r="I947" t="str">
        <f>"CRIMINAL 12/14/2017"</f>
        <v>CRIMINAL 12/14/2017</v>
      </c>
    </row>
    <row r="948" spans="1:9" x14ac:dyDescent="0.3">
      <c r="A948" t="str">
        <f>""</f>
        <v/>
      </c>
      <c r="F948" t="str">
        <f>"201712197372"</f>
        <v>201712197372</v>
      </c>
      <c r="G948" t="str">
        <f>"16-18053"</f>
        <v>16-18053</v>
      </c>
      <c r="H948" s="2">
        <v>75</v>
      </c>
      <c r="I948" t="str">
        <f>"16-18053"</f>
        <v>16-18053</v>
      </c>
    </row>
    <row r="949" spans="1:9" x14ac:dyDescent="0.3">
      <c r="A949" t="str">
        <f>"002282"</f>
        <v>002282</v>
      </c>
      <c r="B949" t="s">
        <v>273</v>
      </c>
      <c r="C949">
        <v>74421</v>
      </c>
      <c r="D949" s="2">
        <v>3600</v>
      </c>
      <c r="E949" s="1">
        <v>43096</v>
      </c>
      <c r="F949" t="str">
        <f>"201712207440"</f>
        <v>201712207440</v>
      </c>
      <c r="G949" t="str">
        <f>"VETERINARY SERVICES-NOV 2017"</f>
        <v>VETERINARY SERVICES-NOV 2017</v>
      </c>
      <c r="H949" s="2">
        <v>3600</v>
      </c>
      <c r="I949" t="str">
        <f>"VETERINARY SERVICES-NOV 2017"</f>
        <v>VETERINARY SERVICES-NOV 2017</v>
      </c>
    </row>
    <row r="950" spans="1:9" x14ac:dyDescent="0.3">
      <c r="A950" t="str">
        <f>"005319"</f>
        <v>005319</v>
      </c>
      <c r="B950" t="s">
        <v>274</v>
      </c>
      <c r="C950">
        <v>74199</v>
      </c>
      <c r="D950" s="2">
        <v>5</v>
      </c>
      <c r="E950" s="1">
        <v>43080</v>
      </c>
      <c r="F950" t="str">
        <f>"201711286804"</f>
        <v>201711286804</v>
      </c>
      <c r="G950" t="str">
        <f>"FERAL HOGS"</f>
        <v>FERAL HOGS</v>
      </c>
      <c r="H950" s="2">
        <v>5</v>
      </c>
      <c r="I950" t="str">
        <f>"FERAL HOGS"</f>
        <v>FERAL HOGS</v>
      </c>
    </row>
    <row r="951" spans="1:9" x14ac:dyDescent="0.3">
      <c r="A951" t="str">
        <f>"005242"</f>
        <v>005242</v>
      </c>
      <c r="B951" t="s">
        <v>275</v>
      </c>
      <c r="C951">
        <v>74200</v>
      </c>
      <c r="D951" s="2">
        <v>325</v>
      </c>
      <c r="E951" s="1">
        <v>43080</v>
      </c>
      <c r="F951" t="str">
        <f>"201712067219"</f>
        <v>201712067219</v>
      </c>
      <c r="G951" t="str">
        <f>"INDIGENT HEALTH"</f>
        <v>INDIGENT HEALTH</v>
      </c>
      <c r="H951" s="2">
        <v>325</v>
      </c>
      <c r="I951" t="str">
        <f>"INDIGENT HEALTH"</f>
        <v>INDIGENT HEALTH</v>
      </c>
    </row>
    <row r="952" spans="1:9" x14ac:dyDescent="0.3">
      <c r="A952" t="str">
        <f>"T13936"</f>
        <v>T13936</v>
      </c>
      <c r="B952" t="s">
        <v>276</v>
      </c>
      <c r="C952">
        <v>74201</v>
      </c>
      <c r="D952" s="2">
        <v>855.78</v>
      </c>
      <c r="E952" s="1">
        <v>43080</v>
      </c>
      <c r="F952" t="str">
        <f>"201712067220"</f>
        <v>201712067220</v>
      </c>
      <c r="G952" t="str">
        <f>"INDIGENT HEALTH"</f>
        <v>INDIGENT HEALTH</v>
      </c>
      <c r="H952" s="2">
        <v>855.78</v>
      </c>
      <c r="I952" t="str">
        <f>"INDIGENT HEALTH"</f>
        <v>INDIGENT HEALTH</v>
      </c>
    </row>
    <row r="953" spans="1:9" x14ac:dyDescent="0.3">
      <c r="A953" t="str">
        <f>""</f>
        <v/>
      </c>
      <c r="F953" t="str">
        <f>""</f>
        <v/>
      </c>
      <c r="G953" t="str">
        <f>""</f>
        <v/>
      </c>
      <c r="I953" t="str">
        <f>"INDIGENT HEALTH"</f>
        <v>INDIGENT HEALTH</v>
      </c>
    </row>
    <row r="954" spans="1:9" x14ac:dyDescent="0.3">
      <c r="A954" t="str">
        <f>"T13936"</f>
        <v>T13936</v>
      </c>
      <c r="B954" t="s">
        <v>276</v>
      </c>
      <c r="C954">
        <v>74422</v>
      </c>
      <c r="D954" s="2">
        <v>403.82</v>
      </c>
      <c r="E954" s="1">
        <v>43096</v>
      </c>
      <c r="F954" t="str">
        <f>"201712207484"</f>
        <v>201712207484</v>
      </c>
      <c r="G954" t="str">
        <f>"INDIGENT HEALTH"</f>
        <v>INDIGENT HEALTH</v>
      </c>
      <c r="H954" s="2">
        <v>403.82</v>
      </c>
      <c r="I954" t="str">
        <f>"INDIGENT HEALTH"</f>
        <v>INDIGENT HEALTH</v>
      </c>
    </row>
    <row r="955" spans="1:9" x14ac:dyDescent="0.3">
      <c r="A955" t="str">
        <f>""</f>
        <v/>
      </c>
      <c r="F955" t="str">
        <f>""</f>
        <v/>
      </c>
      <c r="G955" t="str">
        <f>""</f>
        <v/>
      </c>
      <c r="I955" t="str">
        <f>"INDIGENT HEALTH"</f>
        <v>INDIGENT HEALTH</v>
      </c>
    </row>
    <row r="956" spans="1:9" x14ac:dyDescent="0.3">
      <c r="A956" t="str">
        <f>"T12624"</f>
        <v>T12624</v>
      </c>
      <c r="B956" t="s">
        <v>277</v>
      </c>
      <c r="C956">
        <v>74423</v>
      </c>
      <c r="D956" s="2">
        <v>183.51</v>
      </c>
      <c r="E956" s="1">
        <v>43096</v>
      </c>
      <c r="F956" t="str">
        <f>"INV001666160"</f>
        <v>INV001666160</v>
      </c>
      <c r="G956" t="str">
        <f>"INV001666160"</f>
        <v>INV001666160</v>
      </c>
      <c r="H956" s="2">
        <v>183.51</v>
      </c>
      <c r="I956" t="str">
        <f>"INV001666160"</f>
        <v>INV001666160</v>
      </c>
    </row>
    <row r="957" spans="1:9" x14ac:dyDescent="0.3">
      <c r="A957" t="str">
        <f>"T9432"</f>
        <v>T9432</v>
      </c>
      <c r="B957" t="s">
        <v>278</v>
      </c>
      <c r="C957">
        <v>74202</v>
      </c>
      <c r="D957" s="2">
        <v>1688.7</v>
      </c>
      <c r="E957" s="1">
        <v>43080</v>
      </c>
      <c r="F957" t="str">
        <f>"171130"</f>
        <v>171130</v>
      </c>
      <c r="G957" t="str">
        <f>"COURT REPORTER FEES"</f>
        <v>COURT REPORTER FEES</v>
      </c>
      <c r="H957" s="2">
        <v>1688.7</v>
      </c>
      <c r="I957" t="str">
        <f>"COURT REPORTER FEES"</f>
        <v>COURT REPORTER FEES</v>
      </c>
    </row>
    <row r="958" spans="1:9" x14ac:dyDescent="0.3">
      <c r="A958" t="str">
        <f>"004144"</f>
        <v>004144</v>
      </c>
      <c r="B958" t="s">
        <v>279</v>
      </c>
      <c r="C958">
        <v>999999</v>
      </c>
      <c r="D958" s="2">
        <v>250</v>
      </c>
      <c r="E958" s="1">
        <v>43081</v>
      </c>
      <c r="F958" t="str">
        <f>"201712057172"</f>
        <v>201712057172</v>
      </c>
      <c r="G958" t="str">
        <f>"55 511"</f>
        <v>55 511</v>
      </c>
      <c r="H958" s="2">
        <v>250</v>
      </c>
      <c r="I958" t="str">
        <f>"55 511"</f>
        <v>55 511</v>
      </c>
    </row>
    <row r="959" spans="1:9" x14ac:dyDescent="0.3">
      <c r="A959" t="str">
        <f>"004144"</f>
        <v>004144</v>
      </c>
      <c r="B959" t="s">
        <v>279</v>
      </c>
      <c r="C959">
        <v>999999</v>
      </c>
      <c r="D959" s="2">
        <v>1474.5</v>
      </c>
      <c r="E959" s="1">
        <v>43097</v>
      </c>
      <c r="F959" t="str">
        <f>"201712197374"</f>
        <v>201712197374</v>
      </c>
      <c r="G959" t="str">
        <f>"G-246"</f>
        <v>G-246</v>
      </c>
      <c r="H959" s="2">
        <v>512</v>
      </c>
      <c r="I959" t="str">
        <f>"G-246"</f>
        <v>G-246</v>
      </c>
    </row>
    <row r="960" spans="1:9" x14ac:dyDescent="0.3">
      <c r="A960" t="str">
        <f>""</f>
        <v/>
      </c>
      <c r="F960" t="str">
        <f>"201712197384"</f>
        <v>201712197384</v>
      </c>
      <c r="G960" t="str">
        <f>"16 17969"</f>
        <v>16 17969</v>
      </c>
      <c r="H960" s="2">
        <v>112.5</v>
      </c>
      <c r="I960" t="str">
        <f>"16 17969"</f>
        <v>16 17969</v>
      </c>
    </row>
    <row r="961" spans="1:9" x14ac:dyDescent="0.3">
      <c r="A961" t="str">
        <f>""</f>
        <v/>
      </c>
      <c r="F961" t="str">
        <f>"201712197389"</f>
        <v>201712197389</v>
      </c>
      <c r="G961" t="str">
        <f>"17 18757"</f>
        <v>17 18757</v>
      </c>
      <c r="H961" s="2">
        <v>100</v>
      </c>
      <c r="I961" t="str">
        <f>"17 18757"</f>
        <v>17 18757</v>
      </c>
    </row>
    <row r="962" spans="1:9" x14ac:dyDescent="0.3">
      <c r="A962" t="str">
        <f>""</f>
        <v/>
      </c>
      <c r="F962" t="str">
        <f>"201712197418"</f>
        <v>201712197418</v>
      </c>
      <c r="G962" t="str">
        <f>"53 851"</f>
        <v>53 851</v>
      </c>
      <c r="H962" s="2">
        <v>250</v>
      </c>
      <c r="I962" t="str">
        <f>"53 851"</f>
        <v>53 851</v>
      </c>
    </row>
    <row r="963" spans="1:9" x14ac:dyDescent="0.3">
      <c r="A963" t="str">
        <f>""</f>
        <v/>
      </c>
      <c r="F963" t="str">
        <f>"201712197426"</f>
        <v>201712197426</v>
      </c>
      <c r="G963" t="str">
        <f>"55 188"</f>
        <v>55 188</v>
      </c>
      <c r="H963" s="2">
        <v>250</v>
      </c>
      <c r="I963" t="str">
        <f>"55 188"</f>
        <v>55 188</v>
      </c>
    </row>
    <row r="964" spans="1:9" x14ac:dyDescent="0.3">
      <c r="A964" t="str">
        <f>""</f>
        <v/>
      </c>
      <c r="F964" t="str">
        <f>"201712197427"</f>
        <v>201712197427</v>
      </c>
      <c r="G964" t="str">
        <f>"55 232"</f>
        <v>55 232</v>
      </c>
      <c r="H964" s="2">
        <v>250</v>
      </c>
      <c r="I964" t="str">
        <f>"55 232"</f>
        <v>55 232</v>
      </c>
    </row>
    <row r="965" spans="1:9" x14ac:dyDescent="0.3">
      <c r="A965" t="str">
        <f>"TRIGA"</f>
        <v>TRIGA</v>
      </c>
      <c r="B965" t="s">
        <v>280</v>
      </c>
      <c r="C965">
        <v>74424</v>
      </c>
      <c r="D965" s="2">
        <v>317.45</v>
      </c>
      <c r="E965" s="1">
        <v>43096</v>
      </c>
      <c r="F965" t="str">
        <f>"16596692"</f>
        <v>16596692</v>
      </c>
      <c r="G965" t="str">
        <f>"INV 16596692"</f>
        <v>INV 16596692</v>
      </c>
      <c r="H965" s="2">
        <v>47.64</v>
      </c>
      <c r="I965" t="str">
        <f>"INV 16596692"</f>
        <v>INV 16596692</v>
      </c>
    </row>
    <row r="966" spans="1:9" x14ac:dyDescent="0.3">
      <c r="A966" t="str">
        <f>""</f>
        <v/>
      </c>
      <c r="F966" t="str">
        <f>"201712127277"</f>
        <v>201712127277</v>
      </c>
      <c r="G966" t="str">
        <f>"CUST#S9547/PCT#1"</f>
        <v>CUST#S9547/PCT#1</v>
      </c>
      <c r="H966" s="2">
        <v>168.12</v>
      </c>
      <c r="I966" t="str">
        <f>"CUST#S9547/PCT#1"</f>
        <v>CUST#S9547/PCT#1</v>
      </c>
    </row>
    <row r="967" spans="1:9" x14ac:dyDescent="0.3">
      <c r="A967" t="str">
        <f>""</f>
        <v/>
      </c>
      <c r="F967" t="str">
        <f>"201712127278"</f>
        <v>201712127278</v>
      </c>
      <c r="G967" t="str">
        <f>"CUST#41472/PCT#1"</f>
        <v>CUST#41472/PCT#1</v>
      </c>
      <c r="H967" s="2">
        <v>22.23</v>
      </c>
      <c r="I967" t="str">
        <f>"CUST#41472/PCT#1"</f>
        <v>CUST#41472/PCT#1</v>
      </c>
    </row>
    <row r="968" spans="1:9" x14ac:dyDescent="0.3">
      <c r="A968" t="str">
        <f>""</f>
        <v/>
      </c>
      <c r="F968" t="str">
        <f>"201712127282"</f>
        <v>201712127282</v>
      </c>
      <c r="G968" t="str">
        <f>"CUST#45057/PCT#4"</f>
        <v>CUST#45057/PCT#4</v>
      </c>
      <c r="H968" s="2">
        <v>79.459999999999994</v>
      </c>
      <c r="I968" t="str">
        <f>"CUST#45057/PCT#4"</f>
        <v>CUST#45057/PCT#4</v>
      </c>
    </row>
    <row r="969" spans="1:9" x14ac:dyDescent="0.3">
      <c r="A969" t="str">
        <f>"005320"</f>
        <v>005320</v>
      </c>
      <c r="B969" t="s">
        <v>281</v>
      </c>
      <c r="C969">
        <v>74203</v>
      </c>
      <c r="D969" s="2">
        <v>5</v>
      </c>
      <c r="E969" s="1">
        <v>43080</v>
      </c>
      <c r="F969" t="str">
        <f>"201711286805"</f>
        <v>201711286805</v>
      </c>
      <c r="G969" t="str">
        <f>"FERAL HOGS"</f>
        <v>FERAL HOGS</v>
      </c>
      <c r="H969" s="2">
        <v>5</v>
      </c>
      <c r="I969" t="str">
        <f>"FERAL HOGS"</f>
        <v>FERAL HOGS</v>
      </c>
    </row>
    <row r="970" spans="1:9" x14ac:dyDescent="0.3">
      <c r="A970" t="str">
        <f>"005321"</f>
        <v>005321</v>
      </c>
      <c r="B970" t="s">
        <v>282</v>
      </c>
      <c r="C970">
        <v>74204</v>
      </c>
      <c r="D970" s="2">
        <v>25</v>
      </c>
      <c r="E970" s="1">
        <v>43080</v>
      </c>
      <c r="F970" t="str">
        <f>"201711286806"</f>
        <v>201711286806</v>
      </c>
      <c r="G970" t="str">
        <f>"FERAL HOGS"</f>
        <v>FERAL HOGS</v>
      </c>
      <c r="H970" s="2">
        <v>25</v>
      </c>
      <c r="I970" t="str">
        <f>"FERAL HOGS"</f>
        <v>FERAL HOGS</v>
      </c>
    </row>
    <row r="971" spans="1:9" x14ac:dyDescent="0.3">
      <c r="A971" t="str">
        <f>"005177"</f>
        <v>005177</v>
      </c>
      <c r="B971" t="s">
        <v>283</v>
      </c>
      <c r="C971">
        <v>74425</v>
      </c>
      <c r="D971" s="2">
        <v>163.52000000000001</v>
      </c>
      <c r="E971" s="1">
        <v>43096</v>
      </c>
      <c r="F971" t="str">
        <f>"LODGING/PARKING"</f>
        <v>LODGING/PARKING</v>
      </c>
      <c r="G971" t="str">
        <f>"LODGING /PARKING"</f>
        <v>LODGING /PARKING</v>
      </c>
      <c r="H971" s="2">
        <v>103.52</v>
      </c>
      <c r="I971" t="str">
        <f>"LODGING /PARKING"</f>
        <v>LODGING /PARKING</v>
      </c>
    </row>
    <row r="972" spans="1:9" x14ac:dyDescent="0.3">
      <c r="A972" t="str">
        <f>""</f>
        <v/>
      </c>
      <c r="F972" t="str">
        <f>"PER DIEM"</f>
        <v>PER DIEM</v>
      </c>
      <c r="G972" t="str">
        <f>"PER DIEM"</f>
        <v>PER DIEM</v>
      </c>
      <c r="H972" s="2">
        <v>60</v>
      </c>
      <c r="I972" t="str">
        <f>"PER DIEM"</f>
        <v>PER DIEM</v>
      </c>
    </row>
    <row r="973" spans="1:9" x14ac:dyDescent="0.3">
      <c r="A973" t="str">
        <f>"MC COY"</f>
        <v>MC COY</v>
      </c>
      <c r="B973" t="s">
        <v>284</v>
      </c>
      <c r="C973">
        <v>999999</v>
      </c>
      <c r="D973" s="2">
        <v>122.7</v>
      </c>
      <c r="E973" s="1">
        <v>43081</v>
      </c>
      <c r="F973" t="str">
        <f>"647057"</f>
        <v>647057</v>
      </c>
      <c r="G973" t="str">
        <f>"ACCT#0900-98011130-001/PARTS"</f>
        <v>ACCT#0900-98011130-001/PARTS</v>
      </c>
      <c r="H973" s="2">
        <v>17.87</v>
      </c>
      <c r="I973" t="str">
        <f>"ACCT#0900-98011130-001/PARTS"</f>
        <v>ACCT#0900-98011130-001/PARTS</v>
      </c>
    </row>
    <row r="974" spans="1:9" x14ac:dyDescent="0.3">
      <c r="A974" t="str">
        <f>""</f>
        <v/>
      </c>
      <c r="F974" t="str">
        <f>"647771"</f>
        <v>647771</v>
      </c>
      <c r="G974" t="str">
        <f>"ACCT#0900-98011130001"</f>
        <v>ACCT#0900-98011130001</v>
      </c>
      <c r="H974" s="2">
        <v>95.94</v>
      </c>
      <c r="I974" t="str">
        <f>"ACCT#0900-98011130001"</f>
        <v>ACCT#0900-98011130001</v>
      </c>
    </row>
    <row r="975" spans="1:9" x14ac:dyDescent="0.3">
      <c r="A975" t="str">
        <f>""</f>
        <v/>
      </c>
      <c r="F975" t="str">
        <f>"647856"</f>
        <v>647856</v>
      </c>
      <c r="G975" t="str">
        <f>"ACCT#0900-98011130-001/PCT#3"</f>
        <v>ACCT#0900-98011130-001/PCT#3</v>
      </c>
      <c r="H975" s="2">
        <v>8.89</v>
      </c>
      <c r="I975" t="str">
        <f>"ACCT#0900-98011130-001/PCT#3"</f>
        <v>ACCT#0900-98011130-001/PCT#3</v>
      </c>
    </row>
    <row r="976" spans="1:9" x14ac:dyDescent="0.3">
      <c r="A976" t="str">
        <f>"MC COY"</f>
        <v>MC COY</v>
      </c>
      <c r="B976" t="s">
        <v>284</v>
      </c>
      <c r="C976">
        <v>999999</v>
      </c>
      <c r="D976" s="2">
        <v>26.97</v>
      </c>
      <c r="E976" s="1">
        <v>43097</v>
      </c>
      <c r="F976" t="str">
        <f>"647992"</f>
        <v>647992</v>
      </c>
      <c r="G976" t="str">
        <f>"ACCT#0900-98011130-001"</f>
        <v>ACCT#0900-98011130-001</v>
      </c>
      <c r="H976" s="2">
        <v>26.97</v>
      </c>
      <c r="I976" t="str">
        <f>"ACCT#0900-98011130-001"</f>
        <v>ACCT#0900-98011130-001</v>
      </c>
    </row>
    <row r="977" spans="1:10" x14ac:dyDescent="0.3">
      <c r="A977" t="str">
        <f>"MC CRE"</f>
        <v>MC CRE</v>
      </c>
      <c r="B977" t="s">
        <v>285</v>
      </c>
      <c r="C977">
        <v>74205</v>
      </c>
      <c r="D977" s="2">
        <v>16262.74</v>
      </c>
      <c r="E977" s="1">
        <v>43080</v>
      </c>
      <c r="F977" t="s">
        <v>56</v>
      </c>
      <c r="G977" t="s">
        <v>57</v>
      </c>
      <c r="H977" s="2" t="str">
        <f>"ABST FEE"</f>
        <v>ABST FEE</v>
      </c>
      <c r="I977" t="str">
        <f>"995-4110"</f>
        <v>995-4110</v>
      </c>
      <c r="J977">
        <v>175</v>
      </c>
    </row>
    <row r="978" spans="1:10" x14ac:dyDescent="0.3">
      <c r="A978" t="str">
        <f>""</f>
        <v/>
      </c>
      <c r="F978" t="str">
        <f>"11777"</f>
        <v>11777</v>
      </c>
      <c r="G978" t="str">
        <f>"ABST FEE"</f>
        <v>ABST FEE</v>
      </c>
      <c r="H978" s="2">
        <v>175</v>
      </c>
      <c r="I978" t="str">
        <f>"ABST FEE"</f>
        <v>ABST FEE</v>
      </c>
    </row>
    <row r="979" spans="1:10" x14ac:dyDescent="0.3">
      <c r="A979" t="str">
        <f>""</f>
        <v/>
      </c>
      <c r="F979" t="str">
        <f>"201712047006"</f>
        <v>201712047006</v>
      </c>
      <c r="G979" t="str">
        <f>"DELIQUENT TAX COLLECTION-NOV17"</f>
        <v>DELIQUENT TAX COLLECTION-NOV17</v>
      </c>
      <c r="H979" s="2">
        <v>15912.74</v>
      </c>
      <c r="I979" t="str">
        <f>"DELIQUENT TAX COLLECTION-NOV17"</f>
        <v>DELIQUENT TAX COLLECTION-NOV17</v>
      </c>
    </row>
    <row r="980" spans="1:10" x14ac:dyDescent="0.3">
      <c r="A980" t="str">
        <f>"MC CRE"</f>
        <v>MC CRE</v>
      </c>
      <c r="B980" t="s">
        <v>285</v>
      </c>
      <c r="C980">
        <v>74426</v>
      </c>
      <c r="D980" s="2">
        <v>75</v>
      </c>
      <c r="E980" s="1">
        <v>43096</v>
      </c>
      <c r="F980" t="s">
        <v>119</v>
      </c>
      <c r="G980" t="s">
        <v>286</v>
      </c>
      <c r="H980" s="2" t="str">
        <f>"PRINTER FEE"</f>
        <v>PRINTER FEE</v>
      </c>
      <c r="I980" t="str">
        <f>"995-4110"</f>
        <v>995-4110</v>
      </c>
      <c r="J980">
        <v>75</v>
      </c>
    </row>
    <row r="981" spans="1:10" x14ac:dyDescent="0.3">
      <c r="A981" t="str">
        <f>"002271"</f>
        <v>002271</v>
      </c>
      <c r="B981" t="s">
        <v>287</v>
      </c>
      <c r="C981">
        <v>74206</v>
      </c>
      <c r="D981" s="2">
        <v>933.15</v>
      </c>
      <c r="E981" s="1">
        <v>43080</v>
      </c>
      <c r="F981" t="str">
        <f>"201712067221"</f>
        <v>201712067221</v>
      </c>
      <c r="G981" t="str">
        <f>"INDIGENT HEALTH"</f>
        <v>INDIGENT HEALTH</v>
      </c>
      <c r="H981" s="2">
        <v>933.15</v>
      </c>
      <c r="I981" t="str">
        <f>"INDIGENT HEALTH"</f>
        <v>INDIGENT HEALTH</v>
      </c>
    </row>
    <row r="982" spans="1:10" x14ac:dyDescent="0.3">
      <c r="A982" t="str">
        <f>""</f>
        <v/>
      </c>
      <c r="F982" t="str">
        <f>""</f>
        <v/>
      </c>
      <c r="G982" t="str">
        <f>""</f>
        <v/>
      </c>
      <c r="I982" t="str">
        <f>"INDIGENT HEALTH"</f>
        <v>INDIGENT HEALTH</v>
      </c>
    </row>
    <row r="983" spans="1:10" x14ac:dyDescent="0.3">
      <c r="A983" t="str">
        <f>"002271"</f>
        <v>002271</v>
      </c>
      <c r="B983" t="s">
        <v>287</v>
      </c>
      <c r="C983">
        <v>74427</v>
      </c>
      <c r="D983" s="2">
        <v>2090.34</v>
      </c>
      <c r="E983" s="1">
        <v>43096</v>
      </c>
      <c r="F983" t="str">
        <f>"201712207485"</f>
        <v>201712207485</v>
      </c>
      <c r="G983" t="str">
        <f>"INDIGENT HEALTH"</f>
        <v>INDIGENT HEALTH</v>
      </c>
      <c r="H983" s="2">
        <v>2090.34</v>
      </c>
      <c r="I983" t="str">
        <f>"INDIGENT HEALTH"</f>
        <v>INDIGENT HEALTH</v>
      </c>
    </row>
    <row r="984" spans="1:10" x14ac:dyDescent="0.3">
      <c r="A984" t="str">
        <f>"003745"</f>
        <v>003745</v>
      </c>
      <c r="B984" t="s">
        <v>288</v>
      </c>
      <c r="C984">
        <v>74207</v>
      </c>
      <c r="D984" s="2">
        <v>25</v>
      </c>
      <c r="E984" s="1">
        <v>43080</v>
      </c>
      <c r="F984" t="s">
        <v>92</v>
      </c>
      <c r="G984" t="s">
        <v>244</v>
      </c>
      <c r="H984" s="2" t="str">
        <f>"RESTITUTION-D. SPURK"</f>
        <v>RESTITUTION-D. SPURK</v>
      </c>
      <c r="I984" t="str">
        <f>"210-0000"</f>
        <v>210-0000</v>
      </c>
      <c r="J984">
        <v>25</v>
      </c>
    </row>
    <row r="985" spans="1:10" x14ac:dyDescent="0.3">
      <c r="A985" t="str">
        <f>"002344"</f>
        <v>002344</v>
      </c>
      <c r="B985" t="s">
        <v>289</v>
      </c>
      <c r="C985">
        <v>74208</v>
      </c>
      <c r="D985" s="2">
        <v>4890</v>
      </c>
      <c r="E985" s="1">
        <v>43080</v>
      </c>
      <c r="F985" t="str">
        <f>"11480"</f>
        <v>11480</v>
      </c>
      <c r="G985" t="str">
        <f>"PS Station Print Pack"</f>
        <v>PS Station Print Pack</v>
      </c>
      <c r="H985" s="2">
        <v>4890</v>
      </c>
      <c r="I985" t="str">
        <f>"Option Switch"</f>
        <v>Option Switch</v>
      </c>
    </row>
    <row r="986" spans="1:10" x14ac:dyDescent="0.3">
      <c r="A986" t="str">
        <f>""</f>
        <v/>
      </c>
      <c r="F986" t="str">
        <f>""</f>
        <v/>
      </c>
      <c r="G986" t="str">
        <f>""</f>
        <v/>
      </c>
      <c r="I986" t="str">
        <f>"Station Print Pack"</f>
        <v>Station Print Pack</v>
      </c>
    </row>
    <row r="987" spans="1:10" x14ac:dyDescent="0.3">
      <c r="A987" t="str">
        <f>"MF"</f>
        <v>MF</v>
      </c>
      <c r="B987" t="s">
        <v>290</v>
      </c>
      <c r="C987">
        <v>999999</v>
      </c>
      <c r="D987" s="2">
        <v>160.5</v>
      </c>
      <c r="E987" s="1">
        <v>43097</v>
      </c>
      <c r="F987" t="str">
        <f>"17-031"</f>
        <v>17-031</v>
      </c>
      <c r="G987" t="str">
        <f>"COURT REPORTER FEES/423-2157"</f>
        <v>COURT REPORTER FEES/423-2157</v>
      </c>
      <c r="H987" s="2">
        <v>100</v>
      </c>
      <c r="I987" t="str">
        <f>"COURT REPORTER FEES/423-2157"</f>
        <v>COURT REPORTER FEES/423-2157</v>
      </c>
    </row>
    <row r="988" spans="1:10" x14ac:dyDescent="0.3">
      <c r="A988" t="str">
        <f>""</f>
        <v/>
      </c>
      <c r="F988" t="str">
        <f>"17-032"</f>
        <v>17-032</v>
      </c>
      <c r="G988" t="str">
        <f>"COURT REPORTER FEES"</f>
        <v>COURT REPORTER FEES</v>
      </c>
      <c r="H988" s="2">
        <v>60.5</v>
      </c>
      <c r="I988" t="str">
        <f>"COURT REPORTER FEES"</f>
        <v>COURT REPORTER FEES</v>
      </c>
    </row>
    <row r="989" spans="1:10" x14ac:dyDescent="0.3">
      <c r="A989" t="str">
        <f>"003828"</f>
        <v>003828</v>
      </c>
      <c r="B989" t="s">
        <v>291</v>
      </c>
      <c r="C989">
        <v>74209</v>
      </c>
      <c r="D989" s="2">
        <v>260</v>
      </c>
      <c r="E989" s="1">
        <v>43080</v>
      </c>
      <c r="F989" t="str">
        <f>"201711286807"</f>
        <v>201711286807</v>
      </c>
      <c r="G989" t="str">
        <f>"FERAL HOGS"</f>
        <v>FERAL HOGS</v>
      </c>
      <c r="H989" s="2">
        <v>135</v>
      </c>
      <c r="I989" t="str">
        <f>"FERAL HOGS"</f>
        <v>FERAL HOGS</v>
      </c>
    </row>
    <row r="990" spans="1:10" x14ac:dyDescent="0.3">
      <c r="A990" t="str">
        <f>""</f>
        <v/>
      </c>
      <c r="F990" t="str">
        <f>"201711286808"</f>
        <v>201711286808</v>
      </c>
      <c r="G990" t="str">
        <f>"FERAL HOGS"</f>
        <v>FERAL HOGS</v>
      </c>
      <c r="H990" s="2">
        <v>125</v>
      </c>
      <c r="I990" t="str">
        <f>"FERAL HOGS"</f>
        <v>FERAL HOGS</v>
      </c>
    </row>
    <row r="991" spans="1:10" x14ac:dyDescent="0.3">
      <c r="A991" t="str">
        <f>"002312"</f>
        <v>002312</v>
      </c>
      <c r="B991" t="s">
        <v>292</v>
      </c>
      <c r="C991">
        <v>74210</v>
      </c>
      <c r="D991" s="2">
        <v>23604.57</v>
      </c>
      <c r="E991" s="1">
        <v>43080</v>
      </c>
      <c r="F991" t="str">
        <f>"15684"</f>
        <v>15684</v>
      </c>
      <c r="G991" t="str">
        <f t="shared" ref="G991:G1004" si="11">"FREIGHT SALES/PCT#2"</f>
        <v>FREIGHT SALES/PCT#2</v>
      </c>
      <c r="H991" s="2">
        <v>369.45</v>
      </c>
      <c r="I991" t="str">
        <f t="shared" ref="I991:I1004" si="12">"FREIGHT SALES/PCT#2"</f>
        <v>FREIGHT SALES/PCT#2</v>
      </c>
    </row>
    <row r="992" spans="1:10" x14ac:dyDescent="0.3">
      <c r="A992" t="str">
        <f>""</f>
        <v/>
      </c>
      <c r="F992" t="str">
        <f>"15744"</f>
        <v>15744</v>
      </c>
      <c r="G992" t="str">
        <f t="shared" si="11"/>
        <v>FREIGHT SALES/PCT#2</v>
      </c>
      <c r="H992" s="2">
        <v>759.25</v>
      </c>
      <c r="I992" t="str">
        <f t="shared" si="12"/>
        <v>FREIGHT SALES/PCT#2</v>
      </c>
    </row>
    <row r="993" spans="1:9" x14ac:dyDescent="0.3">
      <c r="A993" t="str">
        <f>""</f>
        <v/>
      </c>
      <c r="F993" t="str">
        <f>"15754"</f>
        <v>15754</v>
      </c>
      <c r="G993" t="str">
        <f t="shared" si="11"/>
        <v>FREIGHT SALES/PCT#2</v>
      </c>
      <c r="H993" s="2">
        <v>1080.75</v>
      </c>
      <c r="I993" t="str">
        <f t="shared" si="12"/>
        <v>FREIGHT SALES/PCT#2</v>
      </c>
    </row>
    <row r="994" spans="1:9" x14ac:dyDescent="0.3">
      <c r="A994" t="str">
        <f>""</f>
        <v/>
      </c>
      <c r="F994" t="str">
        <f>"15797"</f>
        <v>15797</v>
      </c>
      <c r="G994" t="str">
        <f t="shared" si="11"/>
        <v>FREIGHT SALES/PCT#2</v>
      </c>
      <c r="H994" s="2">
        <v>5322.96</v>
      </c>
      <c r="I994" t="str">
        <f t="shared" si="12"/>
        <v>FREIGHT SALES/PCT#2</v>
      </c>
    </row>
    <row r="995" spans="1:9" x14ac:dyDescent="0.3">
      <c r="A995" t="str">
        <f>""</f>
        <v/>
      </c>
      <c r="F995" t="str">
        <f>"15800"</f>
        <v>15800</v>
      </c>
      <c r="G995" t="str">
        <f t="shared" si="11"/>
        <v>FREIGHT SALES/PCT#2</v>
      </c>
      <c r="H995" s="2">
        <v>1309.8499999999999</v>
      </c>
      <c r="I995" t="str">
        <f t="shared" si="12"/>
        <v>FREIGHT SALES/PCT#2</v>
      </c>
    </row>
    <row r="996" spans="1:9" x14ac:dyDescent="0.3">
      <c r="A996" t="str">
        <f>""</f>
        <v/>
      </c>
      <c r="F996" t="str">
        <f>"15817"</f>
        <v>15817</v>
      </c>
      <c r="G996" t="str">
        <f t="shared" si="11"/>
        <v>FREIGHT SALES/PCT#2</v>
      </c>
      <c r="H996" s="2">
        <v>2512.09</v>
      </c>
      <c r="I996" t="str">
        <f t="shared" si="12"/>
        <v>FREIGHT SALES/PCT#2</v>
      </c>
    </row>
    <row r="997" spans="1:9" x14ac:dyDescent="0.3">
      <c r="A997" t="str">
        <f>""</f>
        <v/>
      </c>
      <c r="F997" t="str">
        <f>"15852"</f>
        <v>15852</v>
      </c>
      <c r="G997" t="str">
        <f t="shared" si="11"/>
        <v>FREIGHT SALES/PCT#2</v>
      </c>
      <c r="H997" s="2">
        <v>6372.24</v>
      </c>
      <c r="I997" t="str">
        <f t="shared" si="12"/>
        <v>FREIGHT SALES/PCT#2</v>
      </c>
    </row>
    <row r="998" spans="1:9" x14ac:dyDescent="0.3">
      <c r="A998" t="str">
        <f>""</f>
        <v/>
      </c>
      <c r="F998" t="str">
        <f>"15853"</f>
        <v>15853</v>
      </c>
      <c r="G998" t="str">
        <f t="shared" si="11"/>
        <v>FREIGHT SALES/PCT#2</v>
      </c>
      <c r="H998" s="2">
        <v>1007.84</v>
      </c>
      <c r="I998" t="str">
        <f t="shared" si="12"/>
        <v>FREIGHT SALES/PCT#2</v>
      </c>
    </row>
    <row r="999" spans="1:9" x14ac:dyDescent="0.3">
      <c r="A999" t="str">
        <f>""</f>
        <v/>
      </c>
      <c r="F999" t="str">
        <f>"15872"</f>
        <v>15872</v>
      </c>
      <c r="G999" t="str">
        <f t="shared" si="11"/>
        <v>FREIGHT SALES/PCT#2</v>
      </c>
      <c r="H999" s="2">
        <v>4759.04</v>
      </c>
      <c r="I999" t="str">
        <f t="shared" si="12"/>
        <v>FREIGHT SALES/PCT#2</v>
      </c>
    </row>
    <row r="1000" spans="1:9" x14ac:dyDescent="0.3">
      <c r="A1000" t="str">
        <f>""</f>
        <v/>
      </c>
      <c r="F1000" t="str">
        <f>"15877"</f>
        <v>15877</v>
      </c>
      <c r="G1000" t="str">
        <f t="shared" si="11"/>
        <v>FREIGHT SALES/PCT#2</v>
      </c>
      <c r="H1000" s="2">
        <v>111.1</v>
      </c>
      <c r="I1000" t="str">
        <f t="shared" si="12"/>
        <v>FREIGHT SALES/PCT#2</v>
      </c>
    </row>
    <row r="1001" spans="1:9" x14ac:dyDescent="0.3">
      <c r="A1001" t="str">
        <f>"002312"</f>
        <v>002312</v>
      </c>
      <c r="B1001" t="s">
        <v>292</v>
      </c>
      <c r="C1001">
        <v>74428</v>
      </c>
      <c r="D1001" s="2">
        <v>20500.080000000002</v>
      </c>
      <c r="E1001" s="1">
        <v>43096</v>
      </c>
      <c r="F1001" t="str">
        <f>"15910"</f>
        <v>15910</v>
      </c>
      <c r="G1001" t="str">
        <f t="shared" si="11"/>
        <v>FREIGHT SALES/PCT#2</v>
      </c>
      <c r="H1001" s="2">
        <v>6131.6</v>
      </c>
      <c r="I1001" t="str">
        <f t="shared" si="12"/>
        <v>FREIGHT SALES/PCT#2</v>
      </c>
    </row>
    <row r="1002" spans="1:9" x14ac:dyDescent="0.3">
      <c r="A1002" t="str">
        <f>""</f>
        <v/>
      </c>
      <c r="F1002" t="str">
        <f>"15911"</f>
        <v>15911</v>
      </c>
      <c r="G1002" t="str">
        <f t="shared" si="11"/>
        <v>FREIGHT SALES/PCT#2</v>
      </c>
      <c r="H1002" s="2">
        <v>4647.84</v>
      </c>
      <c r="I1002" t="str">
        <f t="shared" si="12"/>
        <v>FREIGHT SALES/PCT#2</v>
      </c>
    </row>
    <row r="1003" spans="1:9" x14ac:dyDescent="0.3">
      <c r="A1003" t="str">
        <f>""</f>
        <v/>
      </c>
      <c r="F1003" t="str">
        <f>"15935"</f>
        <v>15935</v>
      </c>
      <c r="G1003" t="str">
        <f t="shared" si="11"/>
        <v>FREIGHT SALES/PCT#2</v>
      </c>
      <c r="H1003" s="2">
        <v>7571.12</v>
      </c>
      <c r="I1003" t="str">
        <f t="shared" si="12"/>
        <v>FREIGHT SALES/PCT#2</v>
      </c>
    </row>
    <row r="1004" spans="1:9" x14ac:dyDescent="0.3">
      <c r="A1004" t="str">
        <f>""</f>
        <v/>
      </c>
      <c r="F1004" t="str">
        <f>"15968"</f>
        <v>15968</v>
      </c>
      <c r="G1004" t="str">
        <f t="shared" si="11"/>
        <v>FREIGHT SALES/PCT#2</v>
      </c>
      <c r="H1004" s="2">
        <v>2149.52</v>
      </c>
      <c r="I1004" t="str">
        <f t="shared" si="12"/>
        <v>FREIGHT SALES/PCT#2</v>
      </c>
    </row>
    <row r="1005" spans="1:9" x14ac:dyDescent="0.3">
      <c r="A1005" t="str">
        <f>"005284"</f>
        <v>005284</v>
      </c>
      <c r="B1005" t="s">
        <v>293</v>
      </c>
      <c r="C1005">
        <v>74211</v>
      </c>
      <c r="D1005" s="2">
        <v>10</v>
      </c>
      <c r="E1005" s="1">
        <v>43080</v>
      </c>
      <c r="F1005" t="str">
        <f>"201712047018"</f>
        <v>201712047018</v>
      </c>
      <c r="G1005" t="str">
        <f>"FERAL HOGS"</f>
        <v>FERAL HOGS</v>
      </c>
      <c r="H1005" s="2">
        <v>10</v>
      </c>
      <c r="I1005" t="str">
        <f>"FERAL HOGS"</f>
        <v>FERAL HOGS</v>
      </c>
    </row>
    <row r="1006" spans="1:9" x14ac:dyDescent="0.3">
      <c r="A1006" t="str">
        <f>"MU&amp;E"</f>
        <v>MU&amp;E</v>
      </c>
      <c r="B1006" t="s">
        <v>294</v>
      </c>
      <c r="C1006">
        <v>999999</v>
      </c>
      <c r="D1006" s="2">
        <v>4535.7299999999996</v>
      </c>
      <c r="E1006" s="1">
        <v>43081</v>
      </c>
      <c r="F1006" t="str">
        <f>"89526 93332"</f>
        <v>89526 93332</v>
      </c>
      <c r="G1006" t="str">
        <f>"INV 89526 / 93332"</f>
        <v>INV 89526 / 93332</v>
      </c>
      <c r="H1006" s="2">
        <v>628.5</v>
      </c>
      <c r="I1006" t="str">
        <f>"INV 89526"</f>
        <v>INV 89526</v>
      </c>
    </row>
    <row r="1007" spans="1:9" x14ac:dyDescent="0.3">
      <c r="A1007" t="str">
        <f>""</f>
        <v/>
      </c>
      <c r="F1007" t="str">
        <f>""</f>
        <v/>
      </c>
      <c r="G1007" t="str">
        <f>""</f>
        <v/>
      </c>
      <c r="I1007" t="str">
        <f>"INV 93332"</f>
        <v>INV 93332</v>
      </c>
    </row>
    <row r="1008" spans="1:9" x14ac:dyDescent="0.3">
      <c r="A1008" t="str">
        <f>""</f>
        <v/>
      </c>
      <c r="F1008" t="str">
        <f>"92579"</f>
        <v>92579</v>
      </c>
      <c r="G1008" t="str">
        <f>"INV 92579"</f>
        <v>INV 92579</v>
      </c>
      <c r="H1008" s="2">
        <v>979.63</v>
      </c>
      <c r="I1008" t="str">
        <f>"INV 92579"</f>
        <v>INV 92579</v>
      </c>
    </row>
    <row r="1009" spans="1:9" x14ac:dyDescent="0.3">
      <c r="A1009" t="str">
        <f>""</f>
        <v/>
      </c>
      <c r="F1009" t="str">
        <f>"92640"</f>
        <v>92640</v>
      </c>
      <c r="G1009" t="str">
        <f>"INV 92640"</f>
        <v>INV 92640</v>
      </c>
      <c r="H1009" s="2">
        <v>625</v>
      </c>
      <c r="I1009" t="str">
        <f>"INV 92640"</f>
        <v>INV 92640</v>
      </c>
    </row>
    <row r="1010" spans="1:9" x14ac:dyDescent="0.3">
      <c r="A1010" t="str">
        <f>""</f>
        <v/>
      </c>
      <c r="F1010" t="str">
        <f>"92742"</f>
        <v>92742</v>
      </c>
      <c r="G1010" t="str">
        <f>"INV 92742"</f>
        <v>INV 92742</v>
      </c>
      <c r="H1010" s="2">
        <v>37.5</v>
      </c>
      <c r="I1010" t="str">
        <f>"INV 92742"</f>
        <v>INV 92742</v>
      </c>
    </row>
    <row r="1011" spans="1:9" x14ac:dyDescent="0.3">
      <c r="A1011" t="str">
        <f>""</f>
        <v/>
      </c>
      <c r="F1011" t="str">
        <f>"92879"</f>
        <v>92879</v>
      </c>
      <c r="G1011" t="str">
        <f>"INV 92879"</f>
        <v>INV 92879</v>
      </c>
      <c r="H1011" s="2">
        <v>307</v>
      </c>
      <c r="I1011" t="str">
        <f>"INV 92879"</f>
        <v>INV 92879</v>
      </c>
    </row>
    <row r="1012" spans="1:9" x14ac:dyDescent="0.3">
      <c r="A1012" t="str">
        <f>""</f>
        <v/>
      </c>
      <c r="F1012" t="str">
        <f>"93343"</f>
        <v>93343</v>
      </c>
      <c r="G1012" t="str">
        <f>"INV 93343"</f>
        <v>INV 93343</v>
      </c>
      <c r="H1012" s="2">
        <v>307</v>
      </c>
      <c r="I1012" t="str">
        <f>"INV 93343"</f>
        <v>INV 93343</v>
      </c>
    </row>
    <row r="1013" spans="1:9" x14ac:dyDescent="0.3">
      <c r="A1013" t="str">
        <f>""</f>
        <v/>
      </c>
      <c r="F1013" t="str">
        <f>"93630"</f>
        <v>93630</v>
      </c>
      <c r="G1013" t="str">
        <f>"INV 93630"</f>
        <v>INV 93630</v>
      </c>
      <c r="H1013" s="2">
        <v>1040</v>
      </c>
      <c r="I1013" t="str">
        <f>"INV 93630"</f>
        <v>INV 93630</v>
      </c>
    </row>
    <row r="1014" spans="1:9" x14ac:dyDescent="0.3">
      <c r="A1014" t="str">
        <f>""</f>
        <v/>
      </c>
      <c r="F1014" t="str">
        <f>"93652"</f>
        <v>93652</v>
      </c>
      <c r="G1014" t="str">
        <f>"INV 93652"</f>
        <v>INV 93652</v>
      </c>
      <c r="H1014" s="2">
        <v>96.5</v>
      </c>
      <c r="I1014" t="str">
        <f>"INV 93652"</f>
        <v>INV 93652</v>
      </c>
    </row>
    <row r="1015" spans="1:9" x14ac:dyDescent="0.3">
      <c r="A1015" t="str">
        <f>""</f>
        <v/>
      </c>
      <c r="F1015" t="str">
        <f>"93654"</f>
        <v>93654</v>
      </c>
      <c r="G1015" t="str">
        <f>"INV 93654"</f>
        <v>INV 93654</v>
      </c>
      <c r="H1015" s="2">
        <v>502.1</v>
      </c>
      <c r="I1015" t="str">
        <f>"INV 93654"</f>
        <v>INV 93654</v>
      </c>
    </row>
    <row r="1016" spans="1:9" x14ac:dyDescent="0.3">
      <c r="A1016" t="str">
        <f>""</f>
        <v/>
      </c>
      <c r="F1016" t="str">
        <f>"93655"</f>
        <v>93655</v>
      </c>
      <c r="G1016" t="str">
        <f>"INV 93655"</f>
        <v>INV 93655</v>
      </c>
      <c r="H1016" s="2">
        <v>12.5</v>
      </c>
      <c r="I1016" t="str">
        <f>"INV 93655"</f>
        <v>INV 93655</v>
      </c>
    </row>
    <row r="1017" spans="1:9" x14ac:dyDescent="0.3">
      <c r="A1017" t="str">
        <f>"MU&amp;E"</f>
        <v>MU&amp;E</v>
      </c>
      <c r="B1017" t="s">
        <v>294</v>
      </c>
      <c r="C1017">
        <v>999999</v>
      </c>
      <c r="D1017" s="2">
        <v>723.45</v>
      </c>
      <c r="E1017" s="1">
        <v>43097</v>
      </c>
      <c r="F1017" t="str">
        <f>"94364"</f>
        <v>94364</v>
      </c>
      <c r="G1017" t="str">
        <f>"INV 94364"</f>
        <v>INV 94364</v>
      </c>
      <c r="H1017" s="2">
        <v>193</v>
      </c>
      <c r="I1017" t="str">
        <f>"INV 94364"</f>
        <v>INV 94364</v>
      </c>
    </row>
    <row r="1018" spans="1:9" x14ac:dyDescent="0.3">
      <c r="A1018" t="str">
        <f>""</f>
        <v/>
      </c>
      <c r="F1018" t="str">
        <f>"94365"</f>
        <v>94365</v>
      </c>
      <c r="G1018" t="str">
        <f>"INV 94365"</f>
        <v>INV 94365</v>
      </c>
      <c r="H1018" s="2">
        <v>89.5</v>
      </c>
      <c r="I1018" t="str">
        <f>"INV 94365"</f>
        <v>INV 94365</v>
      </c>
    </row>
    <row r="1019" spans="1:9" x14ac:dyDescent="0.3">
      <c r="A1019" t="str">
        <f>""</f>
        <v/>
      </c>
      <c r="F1019" t="str">
        <f>"95069"</f>
        <v>95069</v>
      </c>
      <c r="G1019" t="str">
        <f>"INV 95069"</f>
        <v>INV 95069</v>
      </c>
      <c r="H1019" s="2">
        <v>13.95</v>
      </c>
      <c r="I1019" t="str">
        <f>"INV 95069"</f>
        <v>INV 95069</v>
      </c>
    </row>
    <row r="1020" spans="1:9" x14ac:dyDescent="0.3">
      <c r="A1020" t="str">
        <f>""</f>
        <v/>
      </c>
      <c r="F1020" t="str">
        <f>"95080"</f>
        <v>95080</v>
      </c>
      <c r="G1020" t="str">
        <f>"INV 95080"</f>
        <v>INV 95080</v>
      </c>
      <c r="H1020" s="2">
        <v>427</v>
      </c>
      <c r="I1020" t="str">
        <f>"INV 95080"</f>
        <v>INV 95080</v>
      </c>
    </row>
    <row r="1021" spans="1:9" x14ac:dyDescent="0.3">
      <c r="A1021" t="str">
        <f t="shared" ref="A1021:A1052" si="13">"1"</f>
        <v>1</v>
      </c>
      <c r="B1021" t="s">
        <v>295</v>
      </c>
      <c r="C1021">
        <v>73999</v>
      </c>
      <c r="D1021" s="2">
        <v>96</v>
      </c>
      <c r="E1021" s="1">
        <v>43074</v>
      </c>
      <c r="F1021" t="str">
        <f>"201712057102"</f>
        <v>201712057102</v>
      </c>
      <c r="G1021" t="str">
        <f>"M"</f>
        <v>M</v>
      </c>
      <c r="H1021" s="2">
        <v>96</v>
      </c>
      <c r="I1021" t="str">
        <f>"Children's Advocacy Center"</f>
        <v>Children's Advocacy Center</v>
      </c>
    </row>
    <row r="1022" spans="1:9" x14ac:dyDescent="0.3">
      <c r="A1022" t="str">
        <f t="shared" si="13"/>
        <v>1</v>
      </c>
      <c r="B1022" t="s">
        <v>296</v>
      </c>
      <c r="C1022">
        <v>74000</v>
      </c>
      <c r="D1022" s="2">
        <v>66</v>
      </c>
      <c r="E1022" s="1">
        <v>43074</v>
      </c>
      <c r="F1022" t="str">
        <f>"201712057103"</f>
        <v>201712057103</v>
      </c>
      <c r="G1022" t="str">
        <f>""</f>
        <v/>
      </c>
      <c r="H1022" s="2">
        <v>66</v>
      </c>
      <c r="I1022" t="str">
        <f>"COURT APPOINTED SPECIAL ADVOCA"</f>
        <v>COURT APPOINTED SPECIAL ADVOCA</v>
      </c>
    </row>
    <row r="1023" spans="1:9" x14ac:dyDescent="0.3">
      <c r="A1023" t="str">
        <f t="shared" si="13"/>
        <v>1</v>
      </c>
      <c r="B1023" t="s">
        <v>297</v>
      </c>
      <c r="C1023">
        <v>74001</v>
      </c>
      <c r="D1023" s="2">
        <v>66</v>
      </c>
      <c r="E1023" s="1">
        <v>43074</v>
      </c>
      <c r="F1023" t="str">
        <f>"201712057104"</f>
        <v>201712057104</v>
      </c>
      <c r="G1023" t="str">
        <f>"Mi"</f>
        <v>Mi</v>
      </c>
      <c r="H1023" s="2">
        <v>66</v>
      </c>
      <c r="I1023" t="str">
        <f>"Child Protective Services"</f>
        <v>Child Protective Services</v>
      </c>
    </row>
    <row r="1024" spans="1:9" x14ac:dyDescent="0.3">
      <c r="A1024" t="str">
        <f t="shared" si="13"/>
        <v>1</v>
      </c>
      <c r="B1024" t="s">
        <v>298</v>
      </c>
      <c r="C1024">
        <v>74002</v>
      </c>
      <c r="D1024" s="2">
        <v>60</v>
      </c>
      <c r="E1024" s="1">
        <v>43074</v>
      </c>
      <c r="F1024" t="str">
        <f>"201712057105"</f>
        <v>201712057105</v>
      </c>
      <c r="G1024" t="str">
        <f>"Miscell"</f>
        <v>Miscell</v>
      </c>
      <c r="H1024" s="2">
        <v>60</v>
      </c>
      <c r="I1024" t="str">
        <f>"Family Crisis Center"</f>
        <v>Family Crisis Center</v>
      </c>
    </row>
    <row r="1025" spans="1:9" x14ac:dyDescent="0.3">
      <c r="A1025" t="str">
        <f t="shared" si="13"/>
        <v>1</v>
      </c>
      <c r="B1025" t="s">
        <v>299</v>
      </c>
      <c r="C1025">
        <v>74003</v>
      </c>
      <c r="D1025" s="2">
        <v>6</v>
      </c>
      <c r="E1025" s="1">
        <v>43074</v>
      </c>
      <c r="F1025" t="str">
        <f>"201712057106"</f>
        <v>201712057106</v>
      </c>
      <c r="G1025" t="str">
        <f>"Mis"</f>
        <v>Mis</v>
      </c>
      <c r="H1025" s="2">
        <v>6</v>
      </c>
      <c r="I1025" t="str">
        <f>"STEPHEN MICHAEL KROTOFIL"</f>
        <v>STEPHEN MICHAEL KROTOFIL</v>
      </c>
    </row>
    <row r="1026" spans="1:9" x14ac:dyDescent="0.3">
      <c r="A1026" t="str">
        <f t="shared" si="13"/>
        <v>1</v>
      </c>
      <c r="B1026" t="s">
        <v>300</v>
      </c>
      <c r="C1026">
        <v>74004</v>
      </c>
      <c r="D1026" s="2">
        <v>6</v>
      </c>
      <c r="E1026" s="1">
        <v>43074</v>
      </c>
      <c r="F1026" t="str">
        <f>"201712057107"</f>
        <v>201712057107</v>
      </c>
      <c r="G1026" t="str">
        <f>"Miscel"</f>
        <v>Miscel</v>
      </c>
      <c r="H1026" s="2">
        <v>6</v>
      </c>
      <c r="I1026" t="str">
        <f>"HAROLD GEORGE WESSELS"</f>
        <v>HAROLD GEORGE WESSELS</v>
      </c>
    </row>
    <row r="1027" spans="1:9" x14ac:dyDescent="0.3">
      <c r="A1027" t="str">
        <f t="shared" si="13"/>
        <v>1</v>
      </c>
      <c r="B1027" t="s">
        <v>301</v>
      </c>
      <c r="C1027">
        <v>74005</v>
      </c>
      <c r="D1027" s="2">
        <v>6</v>
      </c>
      <c r="E1027" s="1">
        <v>43074</v>
      </c>
      <c r="F1027" t="str">
        <f>"201712057108"</f>
        <v>201712057108</v>
      </c>
      <c r="G1027" t="str">
        <f>"Miscella"</f>
        <v>Miscella</v>
      </c>
      <c r="H1027" s="2">
        <v>6</v>
      </c>
      <c r="I1027" t="str">
        <f>"DALE JASON HANNUSCH"</f>
        <v>DALE JASON HANNUSCH</v>
      </c>
    </row>
    <row r="1028" spans="1:9" x14ac:dyDescent="0.3">
      <c r="A1028" t="str">
        <f t="shared" si="13"/>
        <v>1</v>
      </c>
      <c r="B1028" t="s">
        <v>302</v>
      </c>
      <c r="C1028">
        <v>74006</v>
      </c>
      <c r="D1028" s="2">
        <v>6</v>
      </c>
      <c r="E1028" s="1">
        <v>43074</v>
      </c>
      <c r="F1028" t="str">
        <f>"201712057109"</f>
        <v>201712057109</v>
      </c>
      <c r="G1028" t="str">
        <f>"Miscellaneous"</f>
        <v>Miscellaneous</v>
      </c>
      <c r="H1028" s="2">
        <v>6</v>
      </c>
      <c r="I1028" t="str">
        <f>"MARC LYNN COX"</f>
        <v>MARC LYNN COX</v>
      </c>
    </row>
    <row r="1029" spans="1:9" x14ac:dyDescent="0.3">
      <c r="A1029" t="str">
        <f t="shared" si="13"/>
        <v>1</v>
      </c>
      <c r="B1029" t="s">
        <v>303</v>
      </c>
      <c r="C1029">
        <v>74007</v>
      </c>
      <c r="D1029" s="2">
        <v>6</v>
      </c>
      <c r="E1029" s="1">
        <v>43074</v>
      </c>
      <c r="F1029" t="str">
        <f>"201712057110"</f>
        <v>201712057110</v>
      </c>
      <c r="G1029" t="str">
        <f>"Miscellane"</f>
        <v>Miscellane</v>
      </c>
      <c r="H1029" s="2">
        <v>6</v>
      </c>
      <c r="I1029" t="str">
        <f>"KAREN TAYLOR KIRK"</f>
        <v>KAREN TAYLOR KIRK</v>
      </c>
    </row>
    <row r="1030" spans="1:9" x14ac:dyDescent="0.3">
      <c r="A1030" t="str">
        <f t="shared" si="13"/>
        <v>1</v>
      </c>
      <c r="B1030" t="s">
        <v>304</v>
      </c>
      <c r="C1030">
        <v>74008</v>
      </c>
      <c r="D1030" s="2">
        <v>6</v>
      </c>
      <c r="E1030" s="1">
        <v>43074</v>
      </c>
      <c r="F1030" t="str">
        <f>"201712057111"</f>
        <v>201712057111</v>
      </c>
      <c r="G1030" t="str">
        <f>"Miscellan"</f>
        <v>Miscellan</v>
      </c>
      <c r="H1030" s="2">
        <v>6</v>
      </c>
      <c r="I1030" t="str">
        <f>"DONNA FRENCH REECE"</f>
        <v>DONNA FRENCH REECE</v>
      </c>
    </row>
    <row r="1031" spans="1:9" x14ac:dyDescent="0.3">
      <c r="A1031" t="str">
        <f t="shared" si="13"/>
        <v>1</v>
      </c>
      <c r="B1031" t="s">
        <v>305</v>
      </c>
      <c r="C1031">
        <v>74009</v>
      </c>
      <c r="D1031" s="2">
        <v>6</v>
      </c>
      <c r="E1031" s="1">
        <v>43074</v>
      </c>
      <c r="F1031" t="str">
        <f>"201712057112"</f>
        <v>201712057112</v>
      </c>
      <c r="G1031" t="str">
        <f>"Misce"</f>
        <v>Misce</v>
      </c>
      <c r="H1031" s="2">
        <v>6</v>
      </c>
      <c r="I1031" t="str">
        <f>"DIANA MARIA VILLARREAL"</f>
        <v>DIANA MARIA VILLARREAL</v>
      </c>
    </row>
    <row r="1032" spans="1:9" x14ac:dyDescent="0.3">
      <c r="A1032" t="str">
        <f t="shared" si="13"/>
        <v>1</v>
      </c>
      <c r="B1032" t="s">
        <v>306</v>
      </c>
      <c r="C1032">
        <v>74010</v>
      </c>
      <c r="D1032" s="2">
        <v>6</v>
      </c>
      <c r="E1032" s="1">
        <v>43074</v>
      </c>
      <c r="F1032" t="str">
        <f>"201712057113"</f>
        <v>201712057113</v>
      </c>
      <c r="G1032" t="str">
        <f>"Miscella"</f>
        <v>Miscella</v>
      </c>
      <c r="H1032" s="2">
        <v>6</v>
      </c>
      <c r="I1032" t="str">
        <f>"DREW ALLAN WILLIAMS"</f>
        <v>DREW ALLAN WILLIAMS</v>
      </c>
    </row>
    <row r="1033" spans="1:9" x14ac:dyDescent="0.3">
      <c r="A1033" t="str">
        <f t="shared" si="13"/>
        <v>1</v>
      </c>
      <c r="B1033" t="s">
        <v>307</v>
      </c>
      <c r="C1033">
        <v>74011</v>
      </c>
      <c r="D1033" s="2">
        <v>6</v>
      </c>
      <c r="E1033" s="1">
        <v>43074</v>
      </c>
      <c r="F1033" t="str">
        <f>"201712057114"</f>
        <v>201712057114</v>
      </c>
      <c r="G1033" t="str">
        <f>"Miscellaneous"</f>
        <v>Miscellaneous</v>
      </c>
      <c r="H1033" s="2">
        <v>6</v>
      </c>
      <c r="I1033" t="str">
        <f>"GAL WYCHE"</f>
        <v>GAL WYCHE</v>
      </c>
    </row>
    <row r="1034" spans="1:9" x14ac:dyDescent="0.3">
      <c r="A1034" t="str">
        <f t="shared" si="13"/>
        <v>1</v>
      </c>
      <c r="B1034" t="s">
        <v>308</v>
      </c>
      <c r="C1034">
        <v>74012</v>
      </c>
      <c r="D1034" s="2">
        <v>6</v>
      </c>
      <c r="E1034" s="1">
        <v>43074</v>
      </c>
      <c r="F1034" t="str">
        <f>"201712057115"</f>
        <v>201712057115</v>
      </c>
      <c r="G1034" t="str">
        <f>"Miscella"</f>
        <v>Miscella</v>
      </c>
      <c r="H1034" s="2">
        <v>6</v>
      </c>
      <c r="I1034" t="str">
        <f>"APRIL RENEE MARQUEZ"</f>
        <v>APRIL RENEE MARQUEZ</v>
      </c>
    </row>
    <row r="1035" spans="1:9" x14ac:dyDescent="0.3">
      <c r="A1035" t="str">
        <f t="shared" si="13"/>
        <v>1</v>
      </c>
      <c r="B1035" t="s">
        <v>309</v>
      </c>
      <c r="C1035">
        <v>74013</v>
      </c>
      <c r="D1035" s="2">
        <v>6</v>
      </c>
      <c r="E1035" s="1">
        <v>43074</v>
      </c>
      <c r="F1035" t="str">
        <f>"201712057116"</f>
        <v>201712057116</v>
      </c>
      <c r="G1035" t="str">
        <f>"Miscella"</f>
        <v>Miscella</v>
      </c>
      <c r="H1035" s="2">
        <v>6</v>
      </c>
      <c r="I1035" t="str">
        <f>"LUTHER ELVIN HOOVER"</f>
        <v>LUTHER ELVIN HOOVER</v>
      </c>
    </row>
    <row r="1036" spans="1:9" x14ac:dyDescent="0.3">
      <c r="A1036" t="str">
        <f t="shared" si="13"/>
        <v>1</v>
      </c>
      <c r="B1036" t="s">
        <v>310</v>
      </c>
      <c r="C1036">
        <v>74014</v>
      </c>
      <c r="D1036" s="2">
        <v>6</v>
      </c>
      <c r="E1036" s="1">
        <v>43074</v>
      </c>
      <c r="F1036" t="str">
        <f>"201712057117"</f>
        <v>201712057117</v>
      </c>
      <c r="G1036" t="str">
        <f>"Misce"</f>
        <v>Misce</v>
      </c>
      <c r="H1036" s="2">
        <v>6</v>
      </c>
      <c r="I1036" t="str">
        <f>"BERNETTA DUWAE TOLBERT"</f>
        <v>BERNETTA DUWAE TOLBERT</v>
      </c>
    </row>
    <row r="1037" spans="1:9" x14ac:dyDescent="0.3">
      <c r="A1037" t="str">
        <f t="shared" si="13"/>
        <v>1</v>
      </c>
      <c r="B1037" t="s">
        <v>311</v>
      </c>
      <c r="C1037">
        <v>74015</v>
      </c>
      <c r="D1037" s="2">
        <v>6</v>
      </c>
      <c r="E1037" s="1">
        <v>43074</v>
      </c>
      <c r="F1037" t="str">
        <f>"201712057118"</f>
        <v>201712057118</v>
      </c>
      <c r="G1037" t="str">
        <f>"Miscell"</f>
        <v>Miscell</v>
      </c>
      <c r="H1037" s="2">
        <v>6</v>
      </c>
      <c r="I1037" t="str">
        <f>"COLIN KELLY MASON JR"</f>
        <v>COLIN KELLY MASON JR</v>
      </c>
    </row>
    <row r="1038" spans="1:9" x14ac:dyDescent="0.3">
      <c r="A1038" t="str">
        <f t="shared" si="13"/>
        <v>1</v>
      </c>
      <c r="B1038" t="s">
        <v>312</v>
      </c>
      <c r="C1038">
        <v>74016</v>
      </c>
      <c r="D1038" s="2">
        <v>6</v>
      </c>
      <c r="E1038" s="1">
        <v>43074</v>
      </c>
      <c r="F1038" t="str">
        <f>"201712057119"</f>
        <v>201712057119</v>
      </c>
      <c r="G1038" t="str">
        <f>"Misc"</f>
        <v>Misc</v>
      </c>
      <c r="H1038" s="2">
        <v>6</v>
      </c>
      <c r="I1038" t="str">
        <f>"THELMA MOORE RILEY-USOH"</f>
        <v>THELMA MOORE RILEY-USOH</v>
      </c>
    </row>
    <row r="1039" spans="1:9" x14ac:dyDescent="0.3">
      <c r="A1039" t="str">
        <f t="shared" si="13"/>
        <v>1</v>
      </c>
      <c r="B1039" t="s">
        <v>313</v>
      </c>
      <c r="C1039">
        <v>74017</v>
      </c>
      <c r="D1039" s="2">
        <v>6</v>
      </c>
      <c r="E1039" s="1">
        <v>43074</v>
      </c>
      <c r="F1039" t="str">
        <f>"201712057120"</f>
        <v>201712057120</v>
      </c>
      <c r="G1039" t="str">
        <f>"Misce"</f>
        <v>Misce</v>
      </c>
      <c r="H1039" s="2">
        <v>6</v>
      </c>
      <c r="I1039" t="str">
        <f>"HOLLY ELIZABETH MCBETH"</f>
        <v>HOLLY ELIZABETH MCBETH</v>
      </c>
    </row>
    <row r="1040" spans="1:9" x14ac:dyDescent="0.3">
      <c r="A1040" t="str">
        <f t="shared" si="13"/>
        <v>1</v>
      </c>
      <c r="B1040" t="s">
        <v>314</v>
      </c>
      <c r="C1040">
        <v>74018</v>
      </c>
      <c r="D1040" s="2">
        <v>6</v>
      </c>
      <c r="E1040" s="1">
        <v>43074</v>
      </c>
      <c r="F1040" t="str">
        <f>"201712057121"</f>
        <v>201712057121</v>
      </c>
      <c r="G1040" t="str">
        <f>"Miscellane"</f>
        <v>Miscellane</v>
      </c>
      <c r="H1040" s="2">
        <v>6</v>
      </c>
      <c r="I1040" t="str">
        <f>"JERRY LEE HAYWOOD"</f>
        <v>JERRY LEE HAYWOOD</v>
      </c>
    </row>
    <row r="1041" spans="1:9" x14ac:dyDescent="0.3">
      <c r="A1041" t="str">
        <f t="shared" si="13"/>
        <v>1</v>
      </c>
      <c r="B1041" t="s">
        <v>315</v>
      </c>
      <c r="C1041">
        <v>74019</v>
      </c>
      <c r="D1041" s="2">
        <v>6</v>
      </c>
      <c r="E1041" s="1">
        <v>43074</v>
      </c>
      <c r="F1041" t="str">
        <f>"201712057122"</f>
        <v>201712057122</v>
      </c>
      <c r="G1041" t="str">
        <f>"Misce"</f>
        <v>Misce</v>
      </c>
      <c r="H1041" s="2">
        <v>6</v>
      </c>
      <c r="I1041" t="str">
        <f>"MICHAEL KENNETH CARTER"</f>
        <v>MICHAEL KENNETH CARTER</v>
      </c>
    </row>
    <row r="1042" spans="1:9" x14ac:dyDescent="0.3">
      <c r="A1042" t="str">
        <f t="shared" si="13"/>
        <v>1</v>
      </c>
      <c r="B1042" t="s">
        <v>316</v>
      </c>
      <c r="C1042">
        <v>74020</v>
      </c>
      <c r="D1042" s="2">
        <v>6</v>
      </c>
      <c r="E1042" s="1">
        <v>43074</v>
      </c>
      <c r="F1042" t="str">
        <f>"201712057123"</f>
        <v>201712057123</v>
      </c>
      <c r="G1042" t="str">
        <f>"M"</f>
        <v>M</v>
      </c>
      <c r="H1042" s="2">
        <v>6</v>
      </c>
      <c r="I1042" t="str">
        <f>"SHIRLEY ANN MASSIE-PADILLA"</f>
        <v>SHIRLEY ANN MASSIE-PADILLA</v>
      </c>
    </row>
    <row r="1043" spans="1:9" x14ac:dyDescent="0.3">
      <c r="A1043" t="str">
        <f t="shared" si="13"/>
        <v>1</v>
      </c>
      <c r="B1043" t="s">
        <v>317</v>
      </c>
      <c r="C1043">
        <v>74021</v>
      </c>
      <c r="D1043" s="2">
        <v>6</v>
      </c>
      <c r="E1043" s="1">
        <v>43074</v>
      </c>
      <c r="F1043" t="str">
        <f>"201712057124"</f>
        <v>201712057124</v>
      </c>
      <c r="G1043" t="str">
        <f>"Miscellan"</f>
        <v>Miscellan</v>
      </c>
      <c r="H1043" s="2">
        <v>6</v>
      </c>
      <c r="I1043" t="str">
        <f>"DIANA JANE TREVINO"</f>
        <v>DIANA JANE TREVINO</v>
      </c>
    </row>
    <row r="1044" spans="1:9" x14ac:dyDescent="0.3">
      <c r="A1044" t="str">
        <f t="shared" si="13"/>
        <v>1</v>
      </c>
      <c r="B1044" t="s">
        <v>318</v>
      </c>
      <c r="C1044">
        <v>74022</v>
      </c>
      <c r="D1044" s="2">
        <v>6</v>
      </c>
      <c r="E1044" s="1">
        <v>43074</v>
      </c>
      <c r="F1044" t="str">
        <f>"201712057125"</f>
        <v>201712057125</v>
      </c>
      <c r="G1044" t="str">
        <f>"Miscella"</f>
        <v>Miscella</v>
      </c>
      <c r="H1044" s="2">
        <v>6</v>
      </c>
      <c r="I1044" t="str">
        <f>"CAROLYN ANN JACKSON"</f>
        <v>CAROLYN ANN JACKSON</v>
      </c>
    </row>
    <row r="1045" spans="1:9" x14ac:dyDescent="0.3">
      <c r="A1045" t="str">
        <f t="shared" si="13"/>
        <v>1</v>
      </c>
      <c r="B1045" t="s">
        <v>319</v>
      </c>
      <c r="C1045">
        <v>74023</v>
      </c>
      <c r="D1045" s="2">
        <v>6</v>
      </c>
      <c r="E1045" s="1">
        <v>43074</v>
      </c>
      <c r="F1045" t="str">
        <f>"201712057126"</f>
        <v>201712057126</v>
      </c>
      <c r="G1045" t="str">
        <f>"Miscel"</f>
        <v>Miscel</v>
      </c>
      <c r="H1045" s="2">
        <v>6</v>
      </c>
      <c r="I1045" t="str">
        <f>"HOWARD SMITH BURNS JR"</f>
        <v>HOWARD SMITH BURNS JR</v>
      </c>
    </row>
    <row r="1046" spans="1:9" x14ac:dyDescent="0.3">
      <c r="A1046" t="str">
        <f t="shared" si="13"/>
        <v>1</v>
      </c>
      <c r="B1046" t="s">
        <v>320</v>
      </c>
      <c r="C1046">
        <v>74024</v>
      </c>
      <c r="D1046" s="2">
        <v>6</v>
      </c>
      <c r="E1046" s="1">
        <v>43074</v>
      </c>
      <c r="F1046" t="str">
        <f>"201712057127"</f>
        <v>201712057127</v>
      </c>
      <c r="G1046" t="str">
        <f>"Miscel"</f>
        <v>Miscel</v>
      </c>
      <c r="H1046" s="2">
        <v>6</v>
      </c>
      <c r="I1046" t="str">
        <f>"RUSSELL TRAVIS TUCKER"</f>
        <v>RUSSELL TRAVIS TUCKER</v>
      </c>
    </row>
    <row r="1047" spans="1:9" x14ac:dyDescent="0.3">
      <c r="A1047" t="str">
        <f t="shared" si="13"/>
        <v>1</v>
      </c>
      <c r="B1047" t="s">
        <v>321</v>
      </c>
      <c r="C1047">
        <v>74025</v>
      </c>
      <c r="D1047" s="2">
        <v>6</v>
      </c>
      <c r="E1047" s="1">
        <v>43074</v>
      </c>
      <c r="F1047" t="str">
        <f>"201712057128"</f>
        <v>201712057128</v>
      </c>
      <c r="G1047" t="str">
        <f>"Miscella"</f>
        <v>Miscella</v>
      </c>
      <c r="H1047" s="2">
        <v>6</v>
      </c>
      <c r="I1047" t="str">
        <f>"WILLIAM DAWSON WOOD"</f>
        <v>WILLIAM DAWSON WOOD</v>
      </c>
    </row>
    <row r="1048" spans="1:9" x14ac:dyDescent="0.3">
      <c r="A1048" t="str">
        <f t="shared" si="13"/>
        <v>1</v>
      </c>
      <c r="B1048" t="s">
        <v>322</v>
      </c>
      <c r="C1048">
        <v>74026</v>
      </c>
      <c r="D1048" s="2">
        <v>6</v>
      </c>
      <c r="E1048" s="1">
        <v>43074</v>
      </c>
      <c r="F1048" t="str">
        <f>"201712057129"</f>
        <v>201712057129</v>
      </c>
      <c r="G1048" t="str">
        <f>"Misc"</f>
        <v>Misc</v>
      </c>
      <c r="H1048" s="2">
        <v>6</v>
      </c>
      <c r="I1048" t="str">
        <f>"ORENTHAL DELEON JOHNSON"</f>
        <v>ORENTHAL DELEON JOHNSON</v>
      </c>
    </row>
    <row r="1049" spans="1:9" x14ac:dyDescent="0.3">
      <c r="A1049" t="str">
        <f t="shared" si="13"/>
        <v>1</v>
      </c>
      <c r="B1049" t="s">
        <v>323</v>
      </c>
      <c r="C1049">
        <v>74027</v>
      </c>
      <c r="D1049" s="2">
        <v>6</v>
      </c>
      <c r="E1049" s="1">
        <v>43074</v>
      </c>
      <c r="F1049" t="str">
        <f>"201712057130"</f>
        <v>201712057130</v>
      </c>
      <c r="G1049" t="str">
        <f>"Misce"</f>
        <v>Misce</v>
      </c>
      <c r="H1049" s="2">
        <v>6</v>
      </c>
      <c r="I1049" t="str">
        <f>"GEORGE EDWIN REEVES JR"</f>
        <v>GEORGE EDWIN REEVES JR</v>
      </c>
    </row>
    <row r="1050" spans="1:9" x14ac:dyDescent="0.3">
      <c r="A1050" t="str">
        <f t="shared" si="13"/>
        <v>1</v>
      </c>
      <c r="B1050" t="s">
        <v>324</v>
      </c>
      <c r="C1050">
        <v>74028</v>
      </c>
      <c r="D1050" s="2">
        <v>6</v>
      </c>
      <c r="E1050" s="1">
        <v>43074</v>
      </c>
      <c r="F1050" t="str">
        <f>"201712057131"</f>
        <v>201712057131</v>
      </c>
      <c r="G1050" t="str">
        <f>"Miscella"</f>
        <v>Miscella</v>
      </c>
      <c r="H1050" s="2">
        <v>6</v>
      </c>
      <c r="I1050" t="str">
        <f>"THELMA GARCIA ERWIN"</f>
        <v>THELMA GARCIA ERWIN</v>
      </c>
    </row>
    <row r="1051" spans="1:9" x14ac:dyDescent="0.3">
      <c r="A1051" t="str">
        <f t="shared" si="13"/>
        <v>1</v>
      </c>
      <c r="B1051" t="s">
        <v>325</v>
      </c>
      <c r="C1051">
        <v>74029</v>
      </c>
      <c r="D1051" s="2">
        <v>6</v>
      </c>
      <c r="E1051" s="1">
        <v>43074</v>
      </c>
      <c r="F1051" t="str">
        <f>"201712057132"</f>
        <v>201712057132</v>
      </c>
      <c r="G1051" t="str">
        <f>"Mi"</f>
        <v>Mi</v>
      </c>
      <c r="H1051" s="2">
        <v>6</v>
      </c>
      <c r="I1051" t="str">
        <f>"LOURDES ARAMBULA MEINHOLD"</f>
        <v>LOURDES ARAMBULA MEINHOLD</v>
      </c>
    </row>
    <row r="1052" spans="1:9" x14ac:dyDescent="0.3">
      <c r="A1052" t="str">
        <f t="shared" si="13"/>
        <v>1</v>
      </c>
      <c r="B1052" t="s">
        <v>326</v>
      </c>
      <c r="C1052">
        <v>74030</v>
      </c>
      <c r="D1052" s="2">
        <v>6</v>
      </c>
      <c r="E1052" s="1">
        <v>43074</v>
      </c>
      <c r="F1052" t="str">
        <f>"201712057133"</f>
        <v>201712057133</v>
      </c>
      <c r="G1052" t="str">
        <f>"Mi"</f>
        <v>Mi</v>
      </c>
      <c r="H1052" s="2">
        <v>6</v>
      </c>
      <c r="I1052" t="str">
        <f>"JOYCE JACOBS ZIMMERHANZEL"</f>
        <v>JOYCE JACOBS ZIMMERHANZEL</v>
      </c>
    </row>
    <row r="1053" spans="1:9" x14ac:dyDescent="0.3">
      <c r="A1053" t="str">
        <f t="shared" ref="A1053:A1084" si="14">"1"</f>
        <v>1</v>
      </c>
      <c r="B1053" t="s">
        <v>327</v>
      </c>
      <c r="C1053">
        <v>74031</v>
      </c>
      <c r="D1053" s="2">
        <v>6</v>
      </c>
      <c r="E1053" s="1">
        <v>43074</v>
      </c>
      <c r="F1053" t="str">
        <f>"201712057134"</f>
        <v>201712057134</v>
      </c>
      <c r="G1053" t="str">
        <f>"Miscel"</f>
        <v>Miscel</v>
      </c>
      <c r="H1053" s="2">
        <v>6</v>
      </c>
      <c r="I1053" t="str">
        <f>"WINNIE LAGAY MITCHELL"</f>
        <v>WINNIE LAGAY MITCHELL</v>
      </c>
    </row>
    <row r="1054" spans="1:9" x14ac:dyDescent="0.3">
      <c r="A1054" t="str">
        <f t="shared" si="14"/>
        <v>1</v>
      </c>
      <c r="B1054" t="s">
        <v>328</v>
      </c>
      <c r="C1054">
        <v>74032</v>
      </c>
      <c r="D1054" s="2">
        <v>6</v>
      </c>
      <c r="E1054" s="1">
        <v>43074</v>
      </c>
      <c r="F1054" t="str">
        <f>"201712057135"</f>
        <v>201712057135</v>
      </c>
      <c r="G1054" t="str">
        <f>"Miscell"</f>
        <v>Miscell</v>
      </c>
      <c r="H1054" s="2">
        <v>6</v>
      </c>
      <c r="I1054" t="str">
        <f>"CHARLES LAMONT GREEN"</f>
        <v>CHARLES LAMONT GREEN</v>
      </c>
    </row>
    <row r="1055" spans="1:9" x14ac:dyDescent="0.3">
      <c r="A1055" t="str">
        <f t="shared" si="14"/>
        <v>1</v>
      </c>
      <c r="B1055" t="s">
        <v>329</v>
      </c>
      <c r="C1055">
        <v>74033</v>
      </c>
      <c r="D1055" s="2">
        <v>6</v>
      </c>
      <c r="E1055" s="1">
        <v>43074</v>
      </c>
      <c r="F1055" t="str">
        <f>"201712057136"</f>
        <v>201712057136</v>
      </c>
      <c r="G1055" t="str">
        <f>"Misce"</f>
        <v>Misce</v>
      </c>
      <c r="H1055" s="2">
        <v>6</v>
      </c>
      <c r="I1055" t="str">
        <f>"MARY PAULINE WILKERSON"</f>
        <v>MARY PAULINE WILKERSON</v>
      </c>
    </row>
    <row r="1056" spans="1:9" x14ac:dyDescent="0.3">
      <c r="A1056" t="str">
        <f t="shared" si="14"/>
        <v>1</v>
      </c>
      <c r="B1056" t="s">
        <v>330</v>
      </c>
      <c r="C1056">
        <v>74034</v>
      </c>
      <c r="D1056" s="2">
        <v>6</v>
      </c>
      <c r="E1056" s="1">
        <v>43074</v>
      </c>
      <c r="F1056" t="str">
        <f>"201712057137"</f>
        <v>201712057137</v>
      </c>
      <c r="G1056" t="str">
        <f>"Miscel"</f>
        <v>Miscel</v>
      </c>
      <c r="H1056" s="2">
        <v>6</v>
      </c>
      <c r="I1056" t="str">
        <f>"JEFFREY LOWELL WILLIS"</f>
        <v>JEFFREY LOWELL WILLIS</v>
      </c>
    </row>
    <row r="1057" spans="1:9" x14ac:dyDescent="0.3">
      <c r="A1057" t="str">
        <f t="shared" si="14"/>
        <v>1</v>
      </c>
      <c r="B1057" t="s">
        <v>331</v>
      </c>
      <c r="C1057">
        <v>74035</v>
      </c>
      <c r="D1057" s="2">
        <v>6</v>
      </c>
      <c r="E1057" s="1">
        <v>43074</v>
      </c>
      <c r="F1057" t="str">
        <f>"201712057138"</f>
        <v>201712057138</v>
      </c>
      <c r="G1057" t="str">
        <f>"Miscell"</f>
        <v>Miscell</v>
      </c>
      <c r="H1057" s="2">
        <v>6</v>
      </c>
      <c r="I1057" t="str">
        <f>"KATHRYN K CHIAPPETTA"</f>
        <v>KATHRYN K CHIAPPETTA</v>
      </c>
    </row>
    <row r="1058" spans="1:9" x14ac:dyDescent="0.3">
      <c r="A1058" t="str">
        <f t="shared" si="14"/>
        <v>1</v>
      </c>
      <c r="B1058" t="s">
        <v>332</v>
      </c>
      <c r="C1058">
        <v>74036</v>
      </c>
      <c r="D1058" s="2">
        <v>6</v>
      </c>
      <c r="E1058" s="1">
        <v>43074</v>
      </c>
      <c r="F1058" t="str">
        <f>"201712057139"</f>
        <v>201712057139</v>
      </c>
      <c r="G1058" t="str">
        <f>"Miscellaneo"</f>
        <v>Miscellaneo</v>
      </c>
      <c r="H1058" s="2">
        <v>6</v>
      </c>
      <c r="I1058" t="str">
        <f>"JAMES DALE HIBBS"</f>
        <v>JAMES DALE HIBBS</v>
      </c>
    </row>
    <row r="1059" spans="1:9" x14ac:dyDescent="0.3">
      <c r="A1059" t="str">
        <f t="shared" si="14"/>
        <v>1</v>
      </c>
      <c r="B1059" t="s">
        <v>333</v>
      </c>
      <c r="C1059">
        <v>74037</v>
      </c>
      <c r="D1059" s="2">
        <v>6</v>
      </c>
      <c r="E1059" s="1">
        <v>43074</v>
      </c>
      <c r="F1059" t="str">
        <f>"201712057140"</f>
        <v>201712057140</v>
      </c>
      <c r="G1059" t="str">
        <f>"Misc"</f>
        <v>Misc</v>
      </c>
      <c r="H1059" s="2">
        <v>6</v>
      </c>
      <c r="I1059" t="str">
        <f>"ERWIN HERMAN WALICEK JR"</f>
        <v>ERWIN HERMAN WALICEK JR</v>
      </c>
    </row>
    <row r="1060" spans="1:9" x14ac:dyDescent="0.3">
      <c r="A1060" t="str">
        <f t="shared" si="14"/>
        <v>1</v>
      </c>
      <c r="B1060" t="s">
        <v>334</v>
      </c>
      <c r="C1060">
        <v>74038</v>
      </c>
      <c r="D1060" s="2">
        <v>6</v>
      </c>
      <c r="E1060" s="1">
        <v>43074</v>
      </c>
      <c r="F1060" t="str">
        <f>"201712057141"</f>
        <v>201712057141</v>
      </c>
      <c r="G1060" t="str">
        <f>"Misce"</f>
        <v>Misce</v>
      </c>
      <c r="H1060" s="2">
        <v>6</v>
      </c>
      <c r="I1060" t="str">
        <f>"STEPHANIE LYNN NAVEJAS"</f>
        <v>STEPHANIE LYNN NAVEJAS</v>
      </c>
    </row>
    <row r="1061" spans="1:9" x14ac:dyDescent="0.3">
      <c r="A1061" t="str">
        <f t="shared" si="14"/>
        <v>1</v>
      </c>
      <c r="B1061" t="s">
        <v>335</v>
      </c>
      <c r="C1061">
        <v>74039</v>
      </c>
      <c r="D1061" s="2">
        <v>6</v>
      </c>
      <c r="E1061" s="1">
        <v>43074</v>
      </c>
      <c r="F1061" t="str">
        <f>"201712057142"</f>
        <v>201712057142</v>
      </c>
      <c r="G1061" t="str">
        <f>"Miscell"</f>
        <v>Miscell</v>
      </c>
      <c r="H1061" s="2">
        <v>6</v>
      </c>
      <c r="I1061" t="str">
        <f>"BRIAN SCOTT WACHHAUS"</f>
        <v>BRIAN SCOTT WACHHAUS</v>
      </c>
    </row>
    <row r="1062" spans="1:9" x14ac:dyDescent="0.3">
      <c r="A1062" t="str">
        <f t="shared" si="14"/>
        <v>1</v>
      </c>
      <c r="B1062" t="s">
        <v>336</v>
      </c>
      <c r="C1062">
        <v>74040</v>
      </c>
      <c r="D1062" s="2">
        <v>6</v>
      </c>
      <c r="E1062" s="1">
        <v>43074</v>
      </c>
      <c r="F1062" t="str">
        <f>"201712057143"</f>
        <v>201712057143</v>
      </c>
      <c r="G1062" t="str">
        <f>"Miscellan"</f>
        <v>Miscellan</v>
      </c>
      <c r="H1062" s="2">
        <v>6</v>
      </c>
      <c r="I1062" t="str">
        <f>"CLADIE MAE JOHNSON"</f>
        <v>CLADIE MAE JOHNSON</v>
      </c>
    </row>
    <row r="1063" spans="1:9" x14ac:dyDescent="0.3">
      <c r="A1063" t="str">
        <f t="shared" si="14"/>
        <v>1</v>
      </c>
      <c r="B1063" t="s">
        <v>337</v>
      </c>
      <c r="C1063">
        <v>74041</v>
      </c>
      <c r="D1063" s="2">
        <v>6</v>
      </c>
      <c r="E1063" s="1">
        <v>43074</v>
      </c>
      <c r="F1063" t="str">
        <f>"201712057144"</f>
        <v>201712057144</v>
      </c>
      <c r="G1063" t="str">
        <f>"Miscel"</f>
        <v>Miscel</v>
      </c>
      <c r="H1063" s="2">
        <v>6</v>
      </c>
      <c r="I1063" t="str">
        <f>"SHERRY ROBERTS LANDRY"</f>
        <v>SHERRY ROBERTS LANDRY</v>
      </c>
    </row>
    <row r="1064" spans="1:9" x14ac:dyDescent="0.3">
      <c r="A1064" t="str">
        <f t="shared" si="14"/>
        <v>1</v>
      </c>
      <c r="B1064" t="s">
        <v>338</v>
      </c>
      <c r="C1064">
        <v>74042</v>
      </c>
      <c r="D1064" s="2">
        <v>6</v>
      </c>
      <c r="E1064" s="1">
        <v>43074</v>
      </c>
      <c r="F1064" t="str">
        <f>"201712057145"</f>
        <v>201712057145</v>
      </c>
      <c r="G1064" t="str">
        <f>"Miscel"</f>
        <v>Miscel</v>
      </c>
      <c r="H1064" s="2">
        <v>6</v>
      </c>
      <c r="I1064" t="str">
        <f>"VIVIANO GIL ZUNIGA JR"</f>
        <v>VIVIANO GIL ZUNIGA JR</v>
      </c>
    </row>
    <row r="1065" spans="1:9" x14ac:dyDescent="0.3">
      <c r="A1065" t="str">
        <f t="shared" si="14"/>
        <v>1</v>
      </c>
      <c r="B1065" t="s">
        <v>339</v>
      </c>
      <c r="C1065">
        <v>74043</v>
      </c>
      <c r="D1065" s="2">
        <v>6</v>
      </c>
      <c r="E1065" s="1">
        <v>43074</v>
      </c>
      <c r="F1065" t="str">
        <f>"201712057146"</f>
        <v>201712057146</v>
      </c>
      <c r="G1065" t="str">
        <f>"Mi"</f>
        <v>Mi</v>
      </c>
      <c r="H1065" s="2">
        <v>6</v>
      </c>
      <c r="I1065" t="str">
        <f>"HENRY CHARLES ALGERMISSEN"</f>
        <v>HENRY CHARLES ALGERMISSEN</v>
      </c>
    </row>
    <row r="1066" spans="1:9" x14ac:dyDescent="0.3">
      <c r="A1066" t="str">
        <f t="shared" si="14"/>
        <v>1</v>
      </c>
      <c r="B1066" t="s">
        <v>340</v>
      </c>
      <c r="C1066">
        <v>74044</v>
      </c>
      <c r="D1066" s="2">
        <v>6</v>
      </c>
      <c r="E1066" s="1">
        <v>43074</v>
      </c>
      <c r="F1066" t="str">
        <f>"201712057147"</f>
        <v>201712057147</v>
      </c>
      <c r="G1066" t="str">
        <f>"Miscellan"</f>
        <v>Miscellan</v>
      </c>
      <c r="H1066" s="2">
        <v>6</v>
      </c>
      <c r="I1066" t="str">
        <f>"KAREN ANN PATRIDGE"</f>
        <v>KAREN ANN PATRIDGE</v>
      </c>
    </row>
    <row r="1067" spans="1:9" x14ac:dyDescent="0.3">
      <c r="A1067" t="str">
        <f t="shared" si="14"/>
        <v>1</v>
      </c>
      <c r="B1067" t="s">
        <v>341</v>
      </c>
      <c r="C1067">
        <v>74045</v>
      </c>
      <c r="D1067" s="2">
        <v>6</v>
      </c>
      <c r="E1067" s="1">
        <v>43074</v>
      </c>
      <c r="F1067" t="str">
        <f>"201712057148"</f>
        <v>201712057148</v>
      </c>
      <c r="G1067" t="str">
        <f>"Miscella"</f>
        <v>Miscella</v>
      </c>
      <c r="H1067" s="2">
        <v>6</v>
      </c>
      <c r="I1067" t="str">
        <f>"JAMES ANTHONY VOIGT"</f>
        <v>JAMES ANTHONY VOIGT</v>
      </c>
    </row>
    <row r="1068" spans="1:9" x14ac:dyDescent="0.3">
      <c r="A1068" t="str">
        <f t="shared" si="14"/>
        <v>1</v>
      </c>
      <c r="B1068" t="s">
        <v>342</v>
      </c>
      <c r="C1068">
        <v>74046</v>
      </c>
      <c r="D1068" s="2">
        <v>6</v>
      </c>
      <c r="E1068" s="1">
        <v>43074</v>
      </c>
      <c r="F1068" t="str">
        <f>"201712057149"</f>
        <v>201712057149</v>
      </c>
      <c r="G1068" t="str">
        <f>"Miscellaneou"</f>
        <v>Miscellaneou</v>
      </c>
      <c r="H1068" s="2">
        <v>6</v>
      </c>
      <c r="I1068" t="str">
        <f>"PENNI ANNE WOOD"</f>
        <v>PENNI ANNE WOOD</v>
      </c>
    </row>
    <row r="1069" spans="1:9" x14ac:dyDescent="0.3">
      <c r="A1069" t="str">
        <f t="shared" si="14"/>
        <v>1</v>
      </c>
      <c r="B1069" t="s">
        <v>343</v>
      </c>
      <c r="C1069">
        <v>74047</v>
      </c>
      <c r="D1069" s="2">
        <v>6</v>
      </c>
      <c r="E1069" s="1">
        <v>43074</v>
      </c>
      <c r="F1069" t="str">
        <f>"201712057150"</f>
        <v>201712057150</v>
      </c>
      <c r="G1069" t="str">
        <f>"Miscellan"</f>
        <v>Miscellan</v>
      </c>
      <c r="H1069" s="2">
        <v>6</v>
      </c>
      <c r="I1069" t="str">
        <f>"RALPH LEWIS HANSEN"</f>
        <v>RALPH LEWIS HANSEN</v>
      </c>
    </row>
    <row r="1070" spans="1:9" x14ac:dyDescent="0.3">
      <c r="A1070" t="str">
        <f t="shared" si="14"/>
        <v>1</v>
      </c>
      <c r="B1070" t="s">
        <v>344</v>
      </c>
      <c r="C1070">
        <v>74048</v>
      </c>
      <c r="D1070" s="2">
        <v>6</v>
      </c>
      <c r="E1070" s="1">
        <v>43074</v>
      </c>
      <c r="F1070" t="str">
        <f>"201712057151"</f>
        <v>201712057151</v>
      </c>
      <c r="G1070" t="str">
        <f>"Misce"</f>
        <v>Misce</v>
      </c>
      <c r="H1070" s="2">
        <v>6</v>
      </c>
      <c r="I1070" t="str">
        <f>"SUZANNE GIBSON MOGONYE"</f>
        <v>SUZANNE GIBSON MOGONYE</v>
      </c>
    </row>
    <row r="1071" spans="1:9" x14ac:dyDescent="0.3">
      <c r="A1071" t="str">
        <f t="shared" si="14"/>
        <v>1</v>
      </c>
      <c r="B1071" t="s">
        <v>345</v>
      </c>
      <c r="C1071">
        <v>74049</v>
      </c>
      <c r="D1071" s="2">
        <v>6</v>
      </c>
      <c r="E1071" s="1">
        <v>43074</v>
      </c>
      <c r="F1071" t="str">
        <f>"201712057152"</f>
        <v>201712057152</v>
      </c>
      <c r="G1071" t="str">
        <f>"Miscell"</f>
        <v>Miscell</v>
      </c>
      <c r="H1071" s="2">
        <v>6</v>
      </c>
      <c r="I1071" t="str">
        <f>"JAMAR GABRIEL PRINCE"</f>
        <v>JAMAR GABRIEL PRINCE</v>
      </c>
    </row>
    <row r="1072" spans="1:9" x14ac:dyDescent="0.3">
      <c r="A1072" t="str">
        <f t="shared" si="14"/>
        <v>1</v>
      </c>
      <c r="B1072" t="s">
        <v>346</v>
      </c>
      <c r="C1072">
        <v>74050</v>
      </c>
      <c r="D1072" s="2">
        <v>6</v>
      </c>
      <c r="E1072" s="1">
        <v>43074</v>
      </c>
      <c r="F1072" t="str">
        <f>"201712057153"</f>
        <v>201712057153</v>
      </c>
      <c r="G1072" t="str">
        <f>"Misce"</f>
        <v>Misce</v>
      </c>
      <c r="H1072" s="2">
        <v>6</v>
      </c>
      <c r="I1072" t="str">
        <f>"JACQUELINE S HERNANDEZ"</f>
        <v>JACQUELINE S HERNANDEZ</v>
      </c>
    </row>
    <row r="1073" spans="1:9" x14ac:dyDescent="0.3">
      <c r="A1073" t="str">
        <f t="shared" si="14"/>
        <v>1</v>
      </c>
      <c r="B1073" t="s">
        <v>347</v>
      </c>
      <c r="C1073">
        <v>74051</v>
      </c>
      <c r="D1073" s="2">
        <v>6</v>
      </c>
      <c r="E1073" s="1">
        <v>43074</v>
      </c>
      <c r="F1073" t="str">
        <f>"201712057154"</f>
        <v>201712057154</v>
      </c>
      <c r="G1073" t="str">
        <f>"Mis"</f>
        <v>Mis</v>
      </c>
      <c r="H1073" s="2">
        <v>6</v>
      </c>
      <c r="I1073" t="str">
        <f>"MATTHEW W KUYKENDALL III"</f>
        <v>MATTHEW W KUYKENDALL III</v>
      </c>
    </row>
    <row r="1074" spans="1:9" x14ac:dyDescent="0.3">
      <c r="A1074" t="str">
        <f t="shared" si="14"/>
        <v>1</v>
      </c>
      <c r="B1074" t="s">
        <v>295</v>
      </c>
      <c r="C1074">
        <v>74513</v>
      </c>
      <c r="D1074" s="2">
        <v>72</v>
      </c>
      <c r="E1074" s="1">
        <v>43097</v>
      </c>
      <c r="F1074" t="str">
        <f>"201712287509"</f>
        <v>201712287509</v>
      </c>
      <c r="G1074" t="str">
        <f>"M"</f>
        <v>M</v>
      </c>
      <c r="H1074" s="2">
        <v>72</v>
      </c>
      <c r="I1074" t="str">
        <f>"Children's Advocacy Center"</f>
        <v>Children's Advocacy Center</v>
      </c>
    </row>
    <row r="1075" spans="1:9" x14ac:dyDescent="0.3">
      <c r="A1075" t="str">
        <f t="shared" si="14"/>
        <v>1</v>
      </c>
      <c r="B1075" t="s">
        <v>298</v>
      </c>
      <c r="C1075">
        <v>74514</v>
      </c>
      <c r="D1075" s="2">
        <v>102</v>
      </c>
      <c r="E1075" s="1">
        <v>43097</v>
      </c>
      <c r="F1075" t="str">
        <f>"201712287510"</f>
        <v>201712287510</v>
      </c>
      <c r="G1075" t="str">
        <f>"Miscell"</f>
        <v>Miscell</v>
      </c>
      <c r="H1075" s="2">
        <v>102</v>
      </c>
      <c r="I1075" t="str">
        <f>"Family Crisis Center"</f>
        <v>Family Crisis Center</v>
      </c>
    </row>
    <row r="1076" spans="1:9" x14ac:dyDescent="0.3">
      <c r="A1076" t="str">
        <f t="shared" si="14"/>
        <v>1</v>
      </c>
      <c r="B1076" t="s">
        <v>296</v>
      </c>
      <c r="C1076">
        <v>74515</v>
      </c>
      <c r="D1076" s="2">
        <v>36</v>
      </c>
      <c r="E1076" s="1">
        <v>43097</v>
      </c>
      <c r="F1076" t="str">
        <f>"201712287511"</f>
        <v>201712287511</v>
      </c>
      <c r="G1076" t="str">
        <f>""</f>
        <v/>
      </c>
      <c r="H1076" s="2">
        <v>36</v>
      </c>
      <c r="I1076" t="str">
        <f>"COURT APPOINTED SPECIAL ADVOCA"</f>
        <v>COURT APPOINTED SPECIAL ADVOCA</v>
      </c>
    </row>
    <row r="1077" spans="1:9" x14ac:dyDescent="0.3">
      <c r="A1077" t="str">
        <f t="shared" si="14"/>
        <v>1</v>
      </c>
      <c r="B1077" t="s">
        <v>297</v>
      </c>
      <c r="C1077">
        <v>74516</v>
      </c>
      <c r="D1077" s="2">
        <v>60</v>
      </c>
      <c r="E1077" s="1">
        <v>43097</v>
      </c>
      <c r="F1077" t="str">
        <f>"201712287512"</f>
        <v>201712287512</v>
      </c>
      <c r="G1077" t="str">
        <f>"Mi"</f>
        <v>Mi</v>
      </c>
      <c r="H1077" s="2">
        <v>60</v>
      </c>
      <c r="I1077" t="str">
        <f>"Child Protective Services"</f>
        <v>Child Protective Services</v>
      </c>
    </row>
    <row r="1078" spans="1:9" x14ac:dyDescent="0.3">
      <c r="A1078" t="str">
        <f t="shared" si="14"/>
        <v>1</v>
      </c>
      <c r="B1078" t="s">
        <v>348</v>
      </c>
      <c r="C1078">
        <v>74517</v>
      </c>
      <c r="D1078" s="2">
        <v>6</v>
      </c>
      <c r="E1078" s="1">
        <v>43097</v>
      </c>
      <c r="F1078" t="str">
        <f>"201712287513"</f>
        <v>201712287513</v>
      </c>
      <c r="G1078" t="str">
        <f>"Misce"</f>
        <v>Misce</v>
      </c>
      <c r="H1078" s="2">
        <v>6</v>
      </c>
      <c r="I1078" t="str">
        <f>"RENEE ALEXANDRA DUCLOS"</f>
        <v>RENEE ALEXANDRA DUCLOS</v>
      </c>
    </row>
    <row r="1079" spans="1:9" x14ac:dyDescent="0.3">
      <c r="A1079" t="str">
        <f t="shared" si="14"/>
        <v>1</v>
      </c>
      <c r="B1079" t="s">
        <v>349</v>
      </c>
      <c r="C1079">
        <v>74518</v>
      </c>
      <c r="D1079" s="2">
        <v>6</v>
      </c>
      <c r="E1079" s="1">
        <v>43097</v>
      </c>
      <c r="F1079" t="str">
        <f>"201712287514"</f>
        <v>201712287514</v>
      </c>
      <c r="G1079" t="str">
        <f>"Miscellaneo"</f>
        <v>Miscellaneo</v>
      </c>
      <c r="H1079" s="2">
        <v>6</v>
      </c>
      <c r="I1079" t="str">
        <f>"JAMES M RATHMANN"</f>
        <v>JAMES M RATHMANN</v>
      </c>
    </row>
    <row r="1080" spans="1:9" x14ac:dyDescent="0.3">
      <c r="A1080" t="str">
        <f t="shared" si="14"/>
        <v>1</v>
      </c>
      <c r="B1080" t="s">
        <v>350</v>
      </c>
      <c r="C1080">
        <v>74519</v>
      </c>
      <c r="D1080" s="2">
        <v>6</v>
      </c>
      <c r="E1080" s="1">
        <v>43097</v>
      </c>
      <c r="F1080" t="str">
        <f>"201712287515"</f>
        <v>201712287515</v>
      </c>
      <c r="G1080" t="str">
        <f>"Misce"</f>
        <v>Misce</v>
      </c>
      <c r="H1080" s="2">
        <v>6</v>
      </c>
      <c r="I1080" t="str">
        <f>"VICTOR ROBERT PROCHNOW"</f>
        <v>VICTOR ROBERT PROCHNOW</v>
      </c>
    </row>
    <row r="1081" spans="1:9" x14ac:dyDescent="0.3">
      <c r="A1081" t="str">
        <f t="shared" si="14"/>
        <v>1</v>
      </c>
      <c r="B1081" t="s">
        <v>351</v>
      </c>
      <c r="C1081">
        <v>74520</v>
      </c>
      <c r="D1081" s="2">
        <v>6</v>
      </c>
      <c r="E1081" s="1">
        <v>43097</v>
      </c>
      <c r="F1081" t="str">
        <f>"201712287516"</f>
        <v>201712287516</v>
      </c>
      <c r="G1081" t="str">
        <f>"Mis"</f>
        <v>Mis</v>
      </c>
      <c r="H1081" s="2">
        <v>6</v>
      </c>
      <c r="I1081" t="str">
        <f>"RICHARD WILLIAM GUENTHER"</f>
        <v>RICHARD WILLIAM GUENTHER</v>
      </c>
    </row>
    <row r="1082" spans="1:9" x14ac:dyDescent="0.3">
      <c r="A1082" t="str">
        <f t="shared" si="14"/>
        <v>1</v>
      </c>
      <c r="B1082" t="s">
        <v>352</v>
      </c>
      <c r="C1082">
        <v>74521</v>
      </c>
      <c r="D1082" s="2">
        <v>6</v>
      </c>
      <c r="E1082" s="1">
        <v>43097</v>
      </c>
      <c r="F1082" t="str">
        <f>"201712287517"</f>
        <v>201712287517</v>
      </c>
      <c r="G1082" t="str">
        <f>"Miscellan"</f>
        <v>Miscellan</v>
      </c>
      <c r="H1082" s="2">
        <v>6</v>
      </c>
      <c r="I1082" t="str">
        <f>"YVONNE S PRITCHARD"</f>
        <v>YVONNE S PRITCHARD</v>
      </c>
    </row>
    <row r="1083" spans="1:9" x14ac:dyDescent="0.3">
      <c r="A1083" t="str">
        <f t="shared" si="14"/>
        <v>1</v>
      </c>
      <c r="B1083" t="s">
        <v>353</v>
      </c>
      <c r="C1083">
        <v>74522</v>
      </c>
      <c r="D1083" s="2">
        <v>6</v>
      </c>
      <c r="E1083" s="1">
        <v>43097</v>
      </c>
      <c r="F1083" t="str">
        <f>"201712287518"</f>
        <v>201712287518</v>
      </c>
      <c r="G1083" t="str">
        <f>"Miscellane"</f>
        <v>Miscellane</v>
      </c>
      <c r="H1083" s="2">
        <v>6</v>
      </c>
      <c r="I1083" t="str">
        <f>"MICHAEL RAY RENCK"</f>
        <v>MICHAEL RAY RENCK</v>
      </c>
    </row>
    <row r="1084" spans="1:9" x14ac:dyDescent="0.3">
      <c r="A1084" t="str">
        <f t="shared" si="14"/>
        <v>1</v>
      </c>
      <c r="B1084" t="s">
        <v>354</v>
      </c>
      <c r="C1084">
        <v>74523</v>
      </c>
      <c r="D1084" s="2">
        <v>6</v>
      </c>
      <c r="E1084" s="1">
        <v>43097</v>
      </c>
      <c r="F1084" t="str">
        <f>"201712287519"</f>
        <v>201712287519</v>
      </c>
      <c r="G1084" t="str">
        <f>"Mis"</f>
        <v>Mis</v>
      </c>
      <c r="H1084" s="2">
        <v>6</v>
      </c>
      <c r="I1084" t="str">
        <f>"JUDITH LEHMANN BOETTCHER"</f>
        <v>JUDITH LEHMANN BOETTCHER</v>
      </c>
    </row>
    <row r="1085" spans="1:9" x14ac:dyDescent="0.3">
      <c r="A1085" t="str">
        <f t="shared" ref="A1085:A1116" si="15">"1"</f>
        <v>1</v>
      </c>
      <c r="B1085" t="s">
        <v>355</v>
      </c>
      <c r="C1085">
        <v>74524</v>
      </c>
      <c r="D1085" s="2">
        <v>6</v>
      </c>
      <c r="E1085" s="1">
        <v>43097</v>
      </c>
      <c r="F1085" t="str">
        <f>"201712287520"</f>
        <v>201712287520</v>
      </c>
      <c r="G1085" t="str">
        <f>"Miscellan"</f>
        <v>Miscellan</v>
      </c>
      <c r="H1085" s="2">
        <v>6</v>
      </c>
      <c r="I1085" t="str">
        <f>"GARY WILLIAM KLAUS"</f>
        <v>GARY WILLIAM KLAUS</v>
      </c>
    </row>
    <row r="1086" spans="1:9" x14ac:dyDescent="0.3">
      <c r="A1086" t="str">
        <f t="shared" si="15"/>
        <v>1</v>
      </c>
      <c r="B1086" t="s">
        <v>356</v>
      </c>
      <c r="C1086">
        <v>74525</v>
      </c>
      <c r="D1086" s="2">
        <v>6</v>
      </c>
      <c r="E1086" s="1">
        <v>43097</v>
      </c>
      <c r="F1086" t="str">
        <f>"201712287521"</f>
        <v>201712287521</v>
      </c>
      <c r="G1086" t="str">
        <f>"Miscel"</f>
        <v>Miscel</v>
      </c>
      <c r="H1086" s="2">
        <v>6</v>
      </c>
      <c r="I1086" t="str">
        <f>"PATRICIA DAVIS KAISER"</f>
        <v>PATRICIA DAVIS KAISER</v>
      </c>
    </row>
    <row r="1087" spans="1:9" x14ac:dyDescent="0.3">
      <c r="A1087" t="str">
        <f t="shared" si="15"/>
        <v>1</v>
      </c>
      <c r="B1087" t="s">
        <v>357</v>
      </c>
      <c r="C1087">
        <v>74526</v>
      </c>
      <c r="D1087" s="2">
        <v>6</v>
      </c>
      <c r="E1087" s="1">
        <v>43097</v>
      </c>
      <c r="F1087" t="str">
        <f>"201712287522"</f>
        <v>201712287522</v>
      </c>
      <c r="G1087" t="str">
        <f>"Miscella"</f>
        <v>Miscella</v>
      </c>
      <c r="H1087" s="2">
        <v>6</v>
      </c>
      <c r="I1087" t="str">
        <f>"THOMAS FRANCIS BECK"</f>
        <v>THOMAS FRANCIS BECK</v>
      </c>
    </row>
    <row r="1088" spans="1:9" x14ac:dyDescent="0.3">
      <c r="A1088" t="str">
        <f t="shared" si="15"/>
        <v>1</v>
      </c>
      <c r="B1088" t="s">
        <v>358</v>
      </c>
      <c r="C1088">
        <v>74527</v>
      </c>
      <c r="D1088" s="2">
        <v>6</v>
      </c>
      <c r="E1088" s="1">
        <v>43097</v>
      </c>
      <c r="F1088" t="str">
        <f>"201712287523"</f>
        <v>201712287523</v>
      </c>
      <c r="G1088" t="str">
        <f>"Miscellaneou"</f>
        <v>Miscellaneou</v>
      </c>
      <c r="H1088" s="2">
        <v>6</v>
      </c>
      <c r="I1088" t="str">
        <f>"LOURDES I MAIER"</f>
        <v>LOURDES I MAIER</v>
      </c>
    </row>
    <row r="1089" spans="1:9" x14ac:dyDescent="0.3">
      <c r="A1089" t="str">
        <f t="shared" si="15"/>
        <v>1</v>
      </c>
      <c r="B1089" t="s">
        <v>359</v>
      </c>
      <c r="C1089">
        <v>74528</v>
      </c>
      <c r="D1089" s="2">
        <v>6</v>
      </c>
      <c r="E1089" s="1">
        <v>43097</v>
      </c>
      <c r="F1089" t="str">
        <f>"201712287524"</f>
        <v>201712287524</v>
      </c>
      <c r="G1089" t="str">
        <f>"Miscel"</f>
        <v>Miscel</v>
      </c>
      <c r="H1089" s="2">
        <v>6</v>
      </c>
      <c r="I1089" t="str">
        <f>"SANDRA LETICIA NANYES"</f>
        <v>SANDRA LETICIA NANYES</v>
      </c>
    </row>
    <row r="1090" spans="1:9" x14ac:dyDescent="0.3">
      <c r="A1090" t="str">
        <f t="shared" si="15"/>
        <v>1</v>
      </c>
      <c r="B1090" t="s">
        <v>360</v>
      </c>
      <c r="C1090">
        <v>74529</v>
      </c>
      <c r="D1090" s="2">
        <v>6</v>
      </c>
      <c r="E1090" s="1">
        <v>43097</v>
      </c>
      <c r="F1090" t="str">
        <f>"201712287525"</f>
        <v>201712287525</v>
      </c>
      <c r="G1090" t="str">
        <f>"Miscel"</f>
        <v>Miscel</v>
      </c>
      <c r="H1090" s="2">
        <v>6</v>
      </c>
      <c r="I1090" t="str">
        <f>"DOUGLAS BRYAN MCDILDA"</f>
        <v>DOUGLAS BRYAN MCDILDA</v>
      </c>
    </row>
    <row r="1091" spans="1:9" x14ac:dyDescent="0.3">
      <c r="A1091" t="str">
        <f t="shared" si="15"/>
        <v>1</v>
      </c>
      <c r="B1091" t="s">
        <v>361</v>
      </c>
      <c r="C1091">
        <v>74530</v>
      </c>
      <c r="D1091" s="2">
        <v>6</v>
      </c>
      <c r="E1091" s="1">
        <v>43097</v>
      </c>
      <c r="F1091" t="str">
        <f>"201712287526"</f>
        <v>201712287526</v>
      </c>
      <c r="G1091" t="str">
        <f>"Miscell"</f>
        <v>Miscell</v>
      </c>
      <c r="H1091" s="2">
        <v>6</v>
      </c>
      <c r="I1091" t="str">
        <f>"ELAINE MORROW MARTIN"</f>
        <v>ELAINE MORROW MARTIN</v>
      </c>
    </row>
    <row r="1092" spans="1:9" x14ac:dyDescent="0.3">
      <c r="A1092" t="str">
        <f t="shared" si="15"/>
        <v>1</v>
      </c>
      <c r="B1092" t="s">
        <v>362</v>
      </c>
      <c r="C1092">
        <v>74531</v>
      </c>
      <c r="D1092" s="2">
        <v>6</v>
      </c>
      <c r="E1092" s="1">
        <v>43097</v>
      </c>
      <c r="F1092" t="str">
        <f>"201712287527"</f>
        <v>201712287527</v>
      </c>
      <c r="G1092" t="str">
        <f>"Miscellane"</f>
        <v>Miscellane</v>
      </c>
      <c r="H1092" s="2">
        <v>6</v>
      </c>
      <c r="I1092" t="str">
        <f>"SUSAN KAY PRIHODA"</f>
        <v>SUSAN KAY PRIHODA</v>
      </c>
    </row>
    <row r="1093" spans="1:9" x14ac:dyDescent="0.3">
      <c r="A1093" t="str">
        <f t="shared" si="15"/>
        <v>1</v>
      </c>
      <c r="B1093" t="s">
        <v>363</v>
      </c>
      <c r="C1093">
        <v>74532</v>
      </c>
      <c r="D1093" s="2">
        <v>6</v>
      </c>
      <c r="E1093" s="1">
        <v>43097</v>
      </c>
      <c r="F1093" t="str">
        <f>"201712287528"</f>
        <v>201712287528</v>
      </c>
      <c r="G1093" t="str">
        <f>"Miscellan"</f>
        <v>Miscellan</v>
      </c>
      <c r="H1093" s="2">
        <v>6</v>
      </c>
      <c r="I1093" t="str">
        <f>"CLIFFORD MARK KLYM"</f>
        <v>CLIFFORD MARK KLYM</v>
      </c>
    </row>
    <row r="1094" spans="1:9" x14ac:dyDescent="0.3">
      <c r="A1094" t="str">
        <f t="shared" si="15"/>
        <v>1</v>
      </c>
      <c r="B1094" t="s">
        <v>364</v>
      </c>
      <c r="C1094">
        <v>74533</v>
      </c>
      <c r="D1094" s="2">
        <v>6</v>
      </c>
      <c r="E1094" s="1">
        <v>43097</v>
      </c>
      <c r="F1094" t="str">
        <f>"201712287529"</f>
        <v>201712287529</v>
      </c>
      <c r="G1094" t="str">
        <f>"Misce"</f>
        <v>Misce</v>
      </c>
      <c r="H1094" s="2">
        <v>6</v>
      </c>
      <c r="I1094" t="str">
        <f>"GAROLD FRANKLIN SHREVE"</f>
        <v>GAROLD FRANKLIN SHREVE</v>
      </c>
    </row>
    <row r="1095" spans="1:9" x14ac:dyDescent="0.3">
      <c r="A1095" t="str">
        <f t="shared" si="15"/>
        <v>1</v>
      </c>
      <c r="B1095" t="s">
        <v>365</v>
      </c>
      <c r="C1095">
        <v>74534</v>
      </c>
      <c r="D1095" s="2">
        <v>6</v>
      </c>
      <c r="E1095" s="1">
        <v>43097</v>
      </c>
      <c r="F1095" t="str">
        <f>"201712287530"</f>
        <v>201712287530</v>
      </c>
      <c r="G1095" t="str">
        <f>"Miscell"</f>
        <v>Miscell</v>
      </c>
      <c r="H1095" s="2">
        <v>6</v>
      </c>
      <c r="I1095" t="str">
        <f>"ALFRED EARL PHILLIPS"</f>
        <v>ALFRED EARL PHILLIPS</v>
      </c>
    </row>
    <row r="1096" spans="1:9" x14ac:dyDescent="0.3">
      <c r="A1096" t="str">
        <f t="shared" si="15"/>
        <v>1</v>
      </c>
      <c r="B1096" t="s">
        <v>366</v>
      </c>
      <c r="C1096">
        <v>74535</v>
      </c>
      <c r="D1096" s="2">
        <v>6</v>
      </c>
      <c r="E1096" s="1">
        <v>43097</v>
      </c>
      <c r="F1096" t="str">
        <f>"201712287531"</f>
        <v>201712287531</v>
      </c>
      <c r="G1096" t="str">
        <f>"Miscella"</f>
        <v>Miscella</v>
      </c>
      <c r="H1096" s="2">
        <v>6</v>
      </c>
      <c r="I1096" t="str">
        <f>"MICHAEL LEE PRESLEY"</f>
        <v>MICHAEL LEE PRESLEY</v>
      </c>
    </row>
    <row r="1097" spans="1:9" x14ac:dyDescent="0.3">
      <c r="A1097" t="str">
        <f t="shared" si="15"/>
        <v>1</v>
      </c>
      <c r="B1097" t="s">
        <v>367</v>
      </c>
      <c r="C1097">
        <v>74536</v>
      </c>
      <c r="D1097" s="2">
        <v>6</v>
      </c>
      <c r="E1097" s="1">
        <v>43097</v>
      </c>
      <c r="F1097" t="str">
        <f>"201712287532"</f>
        <v>201712287532</v>
      </c>
      <c r="G1097" t="str">
        <f>"Mi"</f>
        <v>Mi</v>
      </c>
      <c r="H1097" s="2">
        <v>6</v>
      </c>
      <c r="I1097" t="str">
        <f>"LAUREN MICHELLE PATTERSON"</f>
        <v>LAUREN MICHELLE PATTERSON</v>
      </c>
    </row>
    <row r="1098" spans="1:9" x14ac:dyDescent="0.3">
      <c r="A1098" t="str">
        <f t="shared" si="15"/>
        <v>1</v>
      </c>
      <c r="B1098" t="s">
        <v>368</v>
      </c>
      <c r="C1098">
        <v>74537</v>
      </c>
      <c r="D1098" s="2">
        <v>6</v>
      </c>
      <c r="E1098" s="1">
        <v>43097</v>
      </c>
      <c r="F1098" t="str">
        <f>"201712287533"</f>
        <v>201712287533</v>
      </c>
      <c r="G1098" t="str">
        <f>"Misc"</f>
        <v>Misc</v>
      </c>
      <c r="H1098" s="2">
        <v>6</v>
      </c>
      <c r="I1098" t="str">
        <f>"BECKY HAVERLAND BEHREND"</f>
        <v>BECKY HAVERLAND BEHREND</v>
      </c>
    </row>
    <row r="1099" spans="1:9" x14ac:dyDescent="0.3">
      <c r="A1099" t="str">
        <f t="shared" si="15"/>
        <v>1</v>
      </c>
      <c r="B1099" t="s">
        <v>369</v>
      </c>
      <c r="C1099">
        <v>74538</v>
      </c>
      <c r="D1099" s="2">
        <v>6</v>
      </c>
      <c r="E1099" s="1">
        <v>43097</v>
      </c>
      <c r="F1099" t="str">
        <f>"201712287534"</f>
        <v>201712287534</v>
      </c>
      <c r="G1099" t="str">
        <f>"Mis"</f>
        <v>Mis</v>
      </c>
      <c r="H1099" s="2">
        <v>6</v>
      </c>
      <c r="I1099" t="str">
        <f>"JENNIFER GAIL RICHARDSON"</f>
        <v>JENNIFER GAIL RICHARDSON</v>
      </c>
    </row>
    <row r="1100" spans="1:9" x14ac:dyDescent="0.3">
      <c r="A1100" t="str">
        <f t="shared" si="15"/>
        <v>1</v>
      </c>
      <c r="B1100" t="s">
        <v>370</v>
      </c>
      <c r="C1100">
        <v>74539</v>
      </c>
      <c r="D1100" s="2">
        <v>6</v>
      </c>
      <c r="E1100" s="1">
        <v>43097</v>
      </c>
      <c r="F1100" t="str">
        <f>"201712287535"</f>
        <v>201712287535</v>
      </c>
      <c r="G1100" t="str">
        <f>"Miscella"</f>
        <v>Miscella</v>
      </c>
      <c r="H1100" s="2">
        <v>6</v>
      </c>
      <c r="I1100" t="str">
        <f>"MARY LOU HARRIS-RAY"</f>
        <v>MARY LOU HARRIS-RAY</v>
      </c>
    </row>
    <row r="1101" spans="1:9" x14ac:dyDescent="0.3">
      <c r="A1101" t="str">
        <f t="shared" si="15"/>
        <v>1</v>
      </c>
      <c r="B1101" t="s">
        <v>371</v>
      </c>
      <c r="C1101">
        <v>74540</v>
      </c>
      <c r="D1101" s="2">
        <v>6</v>
      </c>
      <c r="E1101" s="1">
        <v>43097</v>
      </c>
      <c r="F1101" t="str">
        <f>"201712287536"</f>
        <v>201712287536</v>
      </c>
      <c r="G1101" t="str">
        <f>"Miscel"</f>
        <v>Miscel</v>
      </c>
      <c r="H1101" s="2">
        <v>6</v>
      </c>
      <c r="I1101" t="str">
        <f>"ALLEN CLAIR BETTIS JR"</f>
        <v>ALLEN CLAIR BETTIS JR</v>
      </c>
    </row>
    <row r="1102" spans="1:9" x14ac:dyDescent="0.3">
      <c r="A1102" t="str">
        <f t="shared" si="15"/>
        <v>1</v>
      </c>
      <c r="B1102" t="s">
        <v>372</v>
      </c>
      <c r="C1102">
        <v>74541</v>
      </c>
      <c r="D1102" s="2">
        <v>6</v>
      </c>
      <c r="E1102" s="1">
        <v>43097</v>
      </c>
      <c r="F1102" t="str">
        <f>"201712287537"</f>
        <v>201712287537</v>
      </c>
      <c r="G1102" t="str">
        <f>"Miscellan"</f>
        <v>Miscellan</v>
      </c>
      <c r="H1102" s="2">
        <v>6</v>
      </c>
      <c r="I1102" t="str">
        <f>"BYRA RENO ANDERSON"</f>
        <v>BYRA RENO ANDERSON</v>
      </c>
    </row>
    <row r="1103" spans="1:9" x14ac:dyDescent="0.3">
      <c r="A1103" t="str">
        <f t="shared" si="15"/>
        <v>1</v>
      </c>
      <c r="B1103" t="s">
        <v>373</v>
      </c>
      <c r="C1103">
        <v>74542</v>
      </c>
      <c r="D1103" s="2">
        <v>6</v>
      </c>
      <c r="E1103" s="1">
        <v>43097</v>
      </c>
      <c r="F1103" t="str">
        <f>"201712287538"</f>
        <v>201712287538</v>
      </c>
      <c r="G1103" t="str">
        <f>"Miscellaneous"</f>
        <v>Miscellaneous</v>
      </c>
      <c r="H1103" s="2">
        <v>6</v>
      </c>
      <c r="I1103" t="str">
        <f>"LARRY ESPINOZA"</f>
        <v>LARRY ESPINOZA</v>
      </c>
    </row>
    <row r="1104" spans="1:9" x14ac:dyDescent="0.3">
      <c r="A1104" t="str">
        <f t="shared" si="15"/>
        <v>1</v>
      </c>
      <c r="B1104" t="s">
        <v>374</v>
      </c>
      <c r="C1104">
        <v>74543</v>
      </c>
      <c r="D1104" s="2">
        <v>6</v>
      </c>
      <c r="E1104" s="1">
        <v>43097</v>
      </c>
      <c r="F1104" t="str">
        <f>"201712287539"</f>
        <v>201712287539</v>
      </c>
      <c r="G1104" t="str">
        <f>"Miscellane"</f>
        <v>Miscellane</v>
      </c>
      <c r="H1104" s="2">
        <v>6</v>
      </c>
      <c r="I1104" t="str">
        <f>"FLOYD WAYNE BOWEN"</f>
        <v>FLOYD WAYNE BOWEN</v>
      </c>
    </row>
    <row r="1105" spans="1:9" x14ac:dyDescent="0.3">
      <c r="A1105" t="str">
        <f t="shared" si="15"/>
        <v>1</v>
      </c>
      <c r="B1105" t="s">
        <v>375</v>
      </c>
      <c r="C1105">
        <v>74544</v>
      </c>
      <c r="D1105" s="2">
        <v>6</v>
      </c>
      <c r="E1105" s="1">
        <v>43097</v>
      </c>
      <c r="F1105" t="str">
        <f>"201712287540"</f>
        <v>201712287540</v>
      </c>
      <c r="G1105" t="str">
        <f>"Misc"</f>
        <v>Misc</v>
      </c>
      <c r="H1105" s="2">
        <v>6</v>
      </c>
      <c r="I1105" t="str">
        <f>"WILLIAM PATRICK HOLCOMB"</f>
        <v>WILLIAM PATRICK HOLCOMB</v>
      </c>
    </row>
    <row r="1106" spans="1:9" x14ac:dyDescent="0.3">
      <c r="A1106" t="str">
        <f t="shared" si="15"/>
        <v>1</v>
      </c>
      <c r="B1106" t="s">
        <v>376</v>
      </c>
      <c r="C1106">
        <v>74545</v>
      </c>
      <c r="D1106" s="2">
        <v>6</v>
      </c>
      <c r="E1106" s="1">
        <v>43097</v>
      </c>
      <c r="F1106" t="str">
        <f>"201712287541"</f>
        <v>201712287541</v>
      </c>
      <c r="G1106" t="str">
        <f>"Misce"</f>
        <v>Misce</v>
      </c>
      <c r="H1106" s="2">
        <v>6</v>
      </c>
      <c r="I1106" t="str">
        <f>"CYNTHIA YVONNE JACKSON"</f>
        <v>CYNTHIA YVONNE JACKSON</v>
      </c>
    </row>
    <row r="1107" spans="1:9" x14ac:dyDescent="0.3">
      <c r="A1107" t="str">
        <f t="shared" si="15"/>
        <v>1</v>
      </c>
      <c r="B1107" t="s">
        <v>377</v>
      </c>
      <c r="C1107">
        <v>74546</v>
      </c>
      <c r="D1107" s="2">
        <v>6</v>
      </c>
      <c r="E1107" s="1">
        <v>43097</v>
      </c>
      <c r="F1107" t="str">
        <f>"201712287542"</f>
        <v>201712287542</v>
      </c>
      <c r="G1107" t="str">
        <f>"Miscell"</f>
        <v>Miscell</v>
      </c>
      <c r="H1107" s="2">
        <v>6</v>
      </c>
      <c r="I1107" t="str">
        <f>"MEREDITH LEIGH COMBS"</f>
        <v>MEREDITH LEIGH COMBS</v>
      </c>
    </row>
    <row r="1108" spans="1:9" x14ac:dyDescent="0.3">
      <c r="A1108" t="str">
        <f t="shared" si="15"/>
        <v>1</v>
      </c>
      <c r="B1108" t="s">
        <v>378</v>
      </c>
      <c r="C1108">
        <v>74547</v>
      </c>
      <c r="D1108" s="2">
        <v>6</v>
      </c>
      <c r="E1108" s="1">
        <v>43097</v>
      </c>
      <c r="F1108" t="str">
        <f>"201712287543"</f>
        <v>201712287543</v>
      </c>
      <c r="G1108" t="str">
        <f>"Miscellan"</f>
        <v>Miscellan</v>
      </c>
      <c r="H1108" s="2">
        <v>6</v>
      </c>
      <c r="I1108" t="str">
        <f>"ROSS DUANE JOHNSON"</f>
        <v>ROSS DUANE JOHNSON</v>
      </c>
    </row>
    <row r="1109" spans="1:9" x14ac:dyDescent="0.3">
      <c r="A1109" t="str">
        <f t="shared" si="15"/>
        <v>1</v>
      </c>
      <c r="B1109" t="s">
        <v>379</v>
      </c>
      <c r="C1109">
        <v>74548</v>
      </c>
      <c r="D1109" s="2">
        <v>6</v>
      </c>
      <c r="E1109" s="1">
        <v>43097</v>
      </c>
      <c r="F1109" t="str">
        <f>"201712287544"</f>
        <v>201712287544</v>
      </c>
      <c r="G1109" t="str">
        <f>"Miscellan"</f>
        <v>Miscellan</v>
      </c>
      <c r="H1109" s="2">
        <v>6</v>
      </c>
      <c r="I1109" t="str">
        <f>"GARY LANE ROBINSON"</f>
        <v>GARY LANE ROBINSON</v>
      </c>
    </row>
    <row r="1110" spans="1:9" x14ac:dyDescent="0.3">
      <c r="A1110" t="str">
        <f t="shared" si="15"/>
        <v>1</v>
      </c>
      <c r="B1110" t="s">
        <v>380</v>
      </c>
      <c r="C1110">
        <v>74549</v>
      </c>
      <c r="D1110" s="2">
        <v>6</v>
      </c>
      <c r="E1110" s="1">
        <v>43097</v>
      </c>
      <c r="F1110" t="str">
        <f>"201712287545"</f>
        <v>201712287545</v>
      </c>
      <c r="G1110" t="str">
        <f>"Miscellaneou"</f>
        <v>Miscellaneou</v>
      </c>
      <c r="H1110" s="2">
        <v>6</v>
      </c>
      <c r="I1110" t="str">
        <f>"ADAM PAUL ADAMS"</f>
        <v>ADAM PAUL ADAMS</v>
      </c>
    </row>
    <row r="1111" spans="1:9" x14ac:dyDescent="0.3">
      <c r="A1111" t="str">
        <f t="shared" si="15"/>
        <v>1</v>
      </c>
      <c r="B1111" t="s">
        <v>381</v>
      </c>
      <c r="C1111">
        <v>74550</v>
      </c>
      <c r="D1111" s="2">
        <v>6</v>
      </c>
      <c r="E1111" s="1">
        <v>43097</v>
      </c>
      <c r="F1111" t="str">
        <f>"201712287546"</f>
        <v>201712287546</v>
      </c>
      <c r="G1111" t="str">
        <f>"Miscel"</f>
        <v>Miscel</v>
      </c>
      <c r="H1111" s="2">
        <v>6</v>
      </c>
      <c r="I1111" t="str">
        <f>"WYLIE GRANT RODRIGUEZ"</f>
        <v>WYLIE GRANT RODRIGUEZ</v>
      </c>
    </row>
    <row r="1112" spans="1:9" x14ac:dyDescent="0.3">
      <c r="A1112" t="str">
        <f t="shared" si="15"/>
        <v>1</v>
      </c>
      <c r="B1112" t="s">
        <v>382</v>
      </c>
      <c r="C1112">
        <v>74551</v>
      </c>
      <c r="D1112" s="2">
        <v>6</v>
      </c>
      <c r="E1112" s="1">
        <v>43097</v>
      </c>
      <c r="F1112" t="str">
        <f>"201712287547"</f>
        <v>201712287547</v>
      </c>
      <c r="G1112" t="str">
        <f>"Miscellaneo"</f>
        <v>Miscellaneo</v>
      </c>
      <c r="H1112" s="2">
        <v>6</v>
      </c>
      <c r="I1112" t="str">
        <f>"GAIL MARIE KLAUS"</f>
        <v>GAIL MARIE KLAUS</v>
      </c>
    </row>
    <row r="1113" spans="1:9" x14ac:dyDescent="0.3">
      <c r="A1113" t="str">
        <f t="shared" si="15"/>
        <v>1</v>
      </c>
      <c r="B1113" t="s">
        <v>383</v>
      </c>
      <c r="C1113">
        <v>74552</v>
      </c>
      <c r="D1113" s="2">
        <v>6</v>
      </c>
      <c r="E1113" s="1">
        <v>43097</v>
      </c>
      <c r="F1113" t="str">
        <f>"201712287548"</f>
        <v>201712287548</v>
      </c>
      <c r="G1113" t="str">
        <f>"Mis"</f>
        <v>Mis</v>
      </c>
      <c r="H1113" s="2">
        <v>6</v>
      </c>
      <c r="I1113" t="str">
        <f>"KERRI-ANNE ANNE SULLIVAN"</f>
        <v>KERRI-ANNE ANNE SULLIVAN</v>
      </c>
    </row>
    <row r="1114" spans="1:9" x14ac:dyDescent="0.3">
      <c r="A1114" t="str">
        <f t="shared" si="15"/>
        <v>1</v>
      </c>
      <c r="B1114" t="s">
        <v>384</v>
      </c>
      <c r="C1114">
        <v>74553</v>
      </c>
      <c r="D1114" s="2">
        <v>6</v>
      </c>
      <c r="E1114" s="1">
        <v>43097</v>
      </c>
      <c r="F1114" t="str">
        <f>"201712287549"</f>
        <v>201712287549</v>
      </c>
      <c r="G1114" t="str">
        <f>""</f>
        <v/>
      </c>
      <c r="H1114" s="2">
        <v>6</v>
      </c>
      <c r="I1114" t="str">
        <f>"MEREDITH A MITCHELL-WILLIAMS"</f>
        <v>MEREDITH A MITCHELL-WILLIAMS</v>
      </c>
    </row>
    <row r="1115" spans="1:9" x14ac:dyDescent="0.3">
      <c r="A1115" t="str">
        <f t="shared" si="15"/>
        <v>1</v>
      </c>
      <c r="B1115" t="s">
        <v>385</v>
      </c>
      <c r="C1115">
        <v>74554</v>
      </c>
      <c r="D1115" s="2">
        <v>6</v>
      </c>
      <c r="E1115" s="1">
        <v>43097</v>
      </c>
      <c r="F1115" t="str">
        <f>"201712287550"</f>
        <v>201712287550</v>
      </c>
      <c r="G1115" t="str">
        <f>"Miscellane"</f>
        <v>Miscellane</v>
      </c>
      <c r="H1115" s="2">
        <v>6</v>
      </c>
      <c r="I1115" t="str">
        <f>"TERRI LYNN BRUDER"</f>
        <v>TERRI LYNN BRUDER</v>
      </c>
    </row>
    <row r="1116" spans="1:9" x14ac:dyDescent="0.3">
      <c r="A1116" t="str">
        <f t="shared" si="15"/>
        <v>1</v>
      </c>
      <c r="B1116" t="s">
        <v>386</v>
      </c>
      <c r="C1116">
        <v>74555</v>
      </c>
      <c r="D1116" s="2">
        <v>6</v>
      </c>
      <c r="E1116" s="1">
        <v>43097</v>
      </c>
      <c r="F1116" t="str">
        <f>"201712287551"</f>
        <v>201712287551</v>
      </c>
      <c r="G1116" t="str">
        <f>"Miscellane"</f>
        <v>Miscellane</v>
      </c>
      <c r="H1116" s="2">
        <v>6</v>
      </c>
      <c r="I1116" t="str">
        <f>"RONALD DALE STOCK"</f>
        <v>RONALD DALE STOCK</v>
      </c>
    </row>
    <row r="1117" spans="1:9" x14ac:dyDescent="0.3">
      <c r="A1117" t="str">
        <f t="shared" ref="A1117:A1146" si="16">"1"</f>
        <v>1</v>
      </c>
      <c r="B1117" t="s">
        <v>387</v>
      </c>
      <c r="C1117">
        <v>74556</v>
      </c>
      <c r="D1117" s="2">
        <v>6</v>
      </c>
      <c r="E1117" s="1">
        <v>43097</v>
      </c>
      <c r="F1117" t="str">
        <f>"201712287552"</f>
        <v>201712287552</v>
      </c>
      <c r="G1117" t="str">
        <f>"Mi"</f>
        <v>Mi</v>
      </c>
      <c r="H1117" s="2">
        <v>6</v>
      </c>
      <c r="I1117" t="str">
        <f>"CHRISTOPHER LLOYD ROBBINS"</f>
        <v>CHRISTOPHER LLOYD ROBBINS</v>
      </c>
    </row>
    <row r="1118" spans="1:9" x14ac:dyDescent="0.3">
      <c r="A1118" t="str">
        <f t="shared" si="16"/>
        <v>1</v>
      </c>
      <c r="B1118" t="s">
        <v>388</v>
      </c>
      <c r="C1118">
        <v>74557</v>
      </c>
      <c r="D1118" s="2">
        <v>6</v>
      </c>
      <c r="E1118" s="1">
        <v>43097</v>
      </c>
      <c r="F1118" t="str">
        <f>"201712287553"</f>
        <v>201712287553</v>
      </c>
      <c r="G1118" t="str">
        <f>"Miscella"</f>
        <v>Miscella</v>
      </c>
      <c r="H1118" s="2">
        <v>6</v>
      </c>
      <c r="I1118" t="str">
        <f>"MICHAEL ANDREW DIAZ"</f>
        <v>MICHAEL ANDREW DIAZ</v>
      </c>
    </row>
    <row r="1119" spans="1:9" x14ac:dyDescent="0.3">
      <c r="A1119" t="str">
        <f t="shared" si="16"/>
        <v>1</v>
      </c>
      <c r="B1119" t="s">
        <v>389</v>
      </c>
      <c r="C1119">
        <v>74558</v>
      </c>
      <c r="D1119" s="2">
        <v>6</v>
      </c>
      <c r="E1119" s="1">
        <v>43097</v>
      </c>
      <c r="F1119" t="str">
        <f>"201712287554"</f>
        <v>201712287554</v>
      </c>
      <c r="G1119" t="str">
        <f>"Miscellane"</f>
        <v>Miscellane</v>
      </c>
      <c r="H1119" s="2">
        <v>6</v>
      </c>
      <c r="I1119" t="str">
        <f>"ALVIN RAY COLLINS"</f>
        <v>ALVIN RAY COLLINS</v>
      </c>
    </row>
    <row r="1120" spans="1:9" x14ac:dyDescent="0.3">
      <c r="A1120" t="str">
        <f t="shared" si="16"/>
        <v>1</v>
      </c>
      <c r="B1120" t="s">
        <v>390</v>
      </c>
      <c r="C1120">
        <v>74559</v>
      </c>
      <c r="D1120" s="2">
        <v>6</v>
      </c>
      <c r="E1120" s="1">
        <v>43097</v>
      </c>
      <c r="F1120" t="str">
        <f>"201712287555"</f>
        <v>201712287555</v>
      </c>
      <c r="G1120" t="str">
        <f>"Misc"</f>
        <v>Misc</v>
      </c>
      <c r="H1120" s="2">
        <v>6</v>
      </c>
      <c r="I1120" t="str">
        <f>"KIMBERLY BRIDGES KELLAR"</f>
        <v>KIMBERLY BRIDGES KELLAR</v>
      </c>
    </row>
    <row r="1121" spans="1:9" x14ac:dyDescent="0.3">
      <c r="A1121" t="str">
        <f t="shared" si="16"/>
        <v>1</v>
      </c>
      <c r="B1121" t="s">
        <v>391</v>
      </c>
      <c r="C1121">
        <v>74560</v>
      </c>
      <c r="D1121" s="2">
        <v>6</v>
      </c>
      <c r="E1121" s="1">
        <v>43097</v>
      </c>
      <c r="F1121" t="str">
        <f>"201712287556"</f>
        <v>201712287556</v>
      </c>
      <c r="G1121" t="str">
        <f>"Miscel"</f>
        <v>Miscel</v>
      </c>
      <c r="H1121" s="2">
        <v>6</v>
      </c>
      <c r="I1121" t="str">
        <f>"RONALD JOSEPH BARTSCH"</f>
        <v>RONALD JOSEPH BARTSCH</v>
      </c>
    </row>
    <row r="1122" spans="1:9" x14ac:dyDescent="0.3">
      <c r="A1122" t="str">
        <f t="shared" si="16"/>
        <v>1</v>
      </c>
      <c r="B1122" t="s">
        <v>392</v>
      </c>
      <c r="C1122">
        <v>74561</v>
      </c>
      <c r="D1122" s="2">
        <v>6</v>
      </c>
      <c r="E1122" s="1">
        <v>43097</v>
      </c>
      <c r="F1122" t="str">
        <f>"201712287557"</f>
        <v>201712287557</v>
      </c>
      <c r="G1122" t="str">
        <f>"Miscella"</f>
        <v>Miscella</v>
      </c>
      <c r="H1122" s="2">
        <v>6</v>
      </c>
      <c r="I1122" t="str">
        <f>"LEROY JOSEPH HERAUF"</f>
        <v>LEROY JOSEPH HERAUF</v>
      </c>
    </row>
    <row r="1123" spans="1:9" x14ac:dyDescent="0.3">
      <c r="A1123" t="str">
        <f t="shared" si="16"/>
        <v>1</v>
      </c>
      <c r="B1123" t="s">
        <v>393</v>
      </c>
      <c r="C1123">
        <v>74562</v>
      </c>
      <c r="D1123" s="2">
        <v>6</v>
      </c>
      <c r="E1123" s="1">
        <v>43097</v>
      </c>
      <c r="F1123" t="str">
        <f>"201712287558"</f>
        <v>201712287558</v>
      </c>
      <c r="G1123" t="str">
        <f>"Miscellaneo"</f>
        <v>Miscellaneo</v>
      </c>
      <c r="H1123" s="2">
        <v>6</v>
      </c>
      <c r="I1123" t="str">
        <f>"MARY VERSE GREEN"</f>
        <v>MARY VERSE GREEN</v>
      </c>
    </row>
    <row r="1124" spans="1:9" x14ac:dyDescent="0.3">
      <c r="A1124" t="str">
        <f t="shared" si="16"/>
        <v>1</v>
      </c>
      <c r="B1124" t="s">
        <v>394</v>
      </c>
      <c r="C1124">
        <v>74563</v>
      </c>
      <c r="D1124" s="2">
        <v>6</v>
      </c>
      <c r="E1124" s="1">
        <v>43097</v>
      </c>
      <c r="F1124" t="str">
        <f>"201712287559"</f>
        <v>201712287559</v>
      </c>
      <c r="G1124" t="str">
        <f>"Miscell"</f>
        <v>Miscell</v>
      </c>
      <c r="H1124" s="2">
        <v>6</v>
      </c>
      <c r="I1124" t="str">
        <f>"ALBERT OTTO BAUER JR"</f>
        <v>ALBERT OTTO BAUER JR</v>
      </c>
    </row>
    <row r="1125" spans="1:9" x14ac:dyDescent="0.3">
      <c r="A1125" t="str">
        <f t="shared" si="16"/>
        <v>1</v>
      </c>
      <c r="B1125" t="s">
        <v>395</v>
      </c>
      <c r="C1125">
        <v>74564</v>
      </c>
      <c r="D1125" s="2">
        <v>6</v>
      </c>
      <c r="E1125" s="1">
        <v>43097</v>
      </c>
      <c r="F1125" t="str">
        <f>"201712287560"</f>
        <v>201712287560</v>
      </c>
      <c r="G1125" t="str">
        <f>"Miscellane"</f>
        <v>Miscellane</v>
      </c>
      <c r="H1125" s="2">
        <v>6</v>
      </c>
      <c r="I1125" t="str">
        <f>"JOHN DANIEL MICAN"</f>
        <v>JOHN DANIEL MICAN</v>
      </c>
    </row>
    <row r="1126" spans="1:9" x14ac:dyDescent="0.3">
      <c r="A1126" t="str">
        <f t="shared" si="16"/>
        <v>1</v>
      </c>
      <c r="B1126" t="s">
        <v>396</v>
      </c>
      <c r="C1126">
        <v>74565</v>
      </c>
      <c r="D1126" s="2">
        <v>6</v>
      </c>
      <c r="E1126" s="1">
        <v>43097</v>
      </c>
      <c r="F1126" t="str">
        <f>"201712287561"</f>
        <v>201712287561</v>
      </c>
      <c r="G1126" t="str">
        <f>"Miscellane"</f>
        <v>Miscellane</v>
      </c>
      <c r="H1126" s="2">
        <v>6</v>
      </c>
      <c r="I1126" t="str">
        <f>"BARBARA J DOUGLAS"</f>
        <v>BARBARA J DOUGLAS</v>
      </c>
    </row>
    <row r="1127" spans="1:9" x14ac:dyDescent="0.3">
      <c r="A1127" t="str">
        <f t="shared" si="16"/>
        <v>1</v>
      </c>
      <c r="B1127" t="s">
        <v>397</v>
      </c>
      <c r="C1127">
        <v>74566</v>
      </c>
      <c r="D1127" s="2">
        <v>6</v>
      </c>
      <c r="E1127" s="1">
        <v>43097</v>
      </c>
      <c r="F1127" t="str">
        <f>"201712287562"</f>
        <v>201712287562</v>
      </c>
      <c r="G1127" t="str">
        <f>"Misc"</f>
        <v>Misc</v>
      </c>
      <c r="H1127" s="2">
        <v>6</v>
      </c>
      <c r="I1127" t="str">
        <f>"ISHMAEL HALIM HARRIS SR"</f>
        <v>ISHMAEL HALIM HARRIS SR</v>
      </c>
    </row>
    <row r="1128" spans="1:9" x14ac:dyDescent="0.3">
      <c r="A1128" t="str">
        <f t="shared" si="16"/>
        <v>1</v>
      </c>
      <c r="B1128" t="s">
        <v>398</v>
      </c>
      <c r="C1128">
        <v>74567</v>
      </c>
      <c r="D1128" s="2">
        <v>6</v>
      </c>
      <c r="E1128" s="1">
        <v>43097</v>
      </c>
      <c r="F1128" t="str">
        <f>"201712287563"</f>
        <v>201712287563</v>
      </c>
      <c r="G1128" t="str">
        <f>"Miscellaneo"</f>
        <v>Miscellaneo</v>
      </c>
      <c r="H1128" s="2">
        <v>6</v>
      </c>
      <c r="I1128" t="str">
        <f>"MARTHA JAN LUTON"</f>
        <v>MARTHA JAN LUTON</v>
      </c>
    </row>
    <row r="1129" spans="1:9" x14ac:dyDescent="0.3">
      <c r="A1129" t="str">
        <f t="shared" si="16"/>
        <v>1</v>
      </c>
      <c r="B1129" t="s">
        <v>399</v>
      </c>
      <c r="C1129">
        <v>74568</v>
      </c>
      <c r="D1129" s="2">
        <v>6</v>
      </c>
      <c r="E1129" s="1">
        <v>43097</v>
      </c>
      <c r="F1129" t="str">
        <f>"201712287564"</f>
        <v>201712287564</v>
      </c>
      <c r="G1129" t="str">
        <f>"Miscella"</f>
        <v>Miscella</v>
      </c>
      <c r="H1129" s="2">
        <v>6</v>
      </c>
      <c r="I1129" t="str">
        <f>"CHRISTOPHER J COLBY"</f>
        <v>CHRISTOPHER J COLBY</v>
      </c>
    </row>
    <row r="1130" spans="1:9" x14ac:dyDescent="0.3">
      <c r="A1130" t="str">
        <f t="shared" si="16"/>
        <v>1</v>
      </c>
      <c r="B1130" t="s">
        <v>400</v>
      </c>
      <c r="C1130">
        <v>74569</v>
      </c>
      <c r="D1130" s="2">
        <v>6</v>
      </c>
      <c r="E1130" s="1">
        <v>43097</v>
      </c>
      <c r="F1130" t="str">
        <f>"201712287565"</f>
        <v>201712287565</v>
      </c>
      <c r="G1130" t="str">
        <f>"Miscellane"</f>
        <v>Miscellane</v>
      </c>
      <c r="H1130" s="2">
        <v>6</v>
      </c>
      <c r="I1130" t="str">
        <f>"BRIAN EVAN BENDER"</f>
        <v>BRIAN EVAN BENDER</v>
      </c>
    </row>
    <row r="1131" spans="1:9" x14ac:dyDescent="0.3">
      <c r="A1131" t="str">
        <f t="shared" si="16"/>
        <v>1</v>
      </c>
      <c r="B1131" t="s">
        <v>401</v>
      </c>
      <c r="C1131">
        <v>74570</v>
      </c>
      <c r="D1131" s="2">
        <v>6</v>
      </c>
      <c r="E1131" s="1">
        <v>43097</v>
      </c>
      <c r="F1131" t="str">
        <f>"201712287566"</f>
        <v>201712287566</v>
      </c>
      <c r="G1131" t="str">
        <f>"Mis"</f>
        <v>Mis</v>
      </c>
      <c r="H1131" s="2">
        <v>6</v>
      </c>
      <c r="I1131" t="str">
        <f>"KATHERINE ADELE BIRDWELL"</f>
        <v>KATHERINE ADELE BIRDWELL</v>
      </c>
    </row>
    <row r="1132" spans="1:9" x14ac:dyDescent="0.3">
      <c r="A1132" t="str">
        <f t="shared" si="16"/>
        <v>1</v>
      </c>
      <c r="B1132" t="s">
        <v>402</v>
      </c>
      <c r="C1132">
        <v>74571</v>
      </c>
      <c r="D1132" s="2">
        <v>6</v>
      </c>
      <c r="E1132" s="1">
        <v>43097</v>
      </c>
      <c r="F1132" t="str">
        <f>"201712287567"</f>
        <v>201712287567</v>
      </c>
      <c r="G1132" t="str">
        <f>"Miscellan"</f>
        <v>Miscellan</v>
      </c>
      <c r="H1132" s="2">
        <v>6</v>
      </c>
      <c r="I1132" t="str">
        <f>"NANCY SHORT STEELE"</f>
        <v>NANCY SHORT STEELE</v>
      </c>
    </row>
    <row r="1133" spans="1:9" x14ac:dyDescent="0.3">
      <c r="A1133" t="str">
        <f t="shared" si="16"/>
        <v>1</v>
      </c>
      <c r="B1133" t="s">
        <v>403</v>
      </c>
      <c r="C1133">
        <v>74572</v>
      </c>
      <c r="D1133" s="2">
        <v>6</v>
      </c>
      <c r="E1133" s="1">
        <v>43097</v>
      </c>
      <c r="F1133" t="str">
        <f>"201712287568"</f>
        <v>201712287568</v>
      </c>
      <c r="G1133" t="str">
        <f>"Miscella"</f>
        <v>Miscella</v>
      </c>
      <c r="H1133" s="2">
        <v>6</v>
      </c>
      <c r="I1133" t="str">
        <f>"LINDA FARIAS HOOVER"</f>
        <v>LINDA FARIAS HOOVER</v>
      </c>
    </row>
    <row r="1134" spans="1:9" x14ac:dyDescent="0.3">
      <c r="A1134" t="str">
        <f t="shared" si="16"/>
        <v>1</v>
      </c>
      <c r="B1134" t="s">
        <v>404</v>
      </c>
      <c r="C1134">
        <v>74573</v>
      </c>
      <c r="D1134" s="2">
        <v>40</v>
      </c>
      <c r="E1134" s="1">
        <v>43097</v>
      </c>
      <c r="F1134" t="str">
        <f>"201712287569"</f>
        <v>201712287569</v>
      </c>
      <c r="G1134" t="str">
        <f>"Miscel"</f>
        <v>Miscel</v>
      </c>
      <c r="H1134" s="2">
        <v>40</v>
      </c>
      <c r="I1134" t="str">
        <f>"JEFFREY DONALD HARRIS"</f>
        <v>JEFFREY DONALD HARRIS</v>
      </c>
    </row>
    <row r="1135" spans="1:9" x14ac:dyDescent="0.3">
      <c r="A1135" t="str">
        <f t="shared" si="16"/>
        <v>1</v>
      </c>
      <c r="B1135" t="s">
        <v>405</v>
      </c>
      <c r="C1135">
        <v>74574</v>
      </c>
      <c r="D1135" s="2">
        <v>40</v>
      </c>
      <c r="E1135" s="1">
        <v>43097</v>
      </c>
      <c r="F1135" t="str">
        <f>"201712287570"</f>
        <v>201712287570</v>
      </c>
      <c r="G1135" t="str">
        <f>"Miscel"</f>
        <v>Miscel</v>
      </c>
      <c r="H1135" s="2">
        <v>40</v>
      </c>
      <c r="I1135" t="str">
        <f>"AMANDA LEANN CARLISLE"</f>
        <v>AMANDA LEANN CARLISLE</v>
      </c>
    </row>
    <row r="1136" spans="1:9" x14ac:dyDescent="0.3">
      <c r="A1136" t="str">
        <f t="shared" si="16"/>
        <v>1</v>
      </c>
      <c r="B1136" t="s">
        <v>406</v>
      </c>
      <c r="C1136">
        <v>74575</v>
      </c>
      <c r="D1136" s="2">
        <v>40</v>
      </c>
      <c r="E1136" s="1">
        <v>43097</v>
      </c>
      <c r="F1136" t="str">
        <f>"201712287571"</f>
        <v>201712287571</v>
      </c>
      <c r="G1136" t="str">
        <f>"Miscell"</f>
        <v>Miscell</v>
      </c>
      <c r="H1136" s="2">
        <v>40</v>
      </c>
      <c r="I1136" t="str">
        <f>"RANDY DALE GELTMEIER"</f>
        <v>RANDY DALE GELTMEIER</v>
      </c>
    </row>
    <row r="1137" spans="1:9" x14ac:dyDescent="0.3">
      <c r="A1137" t="str">
        <f t="shared" si="16"/>
        <v>1</v>
      </c>
      <c r="B1137" t="s">
        <v>407</v>
      </c>
      <c r="C1137">
        <v>74576</v>
      </c>
      <c r="D1137" s="2">
        <v>40</v>
      </c>
      <c r="E1137" s="1">
        <v>43097</v>
      </c>
      <c r="F1137" t="str">
        <f>"201712287572"</f>
        <v>201712287572</v>
      </c>
      <c r="G1137" t="str">
        <f>"Miscellaneo"</f>
        <v>Miscellaneo</v>
      </c>
      <c r="H1137" s="2">
        <v>40</v>
      </c>
      <c r="I1137" t="str">
        <f>"HAROLD DEE FLOYD"</f>
        <v>HAROLD DEE FLOYD</v>
      </c>
    </row>
    <row r="1138" spans="1:9" x14ac:dyDescent="0.3">
      <c r="A1138" t="str">
        <f t="shared" si="16"/>
        <v>1</v>
      </c>
      <c r="B1138" t="s">
        <v>408</v>
      </c>
      <c r="C1138">
        <v>74577</v>
      </c>
      <c r="D1138" s="2">
        <v>40</v>
      </c>
      <c r="E1138" s="1">
        <v>43097</v>
      </c>
      <c r="F1138" t="str">
        <f>"201712287573"</f>
        <v>201712287573</v>
      </c>
      <c r="G1138" t="str">
        <f>"Miscellan"</f>
        <v>Miscellan</v>
      </c>
      <c r="H1138" s="2">
        <v>40</v>
      </c>
      <c r="I1138" t="str">
        <f>"JOHN THOMAS ZINKER"</f>
        <v>JOHN THOMAS ZINKER</v>
      </c>
    </row>
    <row r="1139" spans="1:9" x14ac:dyDescent="0.3">
      <c r="A1139" t="str">
        <f t="shared" si="16"/>
        <v>1</v>
      </c>
      <c r="B1139" t="s">
        <v>409</v>
      </c>
      <c r="C1139">
        <v>74578</v>
      </c>
      <c r="D1139" s="2">
        <v>40</v>
      </c>
      <c r="E1139" s="1">
        <v>43097</v>
      </c>
      <c r="F1139" t="str">
        <f>"201712287574"</f>
        <v>201712287574</v>
      </c>
      <c r="G1139" t="str">
        <f>"Mi"</f>
        <v>Mi</v>
      </c>
      <c r="H1139" s="2">
        <v>40</v>
      </c>
      <c r="I1139" t="str">
        <f>"NORA EASTERWOOD SCHLUETER"</f>
        <v>NORA EASTERWOOD SCHLUETER</v>
      </c>
    </row>
    <row r="1140" spans="1:9" x14ac:dyDescent="0.3">
      <c r="A1140" t="str">
        <f t="shared" si="16"/>
        <v>1</v>
      </c>
      <c r="B1140" t="s">
        <v>410</v>
      </c>
      <c r="C1140">
        <v>74579</v>
      </c>
      <c r="D1140" s="2">
        <v>40</v>
      </c>
      <c r="E1140" s="1">
        <v>43097</v>
      </c>
      <c r="F1140" t="str">
        <f>"201712287575"</f>
        <v>201712287575</v>
      </c>
      <c r="G1140" t="str">
        <f>"Miscella"</f>
        <v>Miscella</v>
      </c>
      <c r="H1140" s="2">
        <v>40</v>
      </c>
      <c r="I1140" t="str">
        <f>"CHARLES WALTER FERS"</f>
        <v>CHARLES WALTER FERS</v>
      </c>
    </row>
    <row r="1141" spans="1:9" x14ac:dyDescent="0.3">
      <c r="A1141" t="str">
        <f t="shared" si="16"/>
        <v>1</v>
      </c>
      <c r="B1141" t="s">
        <v>411</v>
      </c>
      <c r="C1141">
        <v>74580</v>
      </c>
      <c r="D1141" s="2">
        <v>40</v>
      </c>
      <c r="E1141" s="1">
        <v>43097</v>
      </c>
      <c r="F1141" t="str">
        <f>"201712287576"</f>
        <v>201712287576</v>
      </c>
      <c r="G1141" t="str">
        <f>"Misce"</f>
        <v>Misce</v>
      </c>
      <c r="H1141" s="2">
        <v>40</v>
      </c>
      <c r="I1141" t="str">
        <f>"STEPHANIE REBER GOERTZ"</f>
        <v>STEPHANIE REBER GOERTZ</v>
      </c>
    </row>
    <row r="1142" spans="1:9" x14ac:dyDescent="0.3">
      <c r="A1142" t="str">
        <f t="shared" si="16"/>
        <v>1</v>
      </c>
      <c r="B1142" t="s">
        <v>412</v>
      </c>
      <c r="C1142">
        <v>74581</v>
      </c>
      <c r="D1142" s="2">
        <v>40</v>
      </c>
      <c r="E1142" s="1">
        <v>43097</v>
      </c>
      <c r="F1142" t="str">
        <f>"201712287577"</f>
        <v>201712287577</v>
      </c>
      <c r="G1142" t="str">
        <f>"Miscellaneous"</f>
        <v>Miscellaneous</v>
      </c>
      <c r="H1142" s="2">
        <v>40</v>
      </c>
      <c r="I1142" t="str">
        <f>"SOLEDAD SIERRA"</f>
        <v>SOLEDAD SIERRA</v>
      </c>
    </row>
    <row r="1143" spans="1:9" x14ac:dyDescent="0.3">
      <c r="A1143" t="str">
        <f t="shared" si="16"/>
        <v>1</v>
      </c>
      <c r="B1143" t="s">
        <v>413</v>
      </c>
      <c r="C1143">
        <v>74582</v>
      </c>
      <c r="D1143" s="2">
        <v>40</v>
      </c>
      <c r="E1143" s="1">
        <v>43097</v>
      </c>
      <c r="F1143" t="str">
        <f>"201712287578"</f>
        <v>201712287578</v>
      </c>
      <c r="G1143" t="str">
        <f>"Miscel"</f>
        <v>Miscel</v>
      </c>
      <c r="H1143" s="2">
        <v>40</v>
      </c>
      <c r="I1143" t="str">
        <f>"POLLYE ANITA HOFSTEDT"</f>
        <v>POLLYE ANITA HOFSTEDT</v>
      </c>
    </row>
    <row r="1144" spans="1:9" x14ac:dyDescent="0.3">
      <c r="A1144" t="str">
        <f t="shared" si="16"/>
        <v>1</v>
      </c>
      <c r="B1144" t="s">
        <v>414</v>
      </c>
      <c r="C1144">
        <v>74583</v>
      </c>
      <c r="D1144" s="2">
        <v>40</v>
      </c>
      <c r="E1144" s="1">
        <v>43097</v>
      </c>
      <c r="F1144" t="str">
        <f>"201712287579"</f>
        <v>201712287579</v>
      </c>
      <c r="G1144" t="str">
        <f>"Miscellane"</f>
        <v>Miscellane</v>
      </c>
      <c r="H1144" s="2">
        <v>40</v>
      </c>
      <c r="I1144" t="str">
        <f>"SHERRY ANN DUNBAR"</f>
        <v>SHERRY ANN DUNBAR</v>
      </c>
    </row>
    <row r="1145" spans="1:9" x14ac:dyDescent="0.3">
      <c r="A1145" t="str">
        <f t="shared" si="16"/>
        <v>1</v>
      </c>
      <c r="B1145" t="s">
        <v>415</v>
      </c>
      <c r="C1145">
        <v>74584</v>
      </c>
      <c r="D1145" s="2">
        <v>40</v>
      </c>
      <c r="E1145" s="1">
        <v>43097</v>
      </c>
      <c r="F1145" t="str">
        <f>"201712287580"</f>
        <v>201712287580</v>
      </c>
      <c r="G1145" t="str">
        <f>"Miscell"</f>
        <v>Miscell</v>
      </c>
      <c r="H1145" s="2">
        <v>40</v>
      </c>
      <c r="I1145" t="str">
        <f>"LORENE HELEN JOHNSON"</f>
        <v>LORENE HELEN JOHNSON</v>
      </c>
    </row>
    <row r="1146" spans="1:9" x14ac:dyDescent="0.3">
      <c r="A1146" t="str">
        <f t="shared" si="16"/>
        <v>1</v>
      </c>
      <c r="B1146" t="s">
        <v>415</v>
      </c>
      <c r="C1146">
        <v>74585</v>
      </c>
      <c r="D1146" s="2">
        <v>40</v>
      </c>
      <c r="E1146" s="1">
        <v>43097</v>
      </c>
      <c r="F1146" t="str">
        <f>"201712287581"</f>
        <v>201712287581</v>
      </c>
      <c r="G1146" t="str">
        <f>"Miscell"</f>
        <v>Miscell</v>
      </c>
      <c r="H1146" s="2">
        <v>40</v>
      </c>
      <c r="I1146" t="str">
        <f>"LORENE HELEN JOHNSON"</f>
        <v>LORENE HELEN JOHNSON</v>
      </c>
    </row>
    <row r="1147" spans="1:9" x14ac:dyDescent="0.3">
      <c r="A1147" t="str">
        <f>"005326"</f>
        <v>005326</v>
      </c>
      <c r="B1147" t="s">
        <v>416</v>
      </c>
      <c r="C1147">
        <v>74212</v>
      </c>
      <c r="D1147" s="2">
        <v>172.5</v>
      </c>
      <c r="E1147" s="1">
        <v>43080</v>
      </c>
      <c r="F1147" t="str">
        <f>"11646"</f>
        <v>11646</v>
      </c>
      <c r="G1147" t="str">
        <f>"Inv# 11646"</f>
        <v>Inv# 11646</v>
      </c>
      <c r="H1147" s="2">
        <v>172.5</v>
      </c>
      <c r="I1147" t="str">
        <f>"Rental"</f>
        <v>Rental</v>
      </c>
    </row>
    <row r="1148" spans="1:9" x14ac:dyDescent="0.3">
      <c r="A1148" t="str">
        <f>""</f>
        <v/>
      </c>
      <c r="F1148" t="str">
        <f>""</f>
        <v/>
      </c>
      <c r="G1148" t="str">
        <f>""</f>
        <v/>
      </c>
      <c r="I1148" t="str">
        <f>"One Time Locking Fee"</f>
        <v>One Time Locking Fee</v>
      </c>
    </row>
    <row r="1149" spans="1:9" x14ac:dyDescent="0.3">
      <c r="A1149" t="str">
        <f>"MOORE"</f>
        <v>MOORE</v>
      </c>
      <c r="B1149" t="s">
        <v>417</v>
      </c>
      <c r="C1149">
        <v>74213</v>
      </c>
      <c r="D1149" s="2">
        <v>894.03</v>
      </c>
      <c r="E1149" s="1">
        <v>43080</v>
      </c>
      <c r="F1149" t="str">
        <f>"99694563"</f>
        <v>99694563</v>
      </c>
      <c r="G1149" t="str">
        <f>"INV 99694563"</f>
        <v>INV 99694563</v>
      </c>
      <c r="H1149" s="2">
        <v>447.26</v>
      </c>
      <c r="I1149" t="str">
        <f>"INV 99694563"</f>
        <v>INV 99694563</v>
      </c>
    </row>
    <row r="1150" spans="1:9" x14ac:dyDescent="0.3">
      <c r="A1150" t="str">
        <f>""</f>
        <v/>
      </c>
      <c r="F1150" t="str">
        <f>"99700997"</f>
        <v>99700997</v>
      </c>
      <c r="G1150" t="str">
        <f>"INV 99700997"</f>
        <v>INV 99700997</v>
      </c>
      <c r="H1150" s="2">
        <v>446.77</v>
      </c>
      <c r="I1150" t="str">
        <f>"INV 99700997"</f>
        <v>INV 99700997</v>
      </c>
    </row>
    <row r="1151" spans="1:9" x14ac:dyDescent="0.3">
      <c r="A1151" t="str">
        <f>"MOORE"</f>
        <v>MOORE</v>
      </c>
      <c r="B1151" t="s">
        <v>417</v>
      </c>
      <c r="C1151">
        <v>74429</v>
      </c>
      <c r="D1151" s="2">
        <v>1523.08</v>
      </c>
      <c r="E1151" s="1">
        <v>43096</v>
      </c>
      <c r="F1151" t="str">
        <f>"83432998"</f>
        <v>83432998</v>
      </c>
      <c r="G1151" t="str">
        <f>"INV 83432998"</f>
        <v>INV 83432998</v>
      </c>
      <c r="H1151" s="2">
        <v>839.11</v>
      </c>
      <c r="I1151" t="str">
        <f>"INV 83432998"</f>
        <v>INV 83432998</v>
      </c>
    </row>
    <row r="1152" spans="1:9" x14ac:dyDescent="0.3">
      <c r="A1152" t="str">
        <f>""</f>
        <v/>
      </c>
      <c r="F1152" t="str">
        <f>"99715754"</f>
        <v>99715754</v>
      </c>
      <c r="G1152" t="str">
        <f>"INV 99715754"</f>
        <v>INV 99715754</v>
      </c>
      <c r="H1152" s="2">
        <v>683.97</v>
      </c>
      <c r="I1152" t="str">
        <f>"INV 99715754"</f>
        <v>INV 99715754</v>
      </c>
    </row>
    <row r="1153" spans="1:9" x14ac:dyDescent="0.3">
      <c r="A1153" t="str">
        <f>"189"</f>
        <v>189</v>
      </c>
      <c r="B1153" t="s">
        <v>418</v>
      </c>
      <c r="C1153">
        <v>74430</v>
      </c>
      <c r="D1153" s="2">
        <v>24297.17</v>
      </c>
      <c r="E1153" s="1">
        <v>43096</v>
      </c>
      <c r="F1153" t="str">
        <f>"13191515"</f>
        <v>13191515</v>
      </c>
      <c r="G1153" t="str">
        <f>"Test Radio"</f>
        <v>Test Radio</v>
      </c>
      <c r="H1153" s="2">
        <v>3834.82</v>
      </c>
      <c r="I1153" t="str">
        <f>"M25URS9PW1N"</f>
        <v>M25URS9PW1N</v>
      </c>
    </row>
    <row r="1154" spans="1:9" x14ac:dyDescent="0.3">
      <c r="A1154" t="str">
        <f>""</f>
        <v/>
      </c>
      <c r="F1154" t="str">
        <f>""</f>
        <v/>
      </c>
      <c r="G1154" t="str">
        <f>""</f>
        <v/>
      </c>
      <c r="I1154" t="str">
        <f>"G806"</f>
        <v>G806</v>
      </c>
    </row>
    <row r="1155" spans="1:9" x14ac:dyDescent="0.3">
      <c r="A1155" t="str">
        <f>""</f>
        <v/>
      </c>
      <c r="F1155" t="str">
        <f>""</f>
        <v/>
      </c>
      <c r="G1155" t="str">
        <f>""</f>
        <v/>
      </c>
      <c r="I1155" t="str">
        <f>"G51"</f>
        <v>G51</v>
      </c>
    </row>
    <row r="1156" spans="1:9" x14ac:dyDescent="0.3">
      <c r="A1156" t="str">
        <f>""</f>
        <v/>
      </c>
      <c r="F1156" t="str">
        <f>""</f>
        <v/>
      </c>
      <c r="G1156" t="str">
        <f>""</f>
        <v/>
      </c>
      <c r="I1156" t="str">
        <f>"QA01648"</f>
        <v>QA01648</v>
      </c>
    </row>
    <row r="1157" spans="1:9" x14ac:dyDescent="0.3">
      <c r="A1157" t="str">
        <f>""</f>
        <v/>
      </c>
      <c r="F1157" t="str">
        <f>""</f>
        <v/>
      </c>
      <c r="G1157" t="str">
        <f>""</f>
        <v/>
      </c>
      <c r="I1157" t="str">
        <f>"G361"</f>
        <v>G361</v>
      </c>
    </row>
    <row r="1158" spans="1:9" x14ac:dyDescent="0.3">
      <c r="A1158" t="str">
        <f>""</f>
        <v/>
      </c>
      <c r="F1158" t="str">
        <f>""</f>
        <v/>
      </c>
      <c r="G1158" t="str">
        <f>""</f>
        <v/>
      </c>
      <c r="I1158" t="str">
        <f>"G442/ G444"</f>
        <v>G442/ G444</v>
      </c>
    </row>
    <row r="1159" spans="1:9" x14ac:dyDescent="0.3">
      <c r="A1159" t="str">
        <f>""</f>
        <v/>
      </c>
      <c r="F1159" t="str">
        <f>""</f>
        <v/>
      </c>
      <c r="G1159" t="str">
        <f>""</f>
        <v/>
      </c>
      <c r="I1159" t="str">
        <f>"G67"</f>
        <v>G67</v>
      </c>
    </row>
    <row r="1160" spans="1:9" x14ac:dyDescent="0.3">
      <c r="A1160" t="str">
        <f>""</f>
        <v/>
      </c>
      <c r="F1160" t="str">
        <f>""</f>
        <v/>
      </c>
      <c r="G1160" t="str">
        <f>""</f>
        <v/>
      </c>
      <c r="I1160" t="str">
        <f>"G174"</f>
        <v>G174</v>
      </c>
    </row>
    <row r="1161" spans="1:9" x14ac:dyDescent="0.3">
      <c r="A1161" t="str">
        <f>""</f>
        <v/>
      </c>
      <c r="F1161" t="str">
        <f>""</f>
        <v/>
      </c>
      <c r="G1161" t="str">
        <f>""</f>
        <v/>
      </c>
      <c r="I1161" t="str">
        <f>"W22"</f>
        <v>W22</v>
      </c>
    </row>
    <row r="1162" spans="1:9" x14ac:dyDescent="0.3">
      <c r="A1162" t="str">
        <f>""</f>
        <v/>
      </c>
      <c r="F1162" t="str">
        <f>""</f>
        <v/>
      </c>
      <c r="G1162" t="str">
        <f>""</f>
        <v/>
      </c>
      <c r="I1162" t="str">
        <f>"G831"</f>
        <v>G831</v>
      </c>
    </row>
    <row r="1163" spans="1:9" x14ac:dyDescent="0.3">
      <c r="A1163" t="str">
        <f>""</f>
        <v/>
      </c>
      <c r="F1163" t="str">
        <f>""</f>
        <v/>
      </c>
      <c r="G1163" t="str">
        <f>""</f>
        <v/>
      </c>
      <c r="I1163" t="str">
        <f>"GA01767"</f>
        <v>GA01767</v>
      </c>
    </row>
    <row r="1164" spans="1:9" x14ac:dyDescent="0.3">
      <c r="A1164" t="str">
        <f>""</f>
        <v/>
      </c>
      <c r="F1164" t="str">
        <f>""</f>
        <v/>
      </c>
      <c r="G1164" t="str">
        <f>""</f>
        <v/>
      </c>
      <c r="I1164" t="str">
        <f>"W969"</f>
        <v>W969</v>
      </c>
    </row>
    <row r="1165" spans="1:9" x14ac:dyDescent="0.3">
      <c r="A1165" t="str">
        <f>""</f>
        <v/>
      </c>
      <c r="F1165" t="str">
        <f>""</f>
        <v/>
      </c>
      <c r="G1165" t="str">
        <f>""</f>
        <v/>
      </c>
      <c r="I1165" t="str">
        <f>"CREDIT"</f>
        <v>CREDIT</v>
      </c>
    </row>
    <row r="1166" spans="1:9" x14ac:dyDescent="0.3">
      <c r="A1166" t="str">
        <f>""</f>
        <v/>
      </c>
      <c r="F1166" t="str">
        <f>""</f>
        <v/>
      </c>
      <c r="G1166" t="str">
        <f>""</f>
        <v/>
      </c>
      <c r="I1166" t="str">
        <f>"GA00318"</f>
        <v>GA00318</v>
      </c>
    </row>
    <row r="1167" spans="1:9" x14ac:dyDescent="0.3">
      <c r="A1167" t="str">
        <f>""</f>
        <v/>
      </c>
      <c r="F1167" t="str">
        <f>""</f>
        <v/>
      </c>
      <c r="G1167" t="str">
        <f>""</f>
        <v/>
      </c>
      <c r="I1167" t="str">
        <f>"PROMO"</f>
        <v>PROMO</v>
      </c>
    </row>
    <row r="1168" spans="1:9" x14ac:dyDescent="0.3">
      <c r="A1168" t="str">
        <f>""</f>
        <v/>
      </c>
      <c r="F1168" t="str">
        <f>""</f>
        <v/>
      </c>
      <c r="G1168" t="str">
        <f>""</f>
        <v/>
      </c>
      <c r="I1168" t="str">
        <f>"GA06008"</f>
        <v>GA06008</v>
      </c>
    </row>
    <row r="1169" spans="1:9" x14ac:dyDescent="0.3">
      <c r="A1169" t="str">
        <f>""</f>
        <v/>
      </c>
      <c r="F1169" t="str">
        <f>"201712157335"</f>
        <v>201712157335</v>
      </c>
      <c r="G1169" t="str">
        <f>"RADIO SERVICE AGREEMENT"</f>
        <v>RADIO SERVICE AGREEMENT</v>
      </c>
      <c r="H1169" s="2">
        <v>20462.349999999999</v>
      </c>
      <c r="I1169" t="str">
        <f>"RADIO SERVICE AGREEMENT"</f>
        <v>RADIO SERVICE AGREEMENT</v>
      </c>
    </row>
    <row r="1170" spans="1:9" x14ac:dyDescent="0.3">
      <c r="A1170" t="str">
        <f>"001325"</f>
        <v>001325</v>
      </c>
      <c r="B1170" t="s">
        <v>419</v>
      </c>
      <c r="C1170">
        <v>74214</v>
      </c>
      <c r="D1170" s="2">
        <v>30</v>
      </c>
      <c r="E1170" s="1">
        <v>43080</v>
      </c>
      <c r="F1170" t="str">
        <f>"20100054"</f>
        <v>20100054</v>
      </c>
      <c r="G1170" t="str">
        <f>"MEMBERSHIP APPLICATION 2018"</f>
        <v>MEMBERSHIP APPLICATION 2018</v>
      </c>
      <c r="H1170" s="2">
        <v>30</v>
      </c>
      <c r="I1170" t="str">
        <f>"MEMBERSHIP APPLICATION 2018"</f>
        <v>MEMBERSHIP APPLICATION 2018</v>
      </c>
    </row>
    <row r="1171" spans="1:9" x14ac:dyDescent="0.3">
      <c r="A1171" t="str">
        <f>"004694"</f>
        <v>004694</v>
      </c>
      <c r="B1171" t="s">
        <v>420</v>
      </c>
      <c r="C1171">
        <v>74215</v>
      </c>
      <c r="D1171" s="2">
        <v>795</v>
      </c>
      <c r="E1171" s="1">
        <v>43080</v>
      </c>
      <c r="F1171" t="str">
        <f>"86389250"</f>
        <v>86389250</v>
      </c>
      <c r="G1171" t="str">
        <f>"WATER TREATMENT SVCS/GEN SVC"</f>
        <v>WATER TREATMENT SVCS/GEN SVC</v>
      </c>
      <c r="H1171" s="2">
        <v>795</v>
      </c>
      <c r="I1171" t="str">
        <f>"WATER TREATMENT SVCS/GEN SVC"</f>
        <v>WATER TREATMENT SVCS/GEN SVC</v>
      </c>
    </row>
    <row r="1172" spans="1:9" x14ac:dyDescent="0.3">
      <c r="A1172" t="str">
        <f>"004694"</f>
        <v>004694</v>
      </c>
      <c r="B1172" t="s">
        <v>420</v>
      </c>
      <c r="C1172">
        <v>74432</v>
      </c>
      <c r="D1172" s="2">
        <v>1299.25</v>
      </c>
      <c r="E1172" s="1">
        <v>43096</v>
      </c>
      <c r="F1172" t="str">
        <f>"66233241"</f>
        <v>66233241</v>
      </c>
      <c r="G1172" t="str">
        <f>"Quote# 203375325"</f>
        <v>Quote# 203375325</v>
      </c>
      <c r="H1172" s="2">
        <v>504.25</v>
      </c>
      <c r="I1172" t="str">
        <f>"001-H07617.88"</f>
        <v>001-H07617.88</v>
      </c>
    </row>
    <row r="1173" spans="1:9" x14ac:dyDescent="0.3">
      <c r="A1173" t="str">
        <f>""</f>
        <v/>
      </c>
      <c r="F1173" t="str">
        <f>""</f>
        <v/>
      </c>
      <c r="G1173" t="str">
        <f>""</f>
        <v/>
      </c>
      <c r="I1173" t="str">
        <f>"Freight"</f>
        <v>Freight</v>
      </c>
    </row>
    <row r="1174" spans="1:9" x14ac:dyDescent="0.3">
      <c r="A1174" t="str">
        <f>""</f>
        <v/>
      </c>
      <c r="F1174" t="str">
        <f>"86402871"</f>
        <v>86402871</v>
      </c>
      <c r="G1174" t="str">
        <f>"ACCT#150344157/DOC#86402871"</f>
        <v>ACCT#150344157/DOC#86402871</v>
      </c>
      <c r="H1174" s="2">
        <v>795</v>
      </c>
      <c r="I1174" t="str">
        <f>"ACCT#150344157/DOC#86402871"</f>
        <v>ACCT#150344157/DOC#86402871</v>
      </c>
    </row>
    <row r="1175" spans="1:9" x14ac:dyDescent="0.3">
      <c r="A1175" t="str">
        <f>"004807"</f>
        <v>004807</v>
      </c>
      <c r="B1175" t="s">
        <v>421</v>
      </c>
      <c r="C1175">
        <v>74216</v>
      </c>
      <c r="D1175" s="2">
        <v>250</v>
      </c>
      <c r="E1175" s="1">
        <v>43080</v>
      </c>
      <c r="F1175" t="str">
        <f>"201711286809"</f>
        <v>201711286809</v>
      </c>
      <c r="G1175" t="str">
        <f>"FERAL HOGS"</f>
        <v>FERAL HOGS</v>
      </c>
      <c r="H1175" s="2">
        <v>250</v>
      </c>
      <c r="I1175" t="str">
        <f>"FERAL HOGS"</f>
        <v>FERAL HOGS</v>
      </c>
    </row>
    <row r="1176" spans="1:9" x14ac:dyDescent="0.3">
      <c r="A1176" t="str">
        <f>"000562"</f>
        <v>000562</v>
      </c>
      <c r="B1176" t="s">
        <v>422</v>
      </c>
      <c r="C1176">
        <v>999999</v>
      </c>
      <c r="D1176" s="2">
        <v>8802.33</v>
      </c>
      <c r="E1176" s="1">
        <v>43081</v>
      </c>
      <c r="F1176" t="str">
        <f>"IN0788349 INO79217"</f>
        <v>IN0788349 INO79217</v>
      </c>
      <c r="G1176" t="str">
        <f>"INV IN0788349"</f>
        <v>INV IN0788349</v>
      </c>
      <c r="H1176" s="2">
        <v>8802.33</v>
      </c>
      <c r="I1176" t="str">
        <f>"INV IN0788349"</f>
        <v>INV IN0788349</v>
      </c>
    </row>
    <row r="1177" spans="1:9" x14ac:dyDescent="0.3">
      <c r="A1177" t="str">
        <f>""</f>
        <v/>
      </c>
      <c r="F1177" t="str">
        <f>""</f>
        <v/>
      </c>
      <c r="G1177" t="str">
        <f>""</f>
        <v/>
      </c>
      <c r="I1177" t="str">
        <f>"INV IN0792175"</f>
        <v>INV IN0792175</v>
      </c>
    </row>
    <row r="1178" spans="1:9" x14ac:dyDescent="0.3">
      <c r="A1178" t="str">
        <f>""</f>
        <v/>
      </c>
      <c r="F1178" t="str">
        <f>""</f>
        <v/>
      </c>
      <c r="G1178" t="str">
        <f>""</f>
        <v/>
      </c>
      <c r="I1178" t="str">
        <f>"INV IN0792870"</f>
        <v>INV IN0792870</v>
      </c>
    </row>
    <row r="1179" spans="1:9" x14ac:dyDescent="0.3">
      <c r="A1179" t="str">
        <f>"000562"</f>
        <v>000562</v>
      </c>
      <c r="B1179" t="s">
        <v>422</v>
      </c>
      <c r="C1179">
        <v>999999</v>
      </c>
      <c r="D1179" s="2">
        <v>5188.88</v>
      </c>
      <c r="E1179" s="1">
        <v>43097</v>
      </c>
      <c r="F1179" t="str">
        <f>"IN0794193/95"</f>
        <v>IN0794193/95</v>
      </c>
      <c r="G1179" t="str">
        <f>"INV IN0794193"</f>
        <v>INV IN0794193</v>
      </c>
      <c r="H1179" s="2">
        <v>5188.88</v>
      </c>
      <c r="I1179" t="str">
        <f>"INV IN0794193"</f>
        <v>INV IN0794193</v>
      </c>
    </row>
    <row r="1180" spans="1:9" x14ac:dyDescent="0.3">
      <c r="A1180" t="str">
        <f>""</f>
        <v/>
      </c>
      <c r="F1180" t="str">
        <f>""</f>
        <v/>
      </c>
      <c r="G1180" t="str">
        <f>""</f>
        <v/>
      </c>
      <c r="I1180" t="str">
        <f>"INV IN0794195"</f>
        <v>INV IN0794195</v>
      </c>
    </row>
    <row r="1181" spans="1:9" x14ac:dyDescent="0.3">
      <c r="A1181" t="str">
        <f>"002861"</f>
        <v>002861</v>
      </c>
      <c r="B1181" t="s">
        <v>423</v>
      </c>
      <c r="C1181">
        <v>74433</v>
      </c>
      <c r="D1181" s="2">
        <v>1411</v>
      </c>
      <c r="E1181" s="1">
        <v>43096</v>
      </c>
      <c r="F1181" t="str">
        <f>"1110"</f>
        <v>1110</v>
      </c>
      <c r="G1181" t="str">
        <f>"BATTERY/LABOR/CEDAR ST"</f>
        <v>BATTERY/LABOR/CEDAR ST</v>
      </c>
      <c r="H1181" s="2">
        <v>1411</v>
      </c>
      <c r="I1181" t="str">
        <f>"BATTERY/LABOR/CEDAR ST"</f>
        <v>BATTERY/LABOR/CEDAR ST</v>
      </c>
    </row>
    <row r="1182" spans="1:9" x14ac:dyDescent="0.3">
      <c r="A1182" t="str">
        <f>"000668"</f>
        <v>000668</v>
      </c>
      <c r="B1182" t="s">
        <v>424</v>
      </c>
      <c r="C1182">
        <v>74434</v>
      </c>
      <c r="D1182" s="2">
        <v>900</v>
      </c>
      <c r="E1182" s="1">
        <v>43096</v>
      </c>
      <c r="F1182" t="str">
        <f>"HAY FOR ESTRAY"</f>
        <v>HAY FOR ESTRAY</v>
      </c>
      <c r="G1182" t="str">
        <f>"INV DEC. 15 2017"</f>
        <v>INV DEC. 15 2017</v>
      </c>
      <c r="H1182" s="2">
        <v>900</v>
      </c>
      <c r="I1182" t="str">
        <f>"INV"</f>
        <v>INV</v>
      </c>
    </row>
    <row r="1183" spans="1:9" x14ac:dyDescent="0.3">
      <c r="A1183" t="str">
        <f>"T6614"</f>
        <v>T6614</v>
      </c>
      <c r="B1183" t="s">
        <v>425</v>
      </c>
      <c r="C1183">
        <v>999999</v>
      </c>
      <c r="D1183" s="2">
        <v>226.55</v>
      </c>
      <c r="E1183" s="1">
        <v>43081</v>
      </c>
      <c r="F1183" t="str">
        <f>"201712057192"</f>
        <v>201712057192</v>
      </c>
      <c r="G1183" t="str">
        <f>"CUST#99088/PCT#4"</f>
        <v>CUST#99088/PCT#4</v>
      </c>
      <c r="H1183" s="2">
        <v>226.55</v>
      </c>
      <c r="I1183" t="str">
        <f>"CUST#99088/PCT#4"</f>
        <v>CUST#99088/PCT#4</v>
      </c>
    </row>
    <row r="1184" spans="1:9" x14ac:dyDescent="0.3">
      <c r="A1184" t="str">
        <f>"001015"</f>
        <v>001015</v>
      </c>
      <c r="B1184" t="s">
        <v>426</v>
      </c>
      <c r="C1184">
        <v>74217</v>
      </c>
      <c r="D1184" s="2">
        <v>1155</v>
      </c>
      <c r="E1184" s="1">
        <v>43080</v>
      </c>
      <c r="F1184" t="str">
        <f>"MILK-SHERIFF'S OFF"</f>
        <v>MILK-SHERIFF'S OFF</v>
      </c>
      <c r="G1184" t="str">
        <f>"INV 1045215"</f>
        <v>INV 1045215</v>
      </c>
      <c r="H1184" s="2">
        <v>1155</v>
      </c>
      <c r="I1184" t="str">
        <f>"INV 1045215"</f>
        <v>INV 1045215</v>
      </c>
    </row>
    <row r="1185" spans="1:9" x14ac:dyDescent="0.3">
      <c r="A1185" t="str">
        <f>""</f>
        <v/>
      </c>
      <c r="F1185" t="str">
        <f>""</f>
        <v/>
      </c>
      <c r="G1185" t="str">
        <f>""</f>
        <v/>
      </c>
      <c r="I1185" t="str">
        <f>"INV 122000412"</f>
        <v>INV 122000412</v>
      </c>
    </row>
    <row r="1186" spans="1:9" x14ac:dyDescent="0.3">
      <c r="A1186" t="str">
        <f>""</f>
        <v/>
      </c>
      <c r="F1186" t="str">
        <f>""</f>
        <v/>
      </c>
      <c r="G1186" t="str">
        <f>""</f>
        <v/>
      </c>
      <c r="I1186" t="str">
        <f>"INV 1053553"</f>
        <v>INV 1053553</v>
      </c>
    </row>
    <row r="1187" spans="1:9" x14ac:dyDescent="0.3">
      <c r="A1187" t="str">
        <f>""</f>
        <v/>
      </c>
      <c r="F1187" t="str">
        <f>""</f>
        <v/>
      </c>
      <c r="G1187" t="str">
        <f>""</f>
        <v/>
      </c>
      <c r="I1187" t="str">
        <f>"INV 40140513"</f>
        <v>INV 40140513</v>
      </c>
    </row>
    <row r="1188" spans="1:9" x14ac:dyDescent="0.3">
      <c r="A1188" t="str">
        <f>"001015"</f>
        <v>001015</v>
      </c>
      <c r="B1188" t="s">
        <v>426</v>
      </c>
      <c r="C1188">
        <v>74435</v>
      </c>
      <c r="D1188" s="2">
        <v>1138.5</v>
      </c>
      <c r="E1188" s="1">
        <v>43096</v>
      </c>
      <c r="F1188" t="str">
        <f>"INV FOR MILK-SHER"</f>
        <v>INV FOR MILK-SHER</v>
      </c>
      <c r="G1188" t="str">
        <f>"INV 13391933"</f>
        <v>INV 13391933</v>
      </c>
      <c r="H1188" s="2">
        <v>1138.5</v>
      </c>
      <c r="I1188" t="str">
        <f>"INV 13391933"</f>
        <v>INV 13391933</v>
      </c>
    </row>
    <row r="1189" spans="1:9" x14ac:dyDescent="0.3">
      <c r="A1189" t="str">
        <f>""</f>
        <v/>
      </c>
      <c r="F1189" t="str">
        <f>""</f>
        <v/>
      </c>
      <c r="G1189" t="str">
        <f>""</f>
        <v/>
      </c>
      <c r="I1189" t="str">
        <f>"INV 1061383"</f>
        <v>INV 1061383</v>
      </c>
    </row>
    <row r="1190" spans="1:9" x14ac:dyDescent="0.3">
      <c r="A1190" t="str">
        <f>""</f>
        <v/>
      </c>
      <c r="F1190" t="str">
        <f>""</f>
        <v/>
      </c>
      <c r="G1190" t="str">
        <f>""</f>
        <v/>
      </c>
      <c r="I1190" t="str">
        <f>"INV 1066477"</f>
        <v>INV 1066477</v>
      </c>
    </row>
    <row r="1191" spans="1:9" x14ac:dyDescent="0.3">
      <c r="A1191" t="str">
        <f>""</f>
        <v/>
      </c>
      <c r="F1191" t="str">
        <f>""</f>
        <v/>
      </c>
      <c r="G1191" t="str">
        <f>""</f>
        <v/>
      </c>
      <c r="I1191" t="str">
        <f>"INV 1069934"</f>
        <v>INV 1069934</v>
      </c>
    </row>
    <row r="1192" spans="1:9" x14ac:dyDescent="0.3">
      <c r="A1192" t="str">
        <f>""</f>
        <v/>
      </c>
      <c r="F1192" t="str">
        <f>""</f>
        <v/>
      </c>
      <c r="G1192" t="str">
        <f>""</f>
        <v/>
      </c>
      <c r="I1192" t="str">
        <f>"INV 1075028"</f>
        <v>INV 1075028</v>
      </c>
    </row>
    <row r="1193" spans="1:9" x14ac:dyDescent="0.3">
      <c r="A1193" t="str">
        <f>"T5769"</f>
        <v>T5769</v>
      </c>
      <c r="B1193" t="s">
        <v>427</v>
      </c>
      <c r="C1193">
        <v>74218</v>
      </c>
      <c r="D1193" s="2">
        <v>4553.8100000000004</v>
      </c>
      <c r="E1193" s="1">
        <v>43080</v>
      </c>
      <c r="F1193" t="str">
        <f>"8852294"</f>
        <v>8852294</v>
      </c>
      <c r="G1193" t="str">
        <f>"Bill# 8852294"</f>
        <v>Bill# 8852294</v>
      </c>
      <c r="H1193" s="2">
        <v>571.39</v>
      </c>
      <c r="I1193" t="str">
        <f>"Order# 984385092001"</f>
        <v>Order# 984385092001</v>
      </c>
    </row>
    <row r="1194" spans="1:9" x14ac:dyDescent="0.3">
      <c r="A1194" t="str">
        <f>""</f>
        <v/>
      </c>
      <c r="F1194" t="str">
        <f>""</f>
        <v/>
      </c>
      <c r="G1194" t="str">
        <f>""</f>
        <v/>
      </c>
      <c r="I1194" t="str">
        <f>"Order# 984391869001"</f>
        <v>Order# 984391869001</v>
      </c>
    </row>
    <row r="1195" spans="1:9" x14ac:dyDescent="0.3">
      <c r="A1195" t="str">
        <f>""</f>
        <v/>
      </c>
      <c r="F1195" t="str">
        <f>""</f>
        <v/>
      </c>
      <c r="G1195" t="str">
        <f>""</f>
        <v/>
      </c>
      <c r="I1195" t="str">
        <f>"Order# 984258779001"</f>
        <v>Order# 984258779001</v>
      </c>
    </row>
    <row r="1196" spans="1:9" x14ac:dyDescent="0.3">
      <c r="A1196" t="str">
        <f>""</f>
        <v/>
      </c>
      <c r="F1196" t="str">
        <f>""</f>
        <v/>
      </c>
      <c r="G1196" t="str">
        <f>""</f>
        <v/>
      </c>
      <c r="I1196" t="str">
        <f>"Order# 981566693001"</f>
        <v>Order# 981566693001</v>
      </c>
    </row>
    <row r="1197" spans="1:9" x14ac:dyDescent="0.3">
      <c r="A1197" t="str">
        <f>""</f>
        <v/>
      </c>
      <c r="F1197" t="str">
        <f>""</f>
        <v/>
      </c>
      <c r="G1197" t="str">
        <f>""</f>
        <v/>
      </c>
      <c r="I1197" t="str">
        <f>"Order# 981832910001"</f>
        <v>Order# 981832910001</v>
      </c>
    </row>
    <row r="1198" spans="1:9" x14ac:dyDescent="0.3">
      <c r="A1198" t="str">
        <f>""</f>
        <v/>
      </c>
      <c r="F1198" t="str">
        <f>""</f>
        <v/>
      </c>
      <c r="G1198" t="str">
        <f>""</f>
        <v/>
      </c>
      <c r="I1198" t="str">
        <f>"Order# 981833669001"</f>
        <v>Order# 981833669001</v>
      </c>
    </row>
    <row r="1199" spans="1:9" x14ac:dyDescent="0.3">
      <c r="A1199" t="str">
        <f>""</f>
        <v/>
      </c>
      <c r="F1199" t="str">
        <f>""</f>
        <v/>
      </c>
      <c r="G1199" t="str">
        <f>""</f>
        <v/>
      </c>
      <c r="I1199" t="str">
        <f>"Order# 985481628001"</f>
        <v>Order# 985481628001</v>
      </c>
    </row>
    <row r="1200" spans="1:9" x14ac:dyDescent="0.3">
      <c r="A1200" t="str">
        <f>""</f>
        <v/>
      </c>
      <c r="F1200" t="str">
        <f>""</f>
        <v/>
      </c>
      <c r="G1200" t="str">
        <f>""</f>
        <v/>
      </c>
      <c r="I1200" t="str">
        <f>"Order# 985482233001"</f>
        <v>Order# 985482233001</v>
      </c>
    </row>
    <row r="1201" spans="1:9" x14ac:dyDescent="0.3">
      <c r="A1201" t="str">
        <f>""</f>
        <v/>
      </c>
      <c r="F1201" t="str">
        <f>"OFFICE SUPPLIES"</f>
        <v>OFFICE SUPPLIES</v>
      </c>
      <c r="G1201" t="str">
        <f>"Bill# 8774141"</f>
        <v>Bill# 8774141</v>
      </c>
      <c r="H1201" s="2">
        <v>3982.42</v>
      </c>
      <c r="I1201" t="str">
        <f>"Order# 977958963001"</f>
        <v>Order# 977958963001</v>
      </c>
    </row>
    <row r="1202" spans="1:9" x14ac:dyDescent="0.3">
      <c r="A1202" t="str">
        <f>""</f>
        <v/>
      </c>
      <c r="F1202" t="str">
        <f>""</f>
        <v/>
      </c>
      <c r="G1202" t="str">
        <f>""</f>
        <v/>
      </c>
      <c r="I1202" t="str">
        <f>"Order# 977959323001"</f>
        <v>Order# 977959323001</v>
      </c>
    </row>
    <row r="1203" spans="1:9" x14ac:dyDescent="0.3">
      <c r="A1203" t="str">
        <f>""</f>
        <v/>
      </c>
      <c r="F1203" t="str">
        <f>""</f>
        <v/>
      </c>
      <c r="G1203" t="str">
        <f>""</f>
        <v/>
      </c>
      <c r="I1203" t="str">
        <f>"Order# 977178367001"</f>
        <v>Order# 977178367001</v>
      </c>
    </row>
    <row r="1204" spans="1:9" x14ac:dyDescent="0.3">
      <c r="A1204" t="str">
        <f>""</f>
        <v/>
      </c>
      <c r="F1204" t="str">
        <f>""</f>
        <v/>
      </c>
      <c r="G1204" t="str">
        <f>""</f>
        <v/>
      </c>
      <c r="I1204" t="str">
        <f>"Order# 976009297001"</f>
        <v>Order# 976009297001</v>
      </c>
    </row>
    <row r="1205" spans="1:9" x14ac:dyDescent="0.3">
      <c r="A1205" t="str">
        <f>""</f>
        <v/>
      </c>
      <c r="F1205" t="str">
        <f>""</f>
        <v/>
      </c>
      <c r="G1205" t="str">
        <f>""</f>
        <v/>
      </c>
      <c r="I1205" t="str">
        <f>"Order# 978755010001"</f>
        <v>Order# 978755010001</v>
      </c>
    </row>
    <row r="1206" spans="1:9" x14ac:dyDescent="0.3">
      <c r="A1206" t="str">
        <f>""</f>
        <v/>
      </c>
      <c r="F1206" t="str">
        <f>""</f>
        <v/>
      </c>
      <c r="G1206" t="str">
        <f>""</f>
        <v/>
      </c>
      <c r="I1206" t="str">
        <f>"Order# 978979927001"</f>
        <v>Order# 978979927001</v>
      </c>
    </row>
    <row r="1207" spans="1:9" x14ac:dyDescent="0.3">
      <c r="A1207" t="str">
        <f>""</f>
        <v/>
      </c>
      <c r="F1207" t="str">
        <f>""</f>
        <v/>
      </c>
      <c r="G1207" t="str">
        <f>""</f>
        <v/>
      </c>
      <c r="I1207" t="str">
        <f>"Order# 978981572001"</f>
        <v>Order# 978981572001</v>
      </c>
    </row>
    <row r="1208" spans="1:9" x14ac:dyDescent="0.3">
      <c r="A1208" t="str">
        <f>""</f>
        <v/>
      </c>
      <c r="F1208" t="str">
        <f>""</f>
        <v/>
      </c>
      <c r="G1208" t="str">
        <f>""</f>
        <v/>
      </c>
      <c r="I1208" t="str">
        <f>"Order# 981537203001"</f>
        <v>Order# 981537203001</v>
      </c>
    </row>
    <row r="1209" spans="1:9" x14ac:dyDescent="0.3">
      <c r="A1209" t="str">
        <f>""</f>
        <v/>
      </c>
      <c r="F1209" t="str">
        <f>""</f>
        <v/>
      </c>
      <c r="G1209" t="str">
        <f>""</f>
        <v/>
      </c>
      <c r="I1209" t="str">
        <f>"Order# 978116044001"</f>
        <v>Order# 978116044001</v>
      </c>
    </row>
    <row r="1210" spans="1:9" x14ac:dyDescent="0.3">
      <c r="A1210" t="str">
        <f>""</f>
        <v/>
      </c>
      <c r="F1210" t="str">
        <f>""</f>
        <v/>
      </c>
      <c r="G1210" t="str">
        <f>""</f>
        <v/>
      </c>
      <c r="I1210" t="str">
        <f>"Order# 978116518001"</f>
        <v>Order# 978116518001</v>
      </c>
    </row>
    <row r="1211" spans="1:9" x14ac:dyDescent="0.3">
      <c r="A1211" t="str">
        <f>""</f>
        <v/>
      </c>
      <c r="F1211" t="str">
        <f>""</f>
        <v/>
      </c>
      <c r="G1211" t="str">
        <f>""</f>
        <v/>
      </c>
      <c r="I1211" t="str">
        <f>"Order# 978116519001"</f>
        <v>Order# 978116519001</v>
      </c>
    </row>
    <row r="1212" spans="1:9" x14ac:dyDescent="0.3">
      <c r="A1212" t="str">
        <f>""</f>
        <v/>
      </c>
      <c r="F1212" t="str">
        <f>""</f>
        <v/>
      </c>
      <c r="G1212" t="str">
        <f>""</f>
        <v/>
      </c>
      <c r="I1212" t="str">
        <f>"Order# 981578839001"</f>
        <v>Order# 981578839001</v>
      </c>
    </row>
    <row r="1213" spans="1:9" x14ac:dyDescent="0.3">
      <c r="A1213" t="str">
        <f>""</f>
        <v/>
      </c>
      <c r="F1213" t="str">
        <f>""</f>
        <v/>
      </c>
      <c r="G1213" t="str">
        <f>""</f>
        <v/>
      </c>
      <c r="I1213" t="str">
        <f>"Order# 981579751001"</f>
        <v>Order# 981579751001</v>
      </c>
    </row>
    <row r="1214" spans="1:9" x14ac:dyDescent="0.3">
      <c r="A1214" t="str">
        <f>""</f>
        <v/>
      </c>
      <c r="F1214" t="str">
        <f>""</f>
        <v/>
      </c>
      <c r="G1214" t="str">
        <f>""</f>
        <v/>
      </c>
      <c r="I1214" t="str">
        <f>"Order# 981114039001"</f>
        <v>Order# 981114039001</v>
      </c>
    </row>
    <row r="1215" spans="1:9" x14ac:dyDescent="0.3">
      <c r="A1215" t="str">
        <f>""</f>
        <v/>
      </c>
      <c r="F1215" t="str">
        <f>""</f>
        <v/>
      </c>
      <c r="G1215" t="str">
        <f>""</f>
        <v/>
      </c>
      <c r="I1215" t="str">
        <f>"Order# 981486567001"</f>
        <v>Order# 981486567001</v>
      </c>
    </row>
    <row r="1216" spans="1:9" x14ac:dyDescent="0.3">
      <c r="A1216" t="str">
        <f>""</f>
        <v/>
      </c>
      <c r="F1216" t="str">
        <f>""</f>
        <v/>
      </c>
      <c r="G1216" t="str">
        <f>""</f>
        <v/>
      </c>
      <c r="I1216" t="str">
        <f>"Order# 980512683001"</f>
        <v>Order# 980512683001</v>
      </c>
    </row>
    <row r="1217" spans="1:9" x14ac:dyDescent="0.3">
      <c r="A1217" t="str">
        <f>""</f>
        <v/>
      </c>
      <c r="F1217" t="str">
        <f>""</f>
        <v/>
      </c>
      <c r="G1217" t="str">
        <f>""</f>
        <v/>
      </c>
      <c r="I1217" t="str">
        <f>"Order# 980515600001"</f>
        <v>Order# 980515600001</v>
      </c>
    </row>
    <row r="1218" spans="1:9" x14ac:dyDescent="0.3">
      <c r="A1218" t="str">
        <f>""</f>
        <v/>
      </c>
      <c r="F1218" t="str">
        <f>""</f>
        <v/>
      </c>
      <c r="G1218" t="str">
        <f>""</f>
        <v/>
      </c>
      <c r="I1218" t="str">
        <f>"Order# 980515601001"</f>
        <v>Order# 980515601001</v>
      </c>
    </row>
    <row r="1219" spans="1:9" x14ac:dyDescent="0.3">
      <c r="A1219" t="str">
        <f>""</f>
        <v/>
      </c>
      <c r="F1219" t="str">
        <f>""</f>
        <v/>
      </c>
      <c r="G1219" t="str">
        <f>""</f>
        <v/>
      </c>
      <c r="I1219" t="str">
        <f>"Order# 981475930001"</f>
        <v>Order# 981475930001</v>
      </c>
    </row>
    <row r="1220" spans="1:9" x14ac:dyDescent="0.3">
      <c r="A1220" t="str">
        <f>""</f>
        <v/>
      </c>
      <c r="F1220" t="str">
        <f>""</f>
        <v/>
      </c>
      <c r="G1220" t="str">
        <f>""</f>
        <v/>
      </c>
      <c r="I1220" t="str">
        <f>"Del Charge"</f>
        <v>Del Charge</v>
      </c>
    </row>
    <row r="1221" spans="1:9" x14ac:dyDescent="0.3">
      <c r="A1221" t="str">
        <f>""</f>
        <v/>
      </c>
      <c r="F1221" t="str">
        <f>""</f>
        <v/>
      </c>
      <c r="G1221" t="str">
        <f>""</f>
        <v/>
      </c>
      <c r="I1221" t="str">
        <f>"Order# 976602890001"</f>
        <v>Order# 976602890001</v>
      </c>
    </row>
    <row r="1222" spans="1:9" x14ac:dyDescent="0.3">
      <c r="A1222" t="str">
        <f>""</f>
        <v/>
      </c>
      <c r="F1222" t="str">
        <f>""</f>
        <v/>
      </c>
      <c r="G1222" t="str">
        <f>""</f>
        <v/>
      </c>
      <c r="I1222" t="str">
        <f>"Order# 981564728001"</f>
        <v>Order# 981564728001</v>
      </c>
    </row>
    <row r="1223" spans="1:9" x14ac:dyDescent="0.3">
      <c r="A1223" t="str">
        <f>""</f>
        <v/>
      </c>
      <c r="F1223" t="str">
        <f>""</f>
        <v/>
      </c>
      <c r="G1223" t="str">
        <f>""</f>
        <v/>
      </c>
      <c r="I1223" t="str">
        <f>"Order# 980341735001"</f>
        <v>Order# 980341735001</v>
      </c>
    </row>
    <row r="1224" spans="1:9" x14ac:dyDescent="0.3">
      <c r="A1224" t="str">
        <f>""</f>
        <v/>
      </c>
      <c r="F1224" t="str">
        <f>""</f>
        <v/>
      </c>
      <c r="G1224" t="str">
        <f>""</f>
        <v/>
      </c>
      <c r="I1224" t="str">
        <f>"Order# 977816579001"</f>
        <v>Order# 977816579001</v>
      </c>
    </row>
    <row r="1225" spans="1:9" x14ac:dyDescent="0.3">
      <c r="A1225" t="str">
        <f>""</f>
        <v/>
      </c>
      <c r="F1225" t="str">
        <f>""</f>
        <v/>
      </c>
      <c r="G1225" t="str">
        <f>""</f>
        <v/>
      </c>
      <c r="I1225" t="str">
        <f>"Del Charge"</f>
        <v>Del Charge</v>
      </c>
    </row>
    <row r="1226" spans="1:9" x14ac:dyDescent="0.3">
      <c r="A1226" t="str">
        <f>"T5769"</f>
        <v>T5769</v>
      </c>
      <c r="B1226" t="s">
        <v>427</v>
      </c>
      <c r="C1226">
        <v>74436</v>
      </c>
      <c r="D1226" s="2">
        <v>3221.02</v>
      </c>
      <c r="E1226" s="1">
        <v>43096</v>
      </c>
      <c r="F1226" t="str">
        <f>"8894689"</f>
        <v>8894689</v>
      </c>
      <c r="G1226" t="str">
        <f>"Bill# 8894689"</f>
        <v>Bill# 8894689</v>
      </c>
      <c r="H1226" s="2">
        <v>3221.02</v>
      </c>
      <c r="I1226" t="str">
        <f>"Ord# 989930242001"</f>
        <v>Ord# 989930242001</v>
      </c>
    </row>
    <row r="1227" spans="1:9" x14ac:dyDescent="0.3">
      <c r="A1227" t="str">
        <f>""</f>
        <v/>
      </c>
      <c r="F1227" t="str">
        <f>""</f>
        <v/>
      </c>
      <c r="G1227" t="str">
        <f>""</f>
        <v/>
      </c>
      <c r="I1227" t="str">
        <f>"Ord# 986577203001"</f>
        <v>Ord# 986577203001</v>
      </c>
    </row>
    <row r="1228" spans="1:9" x14ac:dyDescent="0.3">
      <c r="A1228" t="str">
        <f>""</f>
        <v/>
      </c>
      <c r="F1228" t="str">
        <f>""</f>
        <v/>
      </c>
      <c r="G1228" t="str">
        <f>""</f>
        <v/>
      </c>
      <c r="I1228" t="str">
        <f>"Ord# 986577652001"</f>
        <v>Ord# 986577652001</v>
      </c>
    </row>
    <row r="1229" spans="1:9" x14ac:dyDescent="0.3">
      <c r="A1229" t="str">
        <f>""</f>
        <v/>
      </c>
      <c r="F1229" t="str">
        <f>""</f>
        <v/>
      </c>
      <c r="G1229" t="str">
        <f>""</f>
        <v/>
      </c>
      <c r="I1229" t="str">
        <f>"Ord# 986577653001"</f>
        <v>Ord# 986577653001</v>
      </c>
    </row>
    <row r="1230" spans="1:9" x14ac:dyDescent="0.3">
      <c r="A1230" t="str">
        <f>""</f>
        <v/>
      </c>
      <c r="F1230" t="str">
        <f>""</f>
        <v/>
      </c>
      <c r="G1230" t="str">
        <f>""</f>
        <v/>
      </c>
      <c r="I1230" t="str">
        <f>"Ord# 987351460001"</f>
        <v>Ord# 987351460001</v>
      </c>
    </row>
    <row r="1231" spans="1:9" x14ac:dyDescent="0.3">
      <c r="A1231" t="str">
        <f>""</f>
        <v/>
      </c>
      <c r="F1231" t="str">
        <f>""</f>
        <v/>
      </c>
      <c r="G1231" t="str">
        <f>""</f>
        <v/>
      </c>
      <c r="I1231" t="str">
        <f>"Ord# 987952584001"</f>
        <v>Ord# 987952584001</v>
      </c>
    </row>
    <row r="1232" spans="1:9" x14ac:dyDescent="0.3">
      <c r="A1232" t="str">
        <f>""</f>
        <v/>
      </c>
      <c r="F1232" t="str">
        <f>""</f>
        <v/>
      </c>
      <c r="G1232" t="str">
        <f>""</f>
        <v/>
      </c>
      <c r="I1232" t="str">
        <f>"Ord# 987953000001"</f>
        <v>Ord# 987953000001</v>
      </c>
    </row>
    <row r="1233" spans="1:9" x14ac:dyDescent="0.3">
      <c r="A1233" t="str">
        <f>""</f>
        <v/>
      </c>
      <c r="F1233" t="str">
        <f>""</f>
        <v/>
      </c>
      <c r="G1233" t="str">
        <f>""</f>
        <v/>
      </c>
      <c r="I1233" t="str">
        <f>"Ord# 987953001001"</f>
        <v>Ord# 987953001001</v>
      </c>
    </row>
    <row r="1234" spans="1:9" x14ac:dyDescent="0.3">
      <c r="A1234" t="str">
        <f>""</f>
        <v/>
      </c>
      <c r="F1234" t="str">
        <f>""</f>
        <v/>
      </c>
      <c r="G1234" t="str">
        <f>""</f>
        <v/>
      </c>
      <c r="I1234" t="str">
        <f>"Ord# 987676505001"</f>
        <v>Ord# 987676505001</v>
      </c>
    </row>
    <row r="1235" spans="1:9" x14ac:dyDescent="0.3">
      <c r="A1235" t="str">
        <f>""</f>
        <v/>
      </c>
      <c r="F1235" t="str">
        <f>""</f>
        <v/>
      </c>
      <c r="G1235" t="str">
        <f>""</f>
        <v/>
      </c>
      <c r="I1235" t="str">
        <f>"Ord# 987676782001"</f>
        <v>Ord# 987676782001</v>
      </c>
    </row>
    <row r="1236" spans="1:9" x14ac:dyDescent="0.3">
      <c r="A1236" t="str">
        <f>""</f>
        <v/>
      </c>
      <c r="F1236" t="str">
        <f>""</f>
        <v/>
      </c>
      <c r="G1236" t="str">
        <f>""</f>
        <v/>
      </c>
      <c r="I1236" t="str">
        <f>"Ord# 987676783001"</f>
        <v>Ord# 987676783001</v>
      </c>
    </row>
    <row r="1237" spans="1:9" x14ac:dyDescent="0.3">
      <c r="A1237" t="str">
        <f>""</f>
        <v/>
      </c>
      <c r="F1237" t="str">
        <f>""</f>
        <v/>
      </c>
      <c r="G1237" t="str">
        <f>""</f>
        <v/>
      </c>
      <c r="I1237" t="str">
        <f>"Ord# 988100389001"</f>
        <v>Ord# 988100389001</v>
      </c>
    </row>
    <row r="1238" spans="1:9" x14ac:dyDescent="0.3">
      <c r="A1238" t="str">
        <f>""</f>
        <v/>
      </c>
      <c r="F1238" t="str">
        <f>""</f>
        <v/>
      </c>
      <c r="G1238" t="str">
        <f>""</f>
        <v/>
      </c>
      <c r="I1238" t="str">
        <f>"Ord# 987236298001"</f>
        <v>Ord# 987236298001</v>
      </c>
    </row>
    <row r="1239" spans="1:9" x14ac:dyDescent="0.3">
      <c r="A1239" t="str">
        <f>""</f>
        <v/>
      </c>
      <c r="F1239" t="str">
        <f>""</f>
        <v/>
      </c>
      <c r="G1239" t="str">
        <f>""</f>
        <v/>
      </c>
      <c r="I1239" t="str">
        <f>"Ord# 987236903001"</f>
        <v>Ord# 987236903001</v>
      </c>
    </row>
    <row r="1240" spans="1:9" x14ac:dyDescent="0.3">
      <c r="A1240" t="str">
        <f>""</f>
        <v/>
      </c>
      <c r="F1240" t="str">
        <f>""</f>
        <v/>
      </c>
      <c r="G1240" t="str">
        <f>""</f>
        <v/>
      </c>
      <c r="I1240" t="str">
        <f>"Ord# 987236904001"</f>
        <v>Ord# 987236904001</v>
      </c>
    </row>
    <row r="1241" spans="1:9" x14ac:dyDescent="0.3">
      <c r="A1241" t="str">
        <f>""</f>
        <v/>
      </c>
      <c r="F1241" t="str">
        <f>""</f>
        <v/>
      </c>
      <c r="G1241" t="str">
        <f>""</f>
        <v/>
      </c>
      <c r="I1241" t="str">
        <f>"Ord# 987690775001"</f>
        <v>Ord# 987690775001</v>
      </c>
    </row>
    <row r="1242" spans="1:9" x14ac:dyDescent="0.3">
      <c r="A1242" t="str">
        <f>""</f>
        <v/>
      </c>
      <c r="F1242" t="str">
        <f>""</f>
        <v/>
      </c>
      <c r="G1242" t="str">
        <f>""</f>
        <v/>
      </c>
      <c r="I1242" t="str">
        <f>"Ord# 987692272001"</f>
        <v>Ord# 987692272001</v>
      </c>
    </row>
    <row r="1243" spans="1:9" x14ac:dyDescent="0.3">
      <c r="A1243" t="str">
        <f>""</f>
        <v/>
      </c>
      <c r="F1243" t="str">
        <f>""</f>
        <v/>
      </c>
      <c r="G1243" t="str">
        <f>""</f>
        <v/>
      </c>
      <c r="I1243" t="str">
        <f>"Ord# 988766799001"</f>
        <v>Ord# 988766799001</v>
      </c>
    </row>
    <row r="1244" spans="1:9" x14ac:dyDescent="0.3">
      <c r="A1244" t="str">
        <f>""</f>
        <v/>
      </c>
      <c r="F1244" t="str">
        <f>""</f>
        <v/>
      </c>
      <c r="G1244" t="str">
        <f>""</f>
        <v/>
      </c>
      <c r="I1244" t="str">
        <f>"Ord# 989634874001"</f>
        <v>Ord# 989634874001</v>
      </c>
    </row>
    <row r="1245" spans="1:9" x14ac:dyDescent="0.3">
      <c r="A1245" t="str">
        <f>""</f>
        <v/>
      </c>
      <c r="F1245" t="str">
        <f>""</f>
        <v/>
      </c>
      <c r="G1245" t="str">
        <f>""</f>
        <v/>
      </c>
      <c r="I1245" t="str">
        <f>"Ord# 989636896001"</f>
        <v>Ord# 989636896001</v>
      </c>
    </row>
    <row r="1246" spans="1:9" x14ac:dyDescent="0.3">
      <c r="A1246" t="str">
        <f>""</f>
        <v/>
      </c>
      <c r="F1246" t="str">
        <f>""</f>
        <v/>
      </c>
      <c r="G1246" t="str">
        <f>""</f>
        <v/>
      </c>
      <c r="I1246" t="str">
        <f>"Ord# 989636897001"</f>
        <v>Ord# 989636897001</v>
      </c>
    </row>
    <row r="1247" spans="1:9" x14ac:dyDescent="0.3">
      <c r="A1247" t="str">
        <f>""</f>
        <v/>
      </c>
      <c r="F1247" t="str">
        <f>""</f>
        <v/>
      </c>
      <c r="G1247" t="str">
        <f>""</f>
        <v/>
      </c>
      <c r="I1247" t="str">
        <f>"Ord# 989636898002"</f>
        <v>Ord# 989636898002</v>
      </c>
    </row>
    <row r="1248" spans="1:9" x14ac:dyDescent="0.3">
      <c r="A1248" t="str">
        <f>""</f>
        <v/>
      </c>
      <c r="F1248" t="str">
        <f>""</f>
        <v/>
      </c>
      <c r="G1248" t="str">
        <f>""</f>
        <v/>
      </c>
      <c r="I1248" t="str">
        <f>"Ord# 989585913001"</f>
        <v>Ord# 989585913001</v>
      </c>
    </row>
    <row r="1249" spans="1:9" x14ac:dyDescent="0.3">
      <c r="A1249" t="str">
        <f>""</f>
        <v/>
      </c>
      <c r="F1249" t="str">
        <f>""</f>
        <v/>
      </c>
      <c r="G1249" t="str">
        <f>""</f>
        <v/>
      </c>
      <c r="I1249" t="str">
        <f>"Ord# 989586487001"</f>
        <v>Ord# 989586487001</v>
      </c>
    </row>
    <row r="1250" spans="1:9" x14ac:dyDescent="0.3">
      <c r="A1250" t="str">
        <f>""</f>
        <v/>
      </c>
      <c r="F1250" t="str">
        <f>""</f>
        <v/>
      </c>
      <c r="G1250" t="str">
        <f>""</f>
        <v/>
      </c>
      <c r="I1250" t="str">
        <f>"Ord# 985966620001"</f>
        <v>Ord# 985966620001</v>
      </c>
    </row>
    <row r="1251" spans="1:9" x14ac:dyDescent="0.3">
      <c r="A1251" t="str">
        <f>""</f>
        <v/>
      </c>
      <c r="F1251" t="str">
        <f>""</f>
        <v/>
      </c>
      <c r="G1251" t="str">
        <f>""</f>
        <v/>
      </c>
      <c r="I1251" t="str">
        <f>"Ord# 985967413001"</f>
        <v>Ord# 985967413001</v>
      </c>
    </row>
    <row r="1252" spans="1:9" x14ac:dyDescent="0.3">
      <c r="A1252" t="str">
        <f>""</f>
        <v/>
      </c>
      <c r="F1252" t="str">
        <f>""</f>
        <v/>
      </c>
      <c r="G1252" t="str">
        <f>""</f>
        <v/>
      </c>
      <c r="I1252" t="str">
        <f>"Ord# 986747415001"</f>
        <v>Ord# 986747415001</v>
      </c>
    </row>
    <row r="1253" spans="1:9" x14ac:dyDescent="0.3">
      <c r="A1253" t="str">
        <f>"000877"</f>
        <v>000877</v>
      </c>
      <c r="B1253" t="s">
        <v>428</v>
      </c>
      <c r="C1253">
        <v>74219</v>
      </c>
      <c r="D1253" s="2">
        <v>80</v>
      </c>
      <c r="E1253" s="1">
        <v>43080</v>
      </c>
      <c r="F1253" t="str">
        <f>"283663"</f>
        <v>283663</v>
      </c>
      <c r="G1253" t="str">
        <f>"CUST#BASCOU/DRUG SCREENING"</f>
        <v>CUST#BASCOU/DRUG SCREENING</v>
      </c>
      <c r="H1253" s="2">
        <v>80</v>
      </c>
      <c r="I1253" t="str">
        <f>"CUST#BASCOU/DRUG SCREENING"</f>
        <v>CUST#BASCOU/DRUG SCREENING</v>
      </c>
    </row>
    <row r="1254" spans="1:9" x14ac:dyDescent="0.3">
      <c r="A1254" t="str">
        <f>"OP"</f>
        <v>OP</v>
      </c>
      <c r="B1254" t="s">
        <v>429</v>
      </c>
      <c r="C1254">
        <v>74220</v>
      </c>
      <c r="D1254" s="2">
        <v>490</v>
      </c>
      <c r="E1254" s="1">
        <v>43080</v>
      </c>
      <c r="F1254" t="str">
        <f>"16865"</f>
        <v>16865</v>
      </c>
      <c r="G1254" t="str">
        <f>"PLUMBING SVCS/GEN SVCS"</f>
        <v>PLUMBING SVCS/GEN SVCS</v>
      </c>
      <c r="H1254" s="2">
        <v>490</v>
      </c>
      <c r="I1254" t="str">
        <f>"PLUMBING SVCS/GEN SVCS"</f>
        <v>PLUMBING SVCS/GEN SVCS</v>
      </c>
    </row>
    <row r="1255" spans="1:9" x14ac:dyDescent="0.3">
      <c r="A1255" t="str">
        <f>"005292"</f>
        <v>005292</v>
      </c>
      <c r="B1255" t="s">
        <v>430</v>
      </c>
      <c r="C1255">
        <v>74221</v>
      </c>
      <c r="D1255" s="2">
        <v>864.58</v>
      </c>
      <c r="E1255" s="1">
        <v>43080</v>
      </c>
      <c r="F1255" t="str">
        <f>"3024175/3024331"</f>
        <v>3024175/3024331</v>
      </c>
      <c r="G1255" t="str">
        <f>"INV 3024175"</f>
        <v>INV 3024175</v>
      </c>
      <c r="H1255" s="2">
        <v>864.58</v>
      </c>
      <c r="I1255" t="str">
        <f>"INV 3024175"</f>
        <v>INV 3024175</v>
      </c>
    </row>
    <row r="1256" spans="1:9" x14ac:dyDescent="0.3">
      <c r="A1256" t="str">
        <f>""</f>
        <v/>
      </c>
      <c r="F1256" t="str">
        <f>""</f>
        <v/>
      </c>
      <c r="G1256" t="str">
        <f>""</f>
        <v/>
      </c>
      <c r="I1256" t="str">
        <f>"INV 3024331"</f>
        <v>INV 3024331</v>
      </c>
    </row>
    <row r="1257" spans="1:9" x14ac:dyDescent="0.3">
      <c r="A1257" t="str">
        <f>"003959"</f>
        <v>003959</v>
      </c>
      <c r="B1257" t="s">
        <v>431</v>
      </c>
      <c r="C1257">
        <v>74222</v>
      </c>
      <c r="D1257" s="2">
        <v>4230</v>
      </c>
      <c r="E1257" s="1">
        <v>43080</v>
      </c>
      <c r="F1257" t="str">
        <f>"43368"</f>
        <v>43368</v>
      </c>
      <c r="G1257" t="str">
        <f>"SUBSCRIPTION&amp;PRODUCT LICEN AGR"</f>
        <v>SUBSCRIPTION&amp;PRODUCT LICEN AGR</v>
      </c>
      <c r="H1257" s="2">
        <v>4230</v>
      </c>
      <c r="I1257" t="str">
        <f>"SUBSCRIPTION&amp;PRODUCT LICEN AGR"</f>
        <v>SUBSCRIPTION&amp;PRODUCT LICEN AGR</v>
      </c>
    </row>
    <row r="1258" spans="1:9" x14ac:dyDescent="0.3">
      <c r="A1258" t="str">
        <f>"PAIGE"</f>
        <v>PAIGE</v>
      </c>
      <c r="B1258" t="s">
        <v>432</v>
      </c>
      <c r="C1258">
        <v>74437</v>
      </c>
      <c r="D1258" s="2">
        <v>53.98</v>
      </c>
      <c r="E1258" s="1">
        <v>43096</v>
      </c>
      <c r="F1258" t="str">
        <f>"59013"</f>
        <v>59013</v>
      </c>
      <c r="G1258" t="str">
        <f>"STIHL CHAIN SAW/PCT#4"</f>
        <v>STIHL CHAIN SAW/PCT#4</v>
      </c>
      <c r="H1258" s="2">
        <v>53.98</v>
      </c>
      <c r="I1258" t="str">
        <f>"STIHL CHAIN SAW/PCT#4"</f>
        <v>STIHL CHAIN SAW/PCT#4</v>
      </c>
    </row>
    <row r="1259" spans="1:9" x14ac:dyDescent="0.3">
      <c r="A1259" t="str">
        <f>"003566"</f>
        <v>003566</v>
      </c>
      <c r="B1259" t="s">
        <v>433</v>
      </c>
      <c r="C1259">
        <v>74223</v>
      </c>
      <c r="D1259" s="2">
        <v>238.79</v>
      </c>
      <c r="E1259" s="1">
        <v>43080</v>
      </c>
      <c r="F1259" t="str">
        <f>"201712057191"</f>
        <v>201712057191</v>
      </c>
      <c r="G1259" t="str">
        <f>"ACCT#1137/PCT#4"</f>
        <v>ACCT#1137/PCT#4</v>
      </c>
      <c r="H1259" s="2">
        <v>238.79</v>
      </c>
      <c r="I1259" t="str">
        <f>"ACCT#1137/PCT#4"</f>
        <v>ACCT#1137/PCT#4</v>
      </c>
    </row>
    <row r="1260" spans="1:9" x14ac:dyDescent="0.3">
      <c r="A1260" t="str">
        <f>"T5411"</f>
        <v>T5411</v>
      </c>
      <c r="B1260" t="s">
        <v>434</v>
      </c>
      <c r="C1260">
        <v>74224</v>
      </c>
      <c r="D1260" s="2">
        <v>276</v>
      </c>
      <c r="E1260" s="1">
        <v>43080</v>
      </c>
      <c r="F1260" t="str">
        <f>"025606"</f>
        <v>025606</v>
      </c>
      <c r="G1260" t="str">
        <f>"PATHMARK TRAFFIC PRODUCTS"</f>
        <v>PATHMARK TRAFFIC PRODUCTS</v>
      </c>
      <c r="H1260" s="2">
        <v>276</v>
      </c>
      <c r="I1260" t="str">
        <f>"Carolyn Dill"</f>
        <v>Carolyn Dill</v>
      </c>
    </row>
    <row r="1261" spans="1:9" x14ac:dyDescent="0.3">
      <c r="A1261" t="str">
        <f>"005346"</f>
        <v>005346</v>
      </c>
      <c r="B1261" t="s">
        <v>435</v>
      </c>
      <c r="C1261">
        <v>74438</v>
      </c>
      <c r="D1261" s="2">
        <v>200</v>
      </c>
      <c r="E1261" s="1">
        <v>43096</v>
      </c>
      <c r="F1261" t="str">
        <f>"3SC-06-17"</f>
        <v>3SC-06-17</v>
      </c>
      <c r="G1261" t="str">
        <f>"TRANSLATOR SERVICES/JP#3"</f>
        <v>TRANSLATOR SERVICES/JP#3</v>
      </c>
      <c r="H1261" s="2">
        <v>200</v>
      </c>
      <c r="I1261" t="str">
        <f>"TRANSLATOR SERVICES/JP#3"</f>
        <v>TRANSLATOR SERVICES/JP#3</v>
      </c>
    </row>
    <row r="1262" spans="1:9" x14ac:dyDescent="0.3">
      <c r="A1262" t="str">
        <f>"002370"</f>
        <v>002370</v>
      </c>
      <c r="B1262" t="s">
        <v>436</v>
      </c>
      <c r="C1262">
        <v>74225</v>
      </c>
      <c r="D1262" s="2">
        <v>5510</v>
      </c>
      <c r="E1262" s="1">
        <v>43080</v>
      </c>
      <c r="F1262" t="str">
        <f>"2008307"</f>
        <v>2008307</v>
      </c>
      <c r="G1262" t="str">
        <f>"Inv# 2008307"</f>
        <v>Inv# 2008307</v>
      </c>
      <c r="H1262" s="2">
        <v>5250</v>
      </c>
      <c r="I1262" t="str">
        <f>"Inv# 2008307"</f>
        <v>Inv# 2008307</v>
      </c>
    </row>
    <row r="1263" spans="1:9" x14ac:dyDescent="0.3">
      <c r="A1263" t="str">
        <f>""</f>
        <v/>
      </c>
      <c r="F1263" t="str">
        <f>"2008309"</f>
        <v>2008309</v>
      </c>
      <c r="G1263" t="str">
        <f>"REPLACE CHILLER MOTOR/GEN SVCS"</f>
        <v>REPLACE CHILLER MOTOR/GEN SVCS</v>
      </c>
      <c r="H1263" s="2">
        <v>260</v>
      </c>
      <c r="I1263" t="str">
        <f>"REPLACE CHILLER MOTOR/GEN SVCS"</f>
        <v>REPLACE CHILLER MOTOR/GEN SVCS</v>
      </c>
    </row>
    <row r="1264" spans="1:9" x14ac:dyDescent="0.3">
      <c r="A1264" t="str">
        <f>"005322"</f>
        <v>005322</v>
      </c>
      <c r="B1264" t="s">
        <v>437</v>
      </c>
      <c r="C1264">
        <v>74226</v>
      </c>
      <c r="D1264" s="2">
        <v>20</v>
      </c>
      <c r="E1264" s="1">
        <v>43080</v>
      </c>
      <c r="F1264" t="str">
        <f>"201711286810"</f>
        <v>201711286810</v>
      </c>
      <c r="G1264" t="str">
        <f>"FERAL HOGS"</f>
        <v>FERAL HOGS</v>
      </c>
      <c r="H1264" s="2">
        <v>20</v>
      </c>
      <c r="I1264" t="str">
        <f>"FERAL HOGS"</f>
        <v>FERAL HOGS</v>
      </c>
    </row>
    <row r="1265" spans="1:9" x14ac:dyDescent="0.3">
      <c r="A1265" t="str">
        <f>"003321"</f>
        <v>003321</v>
      </c>
      <c r="B1265" t="s">
        <v>438</v>
      </c>
      <c r="C1265">
        <v>74227</v>
      </c>
      <c r="D1265" s="2">
        <v>80</v>
      </c>
      <c r="E1265" s="1">
        <v>43080</v>
      </c>
      <c r="F1265" t="str">
        <f>"201712047019"</f>
        <v>201712047019</v>
      </c>
      <c r="G1265" t="str">
        <f>"FERAL HOGS"</f>
        <v>FERAL HOGS</v>
      </c>
      <c r="H1265" s="2">
        <v>25</v>
      </c>
      <c r="I1265" t="str">
        <f>"FERAL HOGS"</f>
        <v>FERAL HOGS</v>
      </c>
    </row>
    <row r="1266" spans="1:9" x14ac:dyDescent="0.3">
      <c r="A1266" t="str">
        <f>""</f>
        <v/>
      </c>
      <c r="F1266" t="str">
        <f>"201712047020"</f>
        <v>201712047020</v>
      </c>
      <c r="G1266" t="str">
        <f>"FERAL HOGS"</f>
        <v>FERAL HOGS</v>
      </c>
      <c r="H1266" s="2">
        <v>50</v>
      </c>
      <c r="I1266" t="str">
        <f>"FERAL HOGS"</f>
        <v>FERAL HOGS</v>
      </c>
    </row>
    <row r="1267" spans="1:9" x14ac:dyDescent="0.3">
      <c r="A1267" t="str">
        <f>""</f>
        <v/>
      </c>
      <c r="F1267" t="str">
        <f>"201712047021"</f>
        <v>201712047021</v>
      </c>
      <c r="G1267" t="str">
        <f>"FERAL HOGS"</f>
        <v>FERAL HOGS</v>
      </c>
      <c r="H1267" s="2">
        <v>5</v>
      </c>
      <c r="I1267" t="str">
        <f>"FERAL HOGS"</f>
        <v>FERAL HOGS</v>
      </c>
    </row>
    <row r="1268" spans="1:9" x14ac:dyDescent="0.3">
      <c r="A1268" t="str">
        <f>"WEBSTE"</f>
        <v>WEBSTE</v>
      </c>
      <c r="B1268" t="s">
        <v>439</v>
      </c>
      <c r="C1268">
        <v>74228</v>
      </c>
      <c r="D1268" s="2">
        <v>2329.42</v>
      </c>
      <c r="E1268" s="1">
        <v>43080</v>
      </c>
      <c r="F1268" t="str">
        <f>"201712057189"</f>
        <v>201712057189</v>
      </c>
      <c r="G1268" t="str">
        <f>"ACCT#0200140783/ANIMAL SVCS"</f>
        <v>ACCT#0200140783/ANIMAL SVCS</v>
      </c>
      <c r="H1268" s="2">
        <v>2329.42</v>
      </c>
      <c r="I1268" t="str">
        <f>"ACCT#0200140783/ANIMAL SVCS"</f>
        <v>ACCT#0200140783/ANIMAL SVCS</v>
      </c>
    </row>
    <row r="1269" spans="1:9" x14ac:dyDescent="0.3">
      <c r="A1269" t="str">
        <f>""</f>
        <v/>
      </c>
      <c r="F1269" t="str">
        <f>""</f>
        <v/>
      </c>
      <c r="G1269" t="str">
        <f>""</f>
        <v/>
      </c>
      <c r="I1269" t="str">
        <f>"ACCT#0200140783/ANIMAL SVCS"</f>
        <v>ACCT#0200140783/ANIMAL SVCS</v>
      </c>
    </row>
    <row r="1270" spans="1:9" x14ac:dyDescent="0.3">
      <c r="A1270" t="str">
        <f>""</f>
        <v/>
      </c>
      <c r="F1270" t="str">
        <f>""</f>
        <v/>
      </c>
      <c r="G1270" t="str">
        <f>""</f>
        <v/>
      </c>
      <c r="I1270" t="str">
        <f>"ACCT#0200140783/ANIMAL SVCS"</f>
        <v>ACCT#0200140783/ANIMAL SVCS</v>
      </c>
    </row>
    <row r="1271" spans="1:9" x14ac:dyDescent="0.3">
      <c r="A1271" t="str">
        <f>"002471"</f>
        <v>002471</v>
      </c>
      <c r="B1271" t="s">
        <v>440</v>
      </c>
      <c r="C1271">
        <v>74229</v>
      </c>
      <c r="D1271" s="2">
        <v>10000</v>
      </c>
      <c r="E1271" s="1">
        <v>43080</v>
      </c>
      <c r="F1271" t="str">
        <f>"381943"</f>
        <v>381943</v>
      </c>
      <c r="G1271" t="str">
        <f>"CLIENT#20442/AUDIT SVCS"</f>
        <v>CLIENT#20442/AUDIT SVCS</v>
      </c>
      <c r="H1271" s="2">
        <v>10000</v>
      </c>
      <c r="I1271" t="str">
        <f>"CLIENT#20442/AUDIT SVCS"</f>
        <v>CLIENT#20442/AUDIT SVCS</v>
      </c>
    </row>
    <row r="1272" spans="1:9" x14ac:dyDescent="0.3">
      <c r="A1272" t="str">
        <f>"001854"</f>
        <v>001854</v>
      </c>
      <c r="B1272" t="s">
        <v>441</v>
      </c>
      <c r="C1272">
        <v>73997</v>
      </c>
      <c r="D1272" s="2">
        <v>331.5</v>
      </c>
      <c r="E1272" s="1">
        <v>43070</v>
      </c>
      <c r="F1272" t="str">
        <f>"201712016880"</f>
        <v>201712016880</v>
      </c>
      <c r="G1272" t="str">
        <f>"TRASH REMOVAL/P4/111317-112117"</f>
        <v>TRASH REMOVAL/P4/111317-112117</v>
      </c>
      <c r="H1272" s="2">
        <v>331.5</v>
      </c>
      <c r="I1272" t="str">
        <f>"TRASH REMOVAL/P4/111317-112117"</f>
        <v>TRASH REMOVAL/P4/111317-112117</v>
      </c>
    </row>
    <row r="1273" spans="1:9" x14ac:dyDescent="0.3">
      <c r="A1273" t="str">
        <f>"001854"</f>
        <v>001854</v>
      </c>
      <c r="B1273" t="s">
        <v>441</v>
      </c>
      <c r="C1273">
        <v>74230</v>
      </c>
      <c r="D1273" s="2">
        <v>448.5</v>
      </c>
      <c r="E1273" s="1">
        <v>43080</v>
      </c>
      <c r="F1273" t="str">
        <f>"201712047001"</f>
        <v>201712047001</v>
      </c>
      <c r="G1273" t="str">
        <f>"TRASH REMOVAL/11/26-11/29/PCT4"</f>
        <v>TRASH REMOVAL/11/26-11/29/PCT4</v>
      </c>
      <c r="H1273" s="2">
        <v>234</v>
      </c>
      <c r="I1273" t="str">
        <f>"TRASH REMOVAL/11/26-11/29/PCT4"</f>
        <v>TRASH REMOVAL/11/26-11/29/PCT4</v>
      </c>
    </row>
    <row r="1274" spans="1:9" x14ac:dyDescent="0.3">
      <c r="A1274" t="str">
        <f>""</f>
        <v/>
      </c>
      <c r="F1274" t="str">
        <f>"201712047002"</f>
        <v>201712047002</v>
      </c>
      <c r="G1274" t="str">
        <f>"TRAASH REMOVAL/12/4-12/7/PCT#4"</f>
        <v>TRAASH REMOVAL/12/4-12/7/PCT#4</v>
      </c>
      <c r="H1274" s="2">
        <v>214.5</v>
      </c>
      <c r="I1274" t="str">
        <f>"TRAASH REMOVAL/12/4-12/7/PCT#4"</f>
        <v>TRAASH REMOVAL/12/4-12/7/PCT#4</v>
      </c>
    </row>
    <row r="1275" spans="1:9" x14ac:dyDescent="0.3">
      <c r="A1275" t="str">
        <f>"001854"</f>
        <v>001854</v>
      </c>
      <c r="B1275" t="s">
        <v>441</v>
      </c>
      <c r="C1275">
        <v>74439</v>
      </c>
      <c r="D1275" s="2">
        <v>338</v>
      </c>
      <c r="E1275" s="1">
        <v>43096</v>
      </c>
      <c r="F1275" t="str">
        <f>"201712197365"</f>
        <v>201712197365</v>
      </c>
      <c r="G1275" t="str">
        <f>"TRASH REMOVAL 12/11-12/22/PCT4"</f>
        <v>TRASH REMOVAL 12/11-12/22/PCT4</v>
      </c>
      <c r="H1275" s="2">
        <v>338</v>
      </c>
      <c r="I1275" t="str">
        <f>"TRASH REMOVAL 12/11-12/22/P4"</f>
        <v>TRASH REMOVAL 12/11-12/22/P4</v>
      </c>
    </row>
    <row r="1276" spans="1:9" x14ac:dyDescent="0.3">
      <c r="A1276" t="str">
        <f>"003795"</f>
        <v>003795</v>
      </c>
      <c r="B1276" t="s">
        <v>442</v>
      </c>
      <c r="C1276">
        <v>74231</v>
      </c>
      <c r="D1276" s="2">
        <v>12191.67</v>
      </c>
      <c r="E1276" s="1">
        <v>43080</v>
      </c>
      <c r="F1276" t="str">
        <f>"IVC00037402"</f>
        <v>IVC00037402</v>
      </c>
      <c r="G1276" t="str">
        <f>"ATTORNEY FEES"</f>
        <v>ATTORNEY FEES</v>
      </c>
      <c r="H1276" s="2">
        <v>12191.67</v>
      </c>
      <c r="I1276" t="str">
        <f>"ATTORNEY FEES"</f>
        <v>ATTORNEY FEES</v>
      </c>
    </row>
    <row r="1277" spans="1:9" x14ac:dyDescent="0.3">
      <c r="A1277" t="str">
        <f>"PET"</f>
        <v>PET</v>
      </c>
      <c r="B1277" t="s">
        <v>443</v>
      </c>
      <c r="C1277">
        <v>74440</v>
      </c>
      <c r="D1277" s="2">
        <v>33.950000000000003</v>
      </c>
      <c r="E1277" s="1">
        <v>43096</v>
      </c>
      <c r="F1277" t="str">
        <f>"SIUN10996747"</f>
        <v>SIUN10996747</v>
      </c>
      <c r="G1277" t="str">
        <f>"ACCT#CUN000000233/ANIMAL CONTR"</f>
        <v>ACCT#CUN000000233/ANIMAL CONTR</v>
      </c>
      <c r="H1277" s="2">
        <v>33.950000000000003</v>
      </c>
      <c r="I1277" t="str">
        <f>"ACCT#CUN000000233/ANIMAL CONTR"</f>
        <v>ACCT#CUN000000233/ANIMAL CONTR</v>
      </c>
    </row>
    <row r="1278" spans="1:9" x14ac:dyDescent="0.3">
      <c r="A1278" t="str">
        <f>"PRD"</f>
        <v>PRD</v>
      </c>
      <c r="B1278" t="s">
        <v>444</v>
      </c>
      <c r="C1278">
        <v>999999</v>
      </c>
      <c r="D1278" s="2">
        <v>3112</v>
      </c>
      <c r="E1278" s="1">
        <v>43081</v>
      </c>
      <c r="F1278" t="str">
        <f>"201712046913"</f>
        <v>201712046913</v>
      </c>
      <c r="G1278" t="str">
        <f>"17-18718"</f>
        <v>17-18718</v>
      </c>
      <c r="H1278" s="2">
        <v>423</v>
      </c>
      <c r="I1278" t="str">
        <f>"17-18718"</f>
        <v>17-18718</v>
      </c>
    </row>
    <row r="1279" spans="1:9" x14ac:dyDescent="0.3">
      <c r="A1279" t="str">
        <f>""</f>
        <v/>
      </c>
      <c r="F1279" t="str">
        <f>"201712046914"</f>
        <v>201712046914</v>
      </c>
      <c r="G1279" t="str">
        <f>"17-18119"</f>
        <v>17-18119</v>
      </c>
      <c r="H1279" s="2">
        <v>393</v>
      </c>
      <c r="I1279" t="str">
        <f>"17-18119"</f>
        <v>17-18119</v>
      </c>
    </row>
    <row r="1280" spans="1:9" x14ac:dyDescent="0.3">
      <c r="A1280" t="str">
        <f>""</f>
        <v/>
      </c>
      <c r="F1280" t="str">
        <f>"201712046915"</f>
        <v>201712046915</v>
      </c>
      <c r="G1280" t="str">
        <f>"16-17575"</f>
        <v>16-17575</v>
      </c>
      <c r="H1280" s="2">
        <v>295</v>
      </c>
      <c r="I1280" t="str">
        <f>"16-17575"</f>
        <v>16-17575</v>
      </c>
    </row>
    <row r="1281" spans="1:9" x14ac:dyDescent="0.3">
      <c r="A1281" t="str">
        <f>""</f>
        <v/>
      </c>
      <c r="F1281" t="str">
        <f>"201712046916"</f>
        <v>201712046916</v>
      </c>
      <c r="G1281" t="str">
        <f>"16-17841"</f>
        <v>16-17841</v>
      </c>
      <c r="H1281" s="2">
        <v>333</v>
      </c>
      <c r="I1281" t="str">
        <f>"16-17841"</f>
        <v>16-17841</v>
      </c>
    </row>
    <row r="1282" spans="1:9" x14ac:dyDescent="0.3">
      <c r="A1282" t="str">
        <f>""</f>
        <v/>
      </c>
      <c r="F1282" t="str">
        <f>"201712046917"</f>
        <v>201712046917</v>
      </c>
      <c r="G1282" t="str">
        <f>"16-18018"</f>
        <v>16-18018</v>
      </c>
      <c r="H1282" s="2">
        <v>288</v>
      </c>
      <c r="I1282" t="str">
        <f>"16-18018"</f>
        <v>16-18018</v>
      </c>
    </row>
    <row r="1283" spans="1:9" x14ac:dyDescent="0.3">
      <c r="A1283" t="str">
        <f>""</f>
        <v/>
      </c>
      <c r="F1283" t="str">
        <f>"201712046918"</f>
        <v>201712046918</v>
      </c>
      <c r="G1283" t="str">
        <f>"16-17819  16-17919"</f>
        <v>16-17819  16-17919</v>
      </c>
      <c r="H1283" s="2">
        <v>880</v>
      </c>
      <c r="I1283" t="str">
        <f>"16-17819  16-17919"</f>
        <v>16-17819  16-17919</v>
      </c>
    </row>
    <row r="1284" spans="1:9" x14ac:dyDescent="0.3">
      <c r="A1284" t="str">
        <f>""</f>
        <v/>
      </c>
      <c r="F1284" t="str">
        <f>"201712057170"</f>
        <v>201712057170</v>
      </c>
      <c r="G1284" t="str">
        <f>"55536"</f>
        <v>55536</v>
      </c>
      <c r="H1284" s="2">
        <v>250</v>
      </c>
      <c r="I1284" t="str">
        <f>"55536"</f>
        <v>55536</v>
      </c>
    </row>
    <row r="1285" spans="1:9" x14ac:dyDescent="0.3">
      <c r="A1285" t="str">
        <f>""</f>
        <v/>
      </c>
      <c r="F1285" t="str">
        <f>"201712057171"</f>
        <v>201712057171</v>
      </c>
      <c r="G1285" t="str">
        <f>"54227"</f>
        <v>54227</v>
      </c>
      <c r="H1285" s="2">
        <v>250</v>
      </c>
      <c r="I1285" t="str">
        <f>"54227"</f>
        <v>54227</v>
      </c>
    </row>
    <row r="1286" spans="1:9" x14ac:dyDescent="0.3">
      <c r="A1286" t="str">
        <f>"PRD"</f>
        <v>PRD</v>
      </c>
      <c r="B1286" t="s">
        <v>444</v>
      </c>
      <c r="C1286">
        <v>999999</v>
      </c>
      <c r="D1286" s="2">
        <v>1860</v>
      </c>
      <c r="E1286" s="1">
        <v>43097</v>
      </c>
      <c r="F1286" t="str">
        <f>"201712197386"</f>
        <v>201712197386</v>
      </c>
      <c r="G1286" t="str">
        <f>"17-18250"</f>
        <v>17-18250</v>
      </c>
      <c r="H1286" s="2">
        <v>175</v>
      </c>
      <c r="I1286" t="str">
        <f>"17-18250"</f>
        <v>17-18250</v>
      </c>
    </row>
    <row r="1287" spans="1:9" x14ac:dyDescent="0.3">
      <c r="A1287" t="str">
        <f>""</f>
        <v/>
      </c>
      <c r="F1287" t="str">
        <f>"201712197398"</f>
        <v>201712197398</v>
      </c>
      <c r="G1287" t="str">
        <f>"16-18062"</f>
        <v>16-18062</v>
      </c>
      <c r="H1287" s="2">
        <v>100</v>
      </c>
      <c r="I1287" t="str">
        <f>"16-18062"</f>
        <v>16-18062</v>
      </c>
    </row>
    <row r="1288" spans="1:9" x14ac:dyDescent="0.3">
      <c r="A1288" t="str">
        <f>""</f>
        <v/>
      </c>
      <c r="F1288" t="str">
        <f>"201712197402"</f>
        <v>201712197402</v>
      </c>
      <c r="G1288" t="str">
        <f>"1718635"</f>
        <v>1718635</v>
      </c>
      <c r="H1288" s="2">
        <v>415</v>
      </c>
      <c r="I1288" t="str">
        <f>"1718635"</f>
        <v>1718635</v>
      </c>
    </row>
    <row r="1289" spans="1:9" x14ac:dyDescent="0.3">
      <c r="A1289" t="str">
        <f>""</f>
        <v/>
      </c>
      <c r="F1289" t="str">
        <f>"201712197403"</f>
        <v>201712197403</v>
      </c>
      <c r="G1289" t="str">
        <f>"16-17760"</f>
        <v>16-17760</v>
      </c>
      <c r="H1289" s="2">
        <v>670</v>
      </c>
      <c r="I1289" t="str">
        <f>"16-17760"</f>
        <v>16-17760</v>
      </c>
    </row>
    <row r="1290" spans="1:9" x14ac:dyDescent="0.3">
      <c r="A1290" t="str">
        <f>""</f>
        <v/>
      </c>
      <c r="F1290" t="str">
        <f>"201712197411"</f>
        <v>201712197411</v>
      </c>
      <c r="G1290" t="str">
        <f>"51928"</f>
        <v>51928</v>
      </c>
      <c r="H1290" s="2">
        <v>250</v>
      </c>
      <c r="I1290" t="str">
        <f>"51928"</f>
        <v>51928</v>
      </c>
    </row>
    <row r="1291" spans="1:9" x14ac:dyDescent="0.3">
      <c r="A1291" t="str">
        <f>""</f>
        <v/>
      </c>
      <c r="F1291" t="str">
        <f>"201712197422"</f>
        <v>201712197422</v>
      </c>
      <c r="G1291" t="str">
        <f>"55473"</f>
        <v>55473</v>
      </c>
      <c r="H1291" s="2">
        <v>250</v>
      </c>
      <c r="I1291" t="str">
        <f>"55473"</f>
        <v>55473</v>
      </c>
    </row>
    <row r="1292" spans="1:9" x14ac:dyDescent="0.3">
      <c r="A1292" t="str">
        <f>"PCAS"</f>
        <v>PCAS</v>
      </c>
      <c r="B1292" t="s">
        <v>445</v>
      </c>
      <c r="C1292">
        <v>74232</v>
      </c>
      <c r="D1292" s="2">
        <v>141</v>
      </c>
      <c r="E1292" s="1">
        <v>43080</v>
      </c>
      <c r="F1292" t="str">
        <f>"003124"</f>
        <v>003124</v>
      </c>
      <c r="G1292" t="str">
        <f>"STATE INSPECTIONS/PCT#3"</f>
        <v>STATE INSPECTIONS/PCT#3</v>
      </c>
      <c r="H1292" s="2">
        <v>141</v>
      </c>
      <c r="I1292" t="str">
        <f>"STATE INSPECTIONS/PCT#3"</f>
        <v>STATE INSPECTIONS/PCT#3</v>
      </c>
    </row>
    <row r="1293" spans="1:9" x14ac:dyDescent="0.3">
      <c r="A1293" t="str">
        <f>"T9047"</f>
        <v>T9047</v>
      </c>
      <c r="B1293" t="s">
        <v>446</v>
      </c>
      <c r="C1293">
        <v>74233</v>
      </c>
      <c r="D1293" s="2">
        <v>495.92</v>
      </c>
      <c r="E1293" s="1">
        <v>43080</v>
      </c>
      <c r="F1293" t="str">
        <f>"1005926953"</f>
        <v>1005926953</v>
      </c>
      <c r="G1293" t="str">
        <f>"ACCT#0011198047"</f>
        <v>ACCT#0011198047</v>
      </c>
      <c r="H1293" s="2">
        <v>465.97</v>
      </c>
      <c r="I1293" t="str">
        <f>"ACCT#0011198047"</f>
        <v>ACCT#0011198047</v>
      </c>
    </row>
    <row r="1294" spans="1:9" x14ac:dyDescent="0.3">
      <c r="A1294" t="str">
        <f>""</f>
        <v/>
      </c>
      <c r="F1294" t="str">
        <f>"1005926954"</f>
        <v>1005926954</v>
      </c>
      <c r="G1294" t="str">
        <f>"ACCT#0011198047/POSTAGE"</f>
        <v>ACCT#0011198047/POSTAGE</v>
      </c>
      <c r="H1294" s="2">
        <v>29.95</v>
      </c>
      <c r="I1294" t="str">
        <f>"ACCT#0011198047/POSTAGE"</f>
        <v>ACCT#0011198047/POSTAGE</v>
      </c>
    </row>
    <row r="1295" spans="1:9" x14ac:dyDescent="0.3">
      <c r="A1295" t="str">
        <f>"PB"</f>
        <v>PB</v>
      </c>
      <c r="B1295" t="s">
        <v>447</v>
      </c>
      <c r="C1295">
        <v>999999</v>
      </c>
      <c r="D1295" s="2">
        <v>1776.01</v>
      </c>
      <c r="E1295" s="1">
        <v>43097</v>
      </c>
      <c r="F1295" t="str">
        <f>"3304881972"</f>
        <v>3304881972</v>
      </c>
      <c r="G1295" t="str">
        <f>"ACCT#0010366024/TAX ASSESSOR"</f>
        <v>ACCT#0010366024/TAX ASSESSOR</v>
      </c>
      <c r="H1295" s="2">
        <v>195.96</v>
      </c>
      <c r="I1295" t="str">
        <f>"ACCT#0010366024/TAX ASSESSOR"</f>
        <v>ACCT#0010366024/TAX ASSESSOR</v>
      </c>
    </row>
    <row r="1296" spans="1:9" x14ac:dyDescent="0.3">
      <c r="A1296" t="str">
        <f>""</f>
        <v/>
      </c>
      <c r="F1296" t="str">
        <f>"33049363116"</f>
        <v>33049363116</v>
      </c>
      <c r="G1296" t="str">
        <f>"INV 3304933116"</f>
        <v>INV 3304933116</v>
      </c>
      <c r="H1296" s="2">
        <v>416.05</v>
      </c>
      <c r="I1296" t="str">
        <f>"INV 3304933116"</f>
        <v>INV 3304933116</v>
      </c>
    </row>
    <row r="1297" spans="1:9" x14ac:dyDescent="0.3">
      <c r="A1297" t="str">
        <f>""</f>
        <v/>
      </c>
      <c r="F1297" t="str">
        <f>"3304968674"</f>
        <v>3304968674</v>
      </c>
      <c r="G1297" t="str">
        <f>"ACCT#0017315717/TAX ASSESSOR"</f>
        <v>ACCT#0017315717/TAX ASSESSOR</v>
      </c>
      <c r="H1297" s="2">
        <v>1164</v>
      </c>
      <c r="I1297" t="str">
        <f>"ACCT#0017315717/TAX ASSESSOR"</f>
        <v>ACCT#0017315717/TAX ASSESSOR</v>
      </c>
    </row>
    <row r="1298" spans="1:9" x14ac:dyDescent="0.3">
      <c r="A1298" t="str">
        <f>"003293"</f>
        <v>003293</v>
      </c>
      <c r="B1298" t="s">
        <v>448</v>
      </c>
      <c r="C1298">
        <v>74441</v>
      </c>
      <c r="D1298" s="2">
        <v>750</v>
      </c>
      <c r="E1298" s="1">
        <v>43096</v>
      </c>
      <c r="F1298" t="str">
        <f>"201712197409"</f>
        <v>201712197409</v>
      </c>
      <c r="G1298" t="str">
        <f>"53 084"</f>
        <v>53 084</v>
      </c>
      <c r="H1298" s="2">
        <v>250</v>
      </c>
      <c r="I1298" t="str">
        <f>"53 084"</f>
        <v>53 084</v>
      </c>
    </row>
    <row r="1299" spans="1:9" x14ac:dyDescent="0.3">
      <c r="A1299" t="str">
        <f>""</f>
        <v/>
      </c>
      <c r="F1299" t="str">
        <f>"201712197416"</f>
        <v>201712197416</v>
      </c>
      <c r="G1299" t="str">
        <f>"54 590"</f>
        <v>54 590</v>
      </c>
      <c r="H1299" s="2">
        <v>250</v>
      </c>
      <c r="I1299" t="str">
        <f>"54 590"</f>
        <v>54 590</v>
      </c>
    </row>
    <row r="1300" spans="1:9" x14ac:dyDescent="0.3">
      <c r="A1300" t="str">
        <f>""</f>
        <v/>
      </c>
      <c r="F1300" t="str">
        <f>"201712197417"</f>
        <v>201712197417</v>
      </c>
      <c r="G1300" t="str">
        <f>"55 249"</f>
        <v>55 249</v>
      </c>
      <c r="H1300" s="2">
        <v>250</v>
      </c>
      <c r="I1300" t="str">
        <f>"55 249"</f>
        <v>55 249</v>
      </c>
    </row>
    <row r="1301" spans="1:9" x14ac:dyDescent="0.3">
      <c r="A1301" t="str">
        <f>"WOSC"</f>
        <v>WOSC</v>
      </c>
      <c r="B1301" t="s">
        <v>449</v>
      </c>
      <c r="C1301">
        <v>74442</v>
      </c>
      <c r="D1301" s="2">
        <v>161.25</v>
      </c>
      <c r="E1301" s="1">
        <v>43096</v>
      </c>
      <c r="F1301" t="str">
        <f>"80204746"</f>
        <v>80204746</v>
      </c>
      <c r="G1301" t="str">
        <f>"CUST#71745122/GEN SVCS"</f>
        <v>CUST#71745122/GEN SVCS</v>
      </c>
      <c r="H1301" s="2">
        <v>161.25</v>
      </c>
      <c r="I1301" t="str">
        <f>"CUST#71745122/GEN SVCS"</f>
        <v>CUST#71745122/GEN SVCS</v>
      </c>
    </row>
    <row r="1302" spans="1:9" x14ac:dyDescent="0.3">
      <c r="A1302" t="str">
        <f>"004267"</f>
        <v>004267</v>
      </c>
      <c r="B1302" t="s">
        <v>450</v>
      </c>
      <c r="C1302">
        <v>74234</v>
      </c>
      <c r="D1302" s="2">
        <v>16385</v>
      </c>
      <c r="E1302" s="1">
        <v>43080</v>
      </c>
      <c r="F1302" t="str">
        <f>"17-18638"</f>
        <v>17-18638</v>
      </c>
      <c r="G1302" t="str">
        <f>"Express Suite"</f>
        <v>Express Suite</v>
      </c>
      <c r="H1302" s="2">
        <v>16385</v>
      </c>
      <c r="I1302" t="str">
        <f>"Express Suite"</f>
        <v>Express Suite</v>
      </c>
    </row>
    <row r="1303" spans="1:9" x14ac:dyDescent="0.3">
      <c r="A1303" t="str">
        <f>"T11156"</f>
        <v>T11156</v>
      </c>
      <c r="B1303" t="s">
        <v>451</v>
      </c>
      <c r="C1303">
        <v>74443</v>
      </c>
      <c r="D1303" s="2">
        <v>368.34</v>
      </c>
      <c r="E1303" s="1">
        <v>43096</v>
      </c>
      <c r="F1303" t="str">
        <f>"201712207486"</f>
        <v>201712207486</v>
      </c>
      <c r="G1303" t="str">
        <f>"INDIGENT HEALTH"</f>
        <v>INDIGENT HEALTH</v>
      </c>
      <c r="H1303" s="2">
        <v>368.34</v>
      </c>
      <c r="I1303" t="str">
        <f>"INDIGENT HEALTH"</f>
        <v>INDIGENT HEALTH</v>
      </c>
    </row>
    <row r="1304" spans="1:9" x14ac:dyDescent="0.3">
      <c r="A1304" t="str">
        <f>"T3233"</f>
        <v>T3233</v>
      </c>
      <c r="B1304" t="s">
        <v>452</v>
      </c>
      <c r="C1304">
        <v>74444</v>
      </c>
      <c r="D1304" s="2">
        <v>3891.04</v>
      </c>
      <c r="E1304" s="1">
        <v>43096</v>
      </c>
      <c r="F1304" t="str">
        <f>"06796564"</f>
        <v>06796564</v>
      </c>
      <c r="G1304" t="str">
        <f>"Account# 6796564"</f>
        <v>Account# 6796564</v>
      </c>
      <c r="H1304" s="2">
        <v>2396.81</v>
      </c>
      <c r="I1304" t="str">
        <f>"INV# 1604809"</f>
        <v>INV# 1604809</v>
      </c>
    </row>
    <row r="1305" spans="1:9" x14ac:dyDescent="0.3">
      <c r="A1305" t="str">
        <f>""</f>
        <v/>
      </c>
      <c r="F1305" t="str">
        <f>""</f>
        <v/>
      </c>
      <c r="G1305" t="str">
        <f>""</f>
        <v/>
      </c>
      <c r="I1305" t="str">
        <f>"INV# 1683240"</f>
        <v>INV# 1683240</v>
      </c>
    </row>
    <row r="1306" spans="1:9" x14ac:dyDescent="0.3">
      <c r="A1306" t="str">
        <f>""</f>
        <v/>
      </c>
      <c r="F1306" t="str">
        <f>""</f>
        <v/>
      </c>
      <c r="G1306" t="str">
        <f>""</f>
        <v/>
      </c>
      <c r="I1306" t="str">
        <f>"INV# 1847253"</f>
        <v>INV# 1847253</v>
      </c>
    </row>
    <row r="1307" spans="1:9" x14ac:dyDescent="0.3">
      <c r="A1307" t="str">
        <f>""</f>
        <v/>
      </c>
      <c r="F1307" t="str">
        <f>""</f>
        <v/>
      </c>
      <c r="G1307" t="str">
        <f>""</f>
        <v/>
      </c>
      <c r="I1307" t="str">
        <f>"INV# 1847254"</f>
        <v>INV# 1847254</v>
      </c>
    </row>
    <row r="1308" spans="1:9" x14ac:dyDescent="0.3">
      <c r="A1308" t="str">
        <f>""</f>
        <v/>
      </c>
      <c r="F1308" t="str">
        <f>""</f>
        <v/>
      </c>
      <c r="G1308" t="str">
        <f>""</f>
        <v/>
      </c>
      <c r="I1308" t="str">
        <f>"INV# 1847255"</f>
        <v>INV# 1847255</v>
      </c>
    </row>
    <row r="1309" spans="1:9" x14ac:dyDescent="0.3">
      <c r="A1309" t="str">
        <f>""</f>
        <v/>
      </c>
      <c r="F1309" t="str">
        <f>""</f>
        <v/>
      </c>
      <c r="G1309" t="str">
        <f>""</f>
        <v/>
      </c>
      <c r="I1309" t="str">
        <f>"INV# 1847256"</f>
        <v>INV# 1847256</v>
      </c>
    </row>
    <row r="1310" spans="1:9" x14ac:dyDescent="0.3">
      <c r="A1310" t="str">
        <f>""</f>
        <v/>
      </c>
      <c r="F1310" t="str">
        <f>""</f>
        <v/>
      </c>
      <c r="G1310" t="str">
        <f>""</f>
        <v/>
      </c>
      <c r="I1310" t="str">
        <f>"INV# 1847257"</f>
        <v>INV# 1847257</v>
      </c>
    </row>
    <row r="1311" spans="1:9" x14ac:dyDescent="0.3">
      <c r="A1311" t="str">
        <f>""</f>
        <v/>
      </c>
      <c r="F1311" t="str">
        <f>""</f>
        <v/>
      </c>
      <c r="G1311" t="str">
        <f>""</f>
        <v/>
      </c>
      <c r="I1311" t="str">
        <f>"INV# 2631087"</f>
        <v>INV# 2631087</v>
      </c>
    </row>
    <row r="1312" spans="1:9" x14ac:dyDescent="0.3">
      <c r="A1312" t="str">
        <f>""</f>
        <v/>
      </c>
      <c r="F1312" t="str">
        <f>""</f>
        <v/>
      </c>
      <c r="G1312" t="str">
        <f>""</f>
        <v/>
      </c>
      <c r="I1312" t="str">
        <f>"INV# 2136846"</f>
        <v>INV# 2136846</v>
      </c>
    </row>
    <row r="1313" spans="1:9" x14ac:dyDescent="0.3">
      <c r="A1313" t="str">
        <f>""</f>
        <v/>
      </c>
      <c r="F1313" t="str">
        <f>""</f>
        <v/>
      </c>
      <c r="G1313" t="str">
        <f>""</f>
        <v/>
      </c>
      <c r="I1313" t="str">
        <f>"INV# 2599746"</f>
        <v>INV# 2599746</v>
      </c>
    </row>
    <row r="1314" spans="1:9" x14ac:dyDescent="0.3">
      <c r="A1314" t="str">
        <f>""</f>
        <v/>
      </c>
      <c r="F1314" t="str">
        <f>""</f>
        <v/>
      </c>
      <c r="G1314" t="str">
        <f>""</f>
        <v/>
      </c>
      <c r="I1314" t="str">
        <f>"INV# 2769104"</f>
        <v>INV# 2769104</v>
      </c>
    </row>
    <row r="1315" spans="1:9" x14ac:dyDescent="0.3">
      <c r="A1315" t="str">
        <f>""</f>
        <v/>
      </c>
      <c r="F1315" t="str">
        <f>""</f>
        <v/>
      </c>
      <c r="G1315" t="str">
        <f>""</f>
        <v/>
      </c>
      <c r="I1315" t="str">
        <f>"INV# 3036229"</f>
        <v>INV# 3036229</v>
      </c>
    </row>
    <row r="1316" spans="1:9" x14ac:dyDescent="0.3">
      <c r="A1316" t="str">
        <f>""</f>
        <v/>
      </c>
      <c r="F1316" t="str">
        <f>""</f>
        <v/>
      </c>
      <c r="G1316" t="str">
        <f>""</f>
        <v/>
      </c>
      <c r="I1316" t="str">
        <f>"INV# 3023191"</f>
        <v>INV# 3023191</v>
      </c>
    </row>
    <row r="1317" spans="1:9" x14ac:dyDescent="0.3">
      <c r="A1317" t="str">
        <f>""</f>
        <v/>
      </c>
      <c r="F1317" t="str">
        <f>""</f>
        <v/>
      </c>
      <c r="G1317" t="str">
        <f>""</f>
        <v/>
      </c>
      <c r="I1317" t="str">
        <f>"INV# 2669264"</f>
        <v>INV# 2669264</v>
      </c>
    </row>
    <row r="1318" spans="1:9" x14ac:dyDescent="0.3">
      <c r="A1318" t="str">
        <f>""</f>
        <v/>
      </c>
      <c r="F1318" t="str">
        <f>""</f>
        <v/>
      </c>
      <c r="G1318" t="str">
        <f>""</f>
        <v/>
      </c>
      <c r="I1318" t="str">
        <f>"INV# 1245017"</f>
        <v>INV# 1245017</v>
      </c>
    </row>
    <row r="1319" spans="1:9" x14ac:dyDescent="0.3">
      <c r="A1319" t="str">
        <f>""</f>
        <v/>
      </c>
      <c r="F1319" t="str">
        <f>""</f>
        <v/>
      </c>
      <c r="G1319" t="str">
        <f>""</f>
        <v/>
      </c>
      <c r="I1319" t="str">
        <f>"INV# 1235943"</f>
        <v>INV# 1235943</v>
      </c>
    </row>
    <row r="1320" spans="1:9" x14ac:dyDescent="0.3">
      <c r="A1320" t="str">
        <f>""</f>
        <v/>
      </c>
      <c r="F1320" t="str">
        <f>""</f>
        <v/>
      </c>
      <c r="G1320" t="str">
        <f>""</f>
        <v/>
      </c>
      <c r="I1320" t="str">
        <f>"INV# 2334275"</f>
        <v>INV# 2334275</v>
      </c>
    </row>
    <row r="1321" spans="1:9" x14ac:dyDescent="0.3">
      <c r="A1321" t="str">
        <f>""</f>
        <v/>
      </c>
      <c r="F1321" t="str">
        <f>""</f>
        <v/>
      </c>
      <c r="G1321" t="str">
        <f>""</f>
        <v/>
      </c>
      <c r="I1321" t="str">
        <f>"INV# 2518339"</f>
        <v>INV# 2518339</v>
      </c>
    </row>
    <row r="1322" spans="1:9" x14ac:dyDescent="0.3">
      <c r="A1322" t="str">
        <f>""</f>
        <v/>
      </c>
      <c r="F1322" t="str">
        <f>""</f>
        <v/>
      </c>
      <c r="G1322" t="str">
        <f>""</f>
        <v/>
      </c>
      <c r="I1322" t="str">
        <f>"INV# 2521941"</f>
        <v>INV# 2521941</v>
      </c>
    </row>
    <row r="1323" spans="1:9" x14ac:dyDescent="0.3">
      <c r="A1323" t="str">
        <f>""</f>
        <v/>
      </c>
      <c r="F1323" t="str">
        <f>""</f>
        <v/>
      </c>
      <c r="G1323" t="str">
        <f>""</f>
        <v/>
      </c>
      <c r="I1323" t="str">
        <f>"INV# 2574624"</f>
        <v>INV# 2574624</v>
      </c>
    </row>
    <row r="1324" spans="1:9" x14ac:dyDescent="0.3">
      <c r="A1324" t="str">
        <f>""</f>
        <v/>
      </c>
      <c r="F1324" t="str">
        <f>""</f>
        <v/>
      </c>
      <c r="G1324" t="str">
        <f>""</f>
        <v/>
      </c>
      <c r="I1324" t="str">
        <f>"INV# 2669264"</f>
        <v>INV# 2669264</v>
      </c>
    </row>
    <row r="1325" spans="1:9" x14ac:dyDescent="0.3">
      <c r="A1325" t="str">
        <f>""</f>
        <v/>
      </c>
      <c r="F1325" t="str">
        <f>"6796564"</f>
        <v>6796564</v>
      </c>
      <c r="G1325" t="str">
        <f>"Payment"</f>
        <v>Payment</v>
      </c>
      <c r="H1325" s="2">
        <v>1494.23</v>
      </c>
      <c r="I1325" t="str">
        <f>"INV# 3111722"</f>
        <v>INV# 3111722</v>
      </c>
    </row>
    <row r="1326" spans="1:9" x14ac:dyDescent="0.3">
      <c r="A1326" t="str">
        <f>""</f>
        <v/>
      </c>
      <c r="F1326" t="str">
        <f>""</f>
        <v/>
      </c>
      <c r="G1326" t="str">
        <f>""</f>
        <v/>
      </c>
      <c r="I1326" t="str">
        <f>"INV# 3113305"</f>
        <v>INV# 3113305</v>
      </c>
    </row>
    <row r="1327" spans="1:9" x14ac:dyDescent="0.3">
      <c r="A1327" t="str">
        <f>""</f>
        <v/>
      </c>
      <c r="F1327" t="str">
        <f>""</f>
        <v/>
      </c>
      <c r="G1327" t="str">
        <f>""</f>
        <v/>
      </c>
      <c r="I1327" t="str">
        <f>"INV# 3237591"</f>
        <v>INV# 3237591</v>
      </c>
    </row>
    <row r="1328" spans="1:9" x14ac:dyDescent="0.3">
      <c r="A1328" t="str">
        <f>""</f>
        <v/>
      </c>
      <c r="F1328" t="str">
        <f>""</f>
        <v/>
      </c>
      <c r="G1328" t="str">
        <f>""</f>
        <v/>
      </c>
      <c r="I1328" t="str">
        <f>"INV# 3237553"</f>
        <v>INV# 3237553</v>
      </c>
    </row>
    <row r="1329" spans="1:9" x14ac:dyDescent="0.3">
      <c r="A1329" t="str">
        <f>""</f>
        <v/>
      </c>
      <c r="F1329" t="str">
        <f>""</f>
        <v/>
      </c>
      <c r="G1329" t="str">
        <f>""</f>
        <v/>
      </c>
      <c r="I1329" t="str">
        <f>"INV# 3023191"</f>
        <v>INV# 3023191</v>
      </c>
    </row>
    <row r="1330" spans="1:9" x14ac:dyDescent="0.3">
      <c r="A1330" t="str">
        <f>""</f>
        <v/>
      </c>
      <c r="F1330" t="str">
        <f>""</f>
        <v/>
      </c>
      <c r="G1330" t="str">
        <f>""</f>
        <v/>
      </c>
      <c r="I1330" t="str">
        <f>"INV# 3036229"</f>
        <v>INV# 3036229</v>
      </c>
    </row>
    <row r="1331" spans="1:9" x14ac:dyDescent="0.3">
      <c r="A1331" t="str">
        <f>""</f>
        <v/>
      </c>
      <c r="F1331" t="str">
        <f>""</f>
        <v/>
      </c>
      <c r="G1331" t="str">
        <f>""</f>
        <v/>
      </c>
      <c r="I1331" t="str">
        <f>"INV# 3143177"</f>
        <v>INV# 3143177</v>
      </c>
    </row>
    <row r="1332" spans="1:9" x14ac:dyDescent="0.3">
      <c r="A1332" t="str">
        <f>""</f>
        <v/>
      </c>
      <c r="F1332" t="str">
        <f>""</f>
        <v/>
      </c>
      <c r="G1332" t="str">
        <f>""</f>
        <v/>
      </c>
      <c r="I1332" t="str">
        <f>"INV# 3192226"</f>
        <v>INV# 3192226</v>
      </c>
    </row>
    <row r="1333" spans="1:9" x14ac:dyDescent="0.3">
      <c r="A1333" t="str">
        <f>""</f>
        <v/>
      </c>
      <c r="F1333" t="str">
        <f>""</f>
        <v/>
      </c>
      <c r="G1333" t="str">
        <f>""</f>
        <v/>
      </c>
      <c r="I1333" t="str">
        <f>"INV# 3211783"</f>
        <v>INV# 3211783</v>
      </c>
    </row>
    <row r="1334" spans="1:9" x14ac:dyDescent="0.3">
      <c r="A1334" t="str">
        <f>"005341"</f>
        <v>005341</v>
      </c>
      <c r="B1334" t="s">
        <v>453</v>
      </c>
      <c r="C1334">
        <v>74445</v>
      </c>
      <c r="D1334" s="2">
        <v>4211.75</v>
      </c>
      <c r="E1334" s="1">
        <v>43096</v>
      </c>
      <c r="F1334" t="str">
        <f>"008197"</f>
        <v>008197</v>
      </c>
      <c r="G1334" t="str">
        <f>"2017 RAM ACCESSORIES/PCT#3"</f>
        <v>2017 RAM ACCESSORIES/PCT#3</v>
      </c>
      <c r="H1334" s="2">
        <v>4211.75</v>
      </c>
      <c r="I1334" t="str">
        <f>"2017 RAM ACCESSORIES/PCT#3"</f>
        <v>2017 RAM ACCESSORIES/PCT#3</v>
      </c>
    </row>
    <row r="1335" spans="1:9" x14ac:dyDescent="0.3">
      <c r="A1335" t="str">
        <f>"005323"</f>
        <v>005323</v>
      </c>
      <c r="B1335" t="s">
        <v>454</v>
      </c>
      <c r="C1335">
        <v>74235</v>
      </c>
      <c r="D1335" s="2">
        <v>50</v>
      </c>
      <c r="E1335" s="1">
        <v>43080</v>
      </c>
      <c r="F1335" t="str">
        <f>"201711286812"</f>
        <v>201711286812</v>
      </c>
      <c r="G1335" t="str">
        <f>"FERAL HOGS"</f>
        <v>FERAL HOGS</v>
      </c>
      <c r="H1335" s="2">
        <v>50</v>
      </c>
      <c r="I1335" t="str">
        <f>"FERAL HOGS"</f>
        <v>FERAL HOGS</v>
      </c>
    </row>
    <row r="1336" spans="1:9" x14ac:dyDescent="0.3">
      <c r="A1336" t="str">
        <f>"002925"</f>
        <v>002925</v>
      </c>
      <c r="B1336" t="s">
        <v>455</v>
      </c>
      <c r="C1336">
        <v>74446</v>
      </c>
      <c r="D1336" s="2">
        <v>175</v>
      </c>
      <c r="E1336" s="1">
        <v>43096</v>
      </c>
      <c r="F1336" t="str">
        <f>"PER DIEM-R.MCMILLA"</f>
        <v>PER DIEM-R.MCMILLA</v>
      </c>
      <c r="G1336" t="str">
        <f>"PER DIEM"</f>
        <v>PER DIEM</v>
      </c>
      <c r="H1336" s="2">
        <v>175</v>
      </c>
      <c r="I1336" t="str">
        <f>"PER DIEM"</f>
        <v>PER DIEM</v>
      </c>
    </row>
    <row r="1337" spans="1:9" x14ac:dyDescent="0.3">
      <c r="A1337" t="str">
        <f>"T12173"</f>
        <v>T12173</v>
      </c>
      <c r="B1337" t="s">
        <v>456</v>
      </c>
      <c r="C1337">
        <v>74447</v>
      </c>
      <c r="D1337" s="2">
        <v>129.54</v>
      </c>
      <c r="E1337" s="1">
        <v>43096</v>
      </c>
      <c r="F1337" t="str">
        <f>"RINV052570"</f>
        <v>RINV052570</v>
      </c>
      <c r="G1337" t="str">
        <f>"INV RINV052570"</f>
        <v>INV RINV052570</v>
      </c>
      <c r="H1337" s="2">
        <v>129.54</v>
      </c>
      <c r="I1337" t="str">
        <f>"INV RINV052570"</f>
        <v>INV RINV052570</v>
      </c>
    </row>
    <row r="1338" spans="1:9" x14ac:dyDescent="0.3">
      <c r="A1338" t="str">
        <f>"000591"</f>
        <v>000591</v>
      </c>
      <c r="B1338" t="s">
        <v>457</v>
      </c>
      <c r="C1338">
        <v>999999</v>
      </c>
      <c r="D1338" s="2">
        <v>80.89</v>
      </c>
      <c r="E1338" s="1">
        <v>43081</v>
      </c>
      <c r="F1338" t="str">
        <f>"07K0121569859"</f>
        <v>07K0121569859</v>
      </c>
      <c r="G1338" t="str">
        <f>"ACCT#0121569859/JP#4"</f>
        <v>ACCT#0121569859/JP#4</v>
      </c>
      <c r="H1338" s="2">
        <v>6.58</v>
      </c>
      <c r="I1338" t="str">
        <f>"ACCT#0121569859/JP#4"</f>
        <v>ACCT#0121569859/JP#4</v>
      </c>
    </row>
    <row r="1339" spans="1:9" x14ac:dyDescent="0.3">
      <c r="A1339" t="str">
        <f>""</f>
        <v/>
      </c>
      <c r="F1339" t="str">
        <f>"07K0121587851"</f>
        <v>07K0121587851</v>
      </c>
      <c r="G1339" t="str">
        <f>"ACCT#0121587851/PCT#4"</f>
        <v>ACCT#0121587851/PCT#4</v>
      </c>
      <c r="H1339" s="2">
        <v>74.31</v>
      </c>
      <c r="I1339" t="str">
        <f>"ACCT#0121587851/PCT#4"</f>
        <v>ACCT#0121587851/PCT#4</v>
      </c>
    </row>
    <row r="1340" spans="1:9" x14ac:dyDescent="0.3">
      <c r="A1340" t="str">
        <f>"005240"</f>
        <v>005240</v>
      </c>
      <c r="B1340" t="s">
        <v>458</v>
      </c>
      <c r="C1340">
        <v>74236</v>
      </c>
      <c r="D1340" s="2">
        <v>50</v>
      </c>
      <c r="E1340" s="1">
        <v>43080</v>
      </c>
      <c r="F1340" t="s">
        <v>174</v>
      </c>
      <c r="G1340" t="s">
        <v>459</v>
      </c>
      <c r="H1340" s="2" t="str">
        <f>"RESTITUTION-D. NEELY"</f>
        <v>RESTITUTION-D. NEELY</v>
      </c>
    </row>
    <row r="1341" spans="1:9" x14ac:dyDescent="0.3">
      <c r="A1341" t="str">
        <f>"005240"</f>
        <v>005240</v>
      </c>
      <c r="B1341" t="s">
        <v>458</v>
      </c>
      <c r="C1341">
        <v>74236</v>
      </c>
      <c r="D1341" s="2">
        <v>50</v>
      </c>
      <c r="E1341" s="1">
        <v>43080</v>
      </c>
      <c r="F1341" t="str">
        <f>"CHECK"</f>
        <v>CHECK</v>
      </c>
      <c r="G1341" t="str">
        <f>""</f>
        <v/>
      </c>
      <c r="H1341" s="2">
        <v>50</v>
      </c>
    </row>
    <row r="1342" spans="1:9" x14ac:dyDescent="0.3">
      <c r="A1342" t="str">
        <f>"005358"</f>
        <v>005358</v>
      </c>
      <c r="B1342" t="s">
        <v>460</v>
      </c>
      <c r="C1342">
        <v>74448</v>
      </c>
      <c r="D1342" s="2">
        <v>160</v>
      </c>
      <c r="E1342" s="1">
        <v>43096</v>
      </c>
      <c r="F1342" t="str">
        <f>"6238"</f>
        <v>6238</v>
      </c>
      <c r="G1342" t="s">
        <v>461</v>
      </c>
      <c r="H1342" s="2">
        <v>160</v>
      </c>
      <c r="I1342" t="s">
        <v>461</v>
      </c>
    </row>
    <row r="1343" spans="1:9" x14ac:dyDescent="0.3">
      <c r="A1343" t="str">
        <f>"003737"</f>
        <v>003737</v>
      </c>
      <c r="B1343" t="s">
        <v>462</v>
      </c>
      <c r="C1343">
        <v>74237</v>
      </c>
      <c r="D1343" s="2">
        <v>330.76</v>
      </c>
      <c r="E1343" s="1">
        <v>43080</v>
      </c>
      <c r="F1343" t="str">
        <f>"0843-001402949"</f>
        <v>0843-001402949</v>
      </c>
      <c r="G1343" t="str">
        <f>"ACCT#3-0843-1269216/ANIMAL CON"</f>
        <v>ACCT#3-0843-1269216/ANIMAL CON</v>
      </c>
      <c r="H1343" s="2">
        <v>330.76</v>
      </c>
      <c r="I1343" t="str">
        <f>"ACCT#3-0843-1269216/ANIMAL CON"</f>
        <v>ACCT#3-0843-1269216/ANIMAL CON</v>
      </c>
    </row>
    <row r="1344" spans="1:9" x14ac:dyDescent="0.3">
      <c r="A1344" t="str">
        <f>"003737"</f>
        <v>003737</v>
      </c>
      <c r="B1344" t="s">
        <v>462</v>
      </c>
      <c r="C1344">
        <v>74322</v>
      </c>
      <c r="D1344" s="2">
        <v>2124.7199999999998</v>
      </c>
      <c r="E1344" s="1">
        <v>43081</v>
      </c>
      <c r="F1344" t="str">
        <f>"0843-001404224"</f>
        <v>0843-001404224</v>
      </c>
      <c r="G1344" t="str">
        <f>"ACCT#3-0843-0017094 / 11/30/17"</f>
        <v>ACCT#3-0843-0017094 / 11/30/17</v>
      </c>
      <c r="H1344" s="2">
        <v>2124.7199999999998</v>
      </c>
      <c r="I1344" t="str">
        <f>"ACCT#3-0843-0017094 / 11/30/17"</f>
        <v>ACCT#3-0843-0017094 / 11/30/17</v>
      </c>
    </row>
    <row r="1345" spans="1:9" x14ac:dyDescent="0.3">
      <c r="A1345" t="str">
        <f>"004822"</f>
        <v>004822</v>
      </c>
      <c r="B1345" t="s">
        <v>463</v>
      </c>
      <c r="C1345">
        <v>74238</v>
      </c>
      <c r="D1345" s="2">
        <v>523.35</v>
      </c>
      <c r="E1345" s="1">
        <v>43080</v>
      </c>
      <c r="F1345" t="str">
        <f>"0000008771"</f>
        <v>0000008771</v>
      </c>
      <c r="G1345" t="str">
        <f>"WK ORD#0000009670/PCT#4"</f>
        <v>WK ORD#0000009670/PCT#4</v>
      </c>
      <c r="H1345" s="2">
        <v>398.44</v>
      </c>
      <c r="I1345" t="str">
        <f>"WK ORD#0000009670/PCT#4"</f>
        <v>WK ORD#0000009670/PCT#4</v>
      </c>
    </row>
    <row r="1346" spans="1:9" x14ac:dyDescent="0.3">
      <c r="A1346" t="str">
        <f>""</f>
        <v/>
      </c>
      <c r="F1346" t="str">
        <f>"0000008772"</f>
        <v>0000008772</v>
      </c>
      <c r="G1346" t="str">
        <f>"WK ORD#0000009644/PCT#4"</f>
        <v>WK ORD#0000009644/PCT#4</v>
      </c>
      <c r="H1346" s="2">
        <v>124.91</v>
      </c>
      <c r="I1346" t="str">
        <f>"WK ORD#0000009644/PCT#4"</f>
        <v>WK ORD#0000009644/PCT#4</v>
      </c>
    </row>
    <row r="1347" spans="1:9" x14ac:dyDescent="0.3">
      <c r="A1347" t="str">
        <f>"004822"</f>
        <v>004822</v>
      </c>
      <c r="B1347" t="s">
        <v>463</v>
      </c>
      <c r="C1347">
        <v>74449</v>
      </c>
      <c r="D1347" s="2">
        <v>80</v>
      </c>
      <c r="E1347" s="1">
        <v>43096</v>
      </c>
      <c r="F1347" t="str">
        <f>"0000008873"</f>
        <v>0000008873</v>
      </c>
      <c r="G1347" t="str">
        <f>"WK ORD#0000009822/2012 FRHT/P4"</f>
        <v>WK ORD#0000009822/2012 FRHT/P4</v>
      </c>
      <c r="H1347" s="2">
        <v>80</v>
      </c>
      <c r="I1347" t="str">
        <f>"WK ORD#0000009822/2012 FRHT/P4"</f>
        <v>WK ORD#0000009822/2012 FRHT/P4</v>
      </c>
    </row>
    <row r="1348" spans="1:9" x14ac:dyDescent="0.3">
      <c r="A1348" t="str">
        <f>"RESERV"</f>
        <v>RESERV</v>
      </c>
      <c r="B1348" t="s">
        <v>464</v>
      </c>
      <c r="C1348">
        <v>74450</v>
      </c>
      <c r="D1348" s="2">
        <v>9000</v>
      </c>
      <c r="E1348" s="1">
        <v>43096</v>
      </c>
      <c r="F1348" t="str">
        <f>"201712157345"</f>
        <v>201712157345</v>
      </c>
      <c r="G1348" t="str">
        <f>"ACCT#34549337/NOV 1-NOV 30 '17"</f>
        <v>ACCT#34549337/NOV 1-NOV 30 '17</v>
      </c>
      <c r="H1348" s="2">
        <v>9000</v>
      </c>
      <c r="I1348" t="str">
        <f>"ACCT#34549337/NOV 1-NOV 30 '17"</f>
        <v>ACCT#34549337/NOV 1-NOV 30 '17</v>
      </c>
    </row>
    <row r="1349" spans="1:9" x14ac:dyDescent="0.3">
      <c r="A1349" t="str">
        <f>"T11385"</f>
        <v>T11385</v>
      </c>
      <c r="B1349" t="s">
        <v>465</v>
      </c>
      <c r="C1349">
        <v>999999</v>
      </c>
      <c r="D1349" s="2">
        <v>250</v>
      </c>
      <c r="E1349" s="1">
        <v>43097</v>
      </c>
      <c r="F1349" t="str">
        <f>"201712197423"</f>
        <v>201712197423</v>
      </c>
      <c r="G1349" t="str">
        <f>"303132017B"</f>
        <v>303132017B</v>
      </c>
      <c r="H1349" s="2">
        <v>250</v>
      </c>
      <c r="I1349" t="str">
        <f>"303132017B"</f>
        <v>303132017B</v>
      </c>
    </row>
    <row r="1350" spans="1:9" x14ac:dyDescent="0.3">
      <c r="A1350" t="str">
        <f>"001358"</f>
        <v>001358</v>
      </c>
      <c r="B1350" t="s">
        <v>466</v>
      </c>
      <c r="C1350">
        <v>74239</v>
      </c>
      <c r="D1350" s="2">
        <v>153.09</v>
      </c>
      <c r="E1350" s="1">
        <v>43080</v>
      </c>
      <c r="F1350" t="str">
        <f>"31010712"</f>
        <v>31010712</v>
      </c>
      <c r="G1350" t="str">
        <f>"CUST#2000172616/COPIER"</f>
        <v>CUST#2000172616/COPIER</v>
      </c>
      <c r="H1350" s="2">
        <v>153.09</v>
      </c>
      <c r="I1350" t="str">
        <f>"CUST#2000172616/COPIER"</f>
        <v>CUST#2000172616/COPIER</v>
      </c>
    </row>
    <row r="1351" spans="1:9" x14ac:dyDescent="0.3">
      <c r="A1351" t="str">
        <f>"001322"</f>
        <v>001322</v>
      </c>
      <c r="B1351" t="s">
        <v>467</v>
      </c>
      <c r="C1351">
        <v>999999</v>
      </c>
      <c r="D1351" s="2">
        <v>3337.46</v>
      </c>
      <c r="E1351" s="1">
        <v>43081</v>
      </c>
      <c r="F1351" t="str">
        <f>"222-5051243410"</f>
        <v>222-5051243410</v>
      </c>
      <c r="G1351" t="str">
        <f>"CONTRACT#4457471/PCT#2"</f>
        <v>CONTRACT#4457471/PCT#2</v>
      </c>
      <c r="H1351" s="2">
        <v>117.39</v>
      </c>
      <c r="I1351" t="str">
        <f>"CONTRACT#4457471/PCT#2"</f>
        <v>CONTRACT#4457471/PCT#2</v>
      </c>
    </row>
    <row r="1352" spans="1:9" x14ac:dyDescent="0.3">
      <c r="A1352" t="str">
        <f>""</f>
        <v/>
      </c>
      <c r="F1352" t="str">
        <f>"5051243410"</f>
        <v>5051243410</v>
      </c>
      <c r="G1352" t="str">
        <f>"CONTRACT#4457471/CUST#12847097"</f>
        <v>CONTRACT#4457471/CUST#12847097</v>
      </c>
      <c r="H1352" s="2">
        <v>1702.89</v>
      </c>
      <c r="I1352" t="str">
        <f t="shared" ref="I1352:I1388" si="17">"CONTRACT#4457471/CUST#12847097"</f>
        <v>CONTRACT#4457471/CUST#12847097</v>
      </c>
    </row>
    <row r="1353" spans="1:9" x14ac:dyDescent="0.3">
      <c r="A1353" t="str">
        <f>""</f>
        <v/>
      </c>
      <c r="F1353" t="str">
        <f>""</f>
        <v/>
      </c>
      <c r="G1353" t="str">
        <f>""</f>
        <v/>
      </c>
      <c r="I1353" t="str">
        <f t="shared" si="17"/>
        <v>CONTRACT#4457471/CUST#12847097</v>
      </c>
    </row>
    <row r="1354" spans="1:9" x14ac:dyDescent="0.3">
      <c r="A1354" t="str">
        <f>""</f>
        <v/>
      </c>
      <c r="F1354" t="str">
        <f>""</f>
        <v/>
      </c>
      <c r="G1354" t="str">
        <f>""</f>
        <v/>
      </c>
      <c r="I1354" t="str">
        <f t="shared" si="17"/>
        <v>CONTRACT#4457471/CUST#12847097</v>
      </c>
    </row>
    <row r="1355" spans="1:9" x14ac:dyDescent="0.3">
      <c r="A1355" t="str">
        <f>""</f>
        <v/>
      </c>
      <c r="F1355" t="str">
        <f>""</f>
        <v/>
      </c>
      <c r="G1355" t="str">
        <f>""</f>
        <v/>
      </c>
      <c r="I1355" t="str">
        <f t="shared" si="17"/>
        <v>CONTRACT#4457471/CUST#12847097</v>
      </c>
    </row>
    <row r="1356" spans="1:9" x14ac:dyDescent="0.3">
      <c r="A1356" t="str">
        <f>""</f>
        <v/>
      </c>
      <c r="F1356" t="str">
        <f>""</f>
        <v/>
      </c>
      <c r="G1356" t="str">
        <f>""</f>
        <v/>
      </c>
      <c r="I1356" t="str">
        <f t="shared" si="17"/>
        <v>CONTRACT#4457471/CUST#12847097</v>
      </c>
    </row>
    <row r="1357" spans="1:9" x14ac:dyDescent="0.3">
      <c r="A1357" t="str">
        <f>""</f>
        <v/>
      </c>
      <c r="F1357" t="str">
        <f>""</f>
        <v/>
      </c>
      <c r="G1357" t="str">
        <f>""</f>
        <v/>
      </c>
      <c r="I1357" t="str">
        <f t="shared" si="17"/>
        <v>CONTRACT#4457471/CUST#12847097</v>
      </c>
    </row>
    <row r="1358" spans="1:9" x14ac:dyDescent="0.3">
      <c r="A1358" t="str">
        <f>""</f>
        <v/>
      </c>
      <c r="F1358" t="str">
        <f>""</f>
        <v/>
      </c>
      <c r="G1358" t="str">
        <f>""</f>
        <v/>
      </c>
      <c r="I1358" t="str">
        <f t="shared" si="17"/>
        <v>CONTRACT#4457471/CUST#12847097</v>
      </c>
    </row>
    <row r="1359" spans="1:9" x14ac:dyDescent="0.3">
      <c r="A1359" t="str">
        <f>""</f>
        <v/>
      </c>
      <c r="F1359" t="str">
        <f>""</f>
        <v/>
      </c>
      <c r="G1359" t="str">
        <f>""</f>
        <v/>
      </c>
      <c r="I1359" t="str">
        <f t="shared" si="17"/>
        <v>CONTRACT#4457471/CUST#12847097</v>
      </c>
    </row>
    <row r="1360" spans="1:9" x14ac:dyDescent="0.3">
      <c r="A1360" t="str">
        <f>""</f>
        <v/>
      </c>
      <c r="F1360" t="str">
        <f>""</f>
        <v/>
      </c>
      <c r="G1360" t="str">
        <f>""</f>
        <v/>
      </c>
      <c r="I1360" t="str">
        <f t="shared" si="17"/>
        <v>CONTRACT#4457471/CUST#12847097</v>
      </c>
    </row>
    <row r="1361" spans="1:9" x14ac:dyDescent="0.3">
      <c r="A1361" t="str">
        <f>""</f>
        <v/>
      </c>
      <c r="F1361" t="str">
        <f>""</f>
        <v/>
      </c>
      <c r="G1361" t="str">
        <f>""</f>
        <v/>
      </c>
      <c r="I1361" t="str">
        <f t="shared" si="17"/>
        <v>CONTRACT#4457471/CUST#12847097</v>
      </c>
    </row>
    <row r="1362" spans="1:9" x14ac:dyDescent="0.3">
      <c r="A1362" t="str">
        <f>""</f>
        <v/>
      </c>
      <c r="F1362" t="str">
        <f>""</f>
        <v/>
      </c>
      <c r="G1362" t="str">
        <f>""</f>
        <v/>
      </c>
      <c r="I1362" t="str">
        <f t="shared" si="17"/>
        <v>CONTRACT#4457471/CUST#12847097</v>
      </c>
    </row>
    <row r="1363" spans="1:9" x14ac:dyDescent="0.3">
      <c r="A1363" t="str">
        <f>""</f>
        <v/>
      </c>
      <c r="F1363" t="str">
        <f>""</f>
        <v/>
      </c>
      <c r="G1363" t="str">
        <f>""</f>
        <v/>
      </c>
      <c r="I1363" t="str">
        <f t="shared" si="17"/>
        <v>CONTRACT#4457471/CUST#12847097</v>
      </c>
    </row>
    <row r="1364" spans="1:9" x14ac:dyDescent="0.3">
      <c r="A1364" t="str">
        <f>""</f>
        <v/>
      </c>
      <c r="F1364" t="str">
        <f>""</f>
        <v/>
      </c>
      <c r="G1364" t="str">
        <f>""</f>
        <v/>
      </c>
      <c r="I1364" t="str">
        <f t="shared" si="17"/>
        <v>CONTRACT#4457471/CUST#12847097</v>
      </c>
    </row>
    <row r="1365" spans="1:9" x14ac:dyDescent="0.3">
      <c r="A1365" t="str">
        <f>""</f>
        <v/>
      </c>
      <c r="F1365" t="str">
        <f>""</f>
        <v/>
      </c>
      <c r="G1365" t="str">
        <f>""</f>
        <v/>
      </c>
      <c r="I1365" t="str">
        <f t="shared" si="17"/>
        <v>CONTRACT#4457471/CUST#12847097</v>
      </c>
    </row>
    <row r="1366" spans="1:9" x14ac:dyDescent="0.3">
      <c r="A1366" t="str">
        <f>""</f>
        <v/>
      </c>
      <c r="F1366" t="str">
        <f>""</f>
        <v/>
      </c>
      <c r="G1366" t="str">
        <f>""</f>
        <v/>
      </c>
      <c r="I1366" t="str">
        <f t="shared" si="17"/>
        <v>CONTRACT#4457471/CUST#12847097</v>
      </c>
    </row>
    <row r="1367" spans="1:9" x14ac:dyDescent="0.3">
      <c r="A1367" t="str">
        <f>""</f>
        <v/>
      </c>
      <c r="F1367" t="str">
        <f>""</f>
        <v/>
      </c>
      <c r="G1367" t="str">
        <f>""</f>
        <v/>
      </c>
      <c r="I1367" t="str">
        <f t="shared" si="17"/>
        <v>CONTRACT#4457471/CUST#12847097</v>
      </c>
    </row>
    <row r="1368" spans="1:9" x14ac:dyDescent="0.3">
      <c r="A1368" t="str">
        <f>""</f>
        <v/>
      </c>
      <c r="F1368" t="str">
        <f>""</f>
        <v/>
      </c>
      <c r="G1368" t="str">
        <f>""</f>
        <v/>
      </c>
      <c r="I1368" t="str">
        <f t="shared" si="17"/>
        <v>CONTRACT#4457471/CUST#12847097</v>
      </c>
    </row>
    <row r="1369" spans="1:9" x14ac:dyDescent="0.3">
      <c r="A1369" t="str">
        <f>""</f>
        <v/>
      </c>
      <c r="F1369" t="str">
        <f>""</f>
        <v/>
      </c>
      <c r="G1369" t="str">
        <f>""</f>
        <v/>
      </c>
      <c r="I1369" t="str">
        <f t="shared" si="17"/>
        <v>CONTRACT#4457471/CUST#12847097</v>
      </c>
    </row>
    <row r="1370" spans="1:9" x14ac:dyDescent="0.3">
      <c r="A1370" t="str">
        <f>""</f>
        <v/>
      </c>
      <c r="F1370" t="str">
        <f>"5051266732"</f>
        <v>5051266732</v>
      </c>
      <c r="G1370" t="str">
        <f>"CONTRACT#4457471/CUST#12847097"</f>
        <v>CONTRACT#4457471/CUST#12847097</v>
      </c>
      <c r="H1370" s="2">
        <v>1517.18</v>
      </c>
      <c r="I1370" t="str">
        <f t="shared" si="17"/>
        <v>CONTRACT#4457471/CUST#12847097</v>
      </c>
    </row>
    <row r="1371" spans="1:9" x14ac:dyDescent="0.3">
      <c r="A1371" t="str">
        <f>""</f>
        <v/>
      </c>
      <c r="F1371" t="str">
        <f>""</f>
        <v/>
      </c>
      <c r="G1371" t="str">
        <f>""</f>
        <v/>
      </c>
      <c r="I1371" t="str">
        <f t="shared" si="17"/>
        <v>CONTRACT#4457471/CUST#12847097</v>
      </c>
    </row>
    <row r="1372" spans="1:9" x14ac:dyDescent="0.3">
      <c r="A1372" t="str">
        <f>""</f>
        <v/>
      </c>
      <c r="F1372" t="str">
        <f>""</f>
        <v/>
      </c>
      <c r="G1372" t="str">
        <f>""</f>
        <v/>
      </c>
      <c r="I1372" t="str">
        <f t="shared" si="17"/>
        <v>CONTRACT#4457471/CUST#12847097</v>
      </c>
    </row>
    <row r="1373" spans="1:9" x14ac:dyDescent="0.3">
      <c r="A1373" t="str">
        <f>""</f>
        <v/>
      </c>
      <c r="F1373" t="str">
        <f>""</f>
        <v/>
      </c>
      <c r="G1373" t="str">
        <f>""</f>
        <v/>
      </c>
      <c r="I1373" t="str">
        <f t="shared" si="17"/>
        <v>CONTRACT#4457471/CUST#12847097</v>
      </c>
    </row>
    <row r="1374" spans="1:9" x14ac:dyDescent="0.3">
      <c r="A1374" t="str">
        <f>""</f>
        <v/>
      </c>
      <c r="F1374" t="str">
        <f>""</f>
        <v/>
      </c>
      <c r="G1374" t="str">
        <f>""</f>
        <v/>
      </c>
      <c r="I1374" t="str">
        <f t="shared" si="17"/>
        <v>CONTRACT#4457471/CUST#12847097</v>
      </c>
    </row>
    <row r="1375" spans="1:9" x14ac:dyDescent="0.3">
      <c r="A1375" t="str">
        <f>""</f>
        <v/>
      </c>
      <c r="F1375" t="str">
        <f>""</f>
        <v/>
      </c>
      <c r="G1375" t="str">
        <f>""</f>
        <v/>
      </c>
      <c r="I1375" t="str">
        <f t="shared" si="17"/>
        <v>CONTRACT#4457471/CUST#12847097</v>
      </c>
    </row>
    <row r="1376" spans="1:9" x14ac:dyDescent="0.3">
      <c r="A1376" t="str">
        <f>""</f>
        <v/>
      </c>
      <c r="F1376" t="str">
        <f>""</f>
        <v/>
      </c>
      <c r="G1376" t="str">
        <f>""</f>
        <v/>
      </c>
      <c r="I1376" t="str">
        <f t="shared" si="17"/>
        <v>CONTRACT#4457471/CUST#12847097</v>
      </c>
    </row>
    <row r="1377" spans="1:9" x14ac:dyDescent="0.3">
      <c r="A1377" t="str">
        <f>""</f>
        <v/>
      </c>
      <c r="F1377" t="str">
        <f>""</f>
        <v/>
      </c>
      <c r="G1377" t="str">
        <f>""</f>
        <v/>
      </c>
      <c r="I1377" t="str">
        <f t="shared" si="17"/>
        <v>CONTRACT#4457471/CUST#12847097</v>
      </c>
    </row>
    <row r="1378" spans="1:9" x14ac:dyDescent="0.3">
      <c r="A1378" t="str">
        <f>""</f>
        <v/>
      </c>
      <c r="F1378" t="str">
        <f>""</f>
        <v/>
      </c>
      <c r="G1378" t="str">
        <f>""</f>
        <v/>
      </c>
      <c r="I1378" t="str">
        <f t="shared" si="17"/>
        <v>CONTRACT#4457471/CUST#12847097</v>
      </c>
    </row>
    <row r="1379" spans="1:9" x14ac:dyDescent="0.3">
      <c r="A1379" t="str">
        <f>""</f>
        <v/>
      </c>
      <c r="F1379" t="str">
        <f>""</f>
        <v/>
      </c>
      <c r="G1379" t="str">
        <f>""</f>
        <v/>
      </c>
      <c r="I1379" t="str">
        <f t="shared" si="17"/>
        <v>CONTRACT#4457471/CUST#12847097</v>
      </c>
    </row>
    <row r="1380" spans="1:9" x14ac:dyDescent="0.3">
      <c r="A1380" t="str">
        <f>""</f>
        <v/>
      </c>
      <c r="F1380" t="str">
        <f>""</f>
        <v/>
      </c>
      <c r="G1380" t="str">
        <f>""</f>
        <v/>
      </c>
      <c r="I1380" t="str">
        <f t="shared" si="17"/>
        <v>CONTRACT#4457471/CUST#12847097</v>
      </c>
    </row>
    <row r="1381" spans="1:9" x14ac:dyDescent="0.3">
      <c r="A1381" t="str">
        <f>""</f>
        <v/>
      </c>
      <c r="F1381" t="str">
        <f>""</f>
        <v/>
      </c>
      <c r="G1381" t="str">
        <f>""</f>
        <v/>
      </c>
      <c r="I1381" t="str">
        <f t="shared" si="17"/>
        <v>CONTRACT#4457471/CUST#12847097</v>
      </c>
    </row>
    <row r="1382" spans="1:9" x14ac:dyDescent="0.3">
      <c r="A1382" t="str">
        <f>""</f>
        <v/>
      </c>
      <c r="F1382" t="str">
        <f>""</f>
        <v/>
      </c>
      <c r="G1382" t="str">
        <f>""</f>
        <v/>
      </c>
      <c r="I1382" t="str">
        <f t="shared" si="17"/>
        <v>CONTRACT#4457471/CUST#12847097</v>
      </c>
    </row>
    <row r="1383" spans="1:9" x14ac:dyDescent="0.3">
      <c r="A1383" t="str">
        <f>""</f>
        <v/>
      </c>
      <c r="F1383" t="str">
        <f>""</f>
        <v/>
      </c>
      <c r="G1383" t="str">
        <f>""</f>
        <v/>
      </c>
      <c r="I1383" t="str">
        <f t="shared" si="17"/>
        <v>CONTRACT#4457471/CUST#12847097</v>
      </c>
    </row>
    <row r="1384" spans="1:9" x14ac:dyDescent="0.3">
      <c r="A1384" t="str">
        <f>""</f>
        <v/>
      </c>
      <c r="F1384" t="str">
        <f>""</f>
        <v/>
      </c>
      <c r="G1384" t="str">
        <f>""</f>
        <v/>
      </c>
      <c r="I1384" t="str">
        <f t="shared" si="17"/>
        <v>CONTRACT#4457471/CUST#12847097</v>
      </c>
    </row>
    <row r="1385" spans="1:9" x14ac:dyDescent="0.3">
      <c r="A1385" t="str">
        <f>""</f>
        <v/>
      </c>
      <c r="F1385" t="str">
        <f>""</f>
        <v/>
      </c>
      <c r="G1385" t="str">
        <f>""</f>
        <v/>
      </c>
      <c r="I1385" t="str">
        <f t="shared" si="17"/>
        <v>CONTRACT#4457471/CUST#12847097</v>
      </c>
    </row>
    <row r="1386" spans="1:9" x14ac:dyDescent="0.3">
      <c r="A1386" t="str">
        <f>""</f>
        <v/>
      </c>
      <c r="F1386" t="str">
        <f>""</f>
        <v/>
      </c>
      <c r="G1386" t="str">
        <f>""</f>
        <v/>
      </c>
      <c r="I1386" t="str">
        <f t="shared" si="17"/>
        <v>CONTRACT#4457471/CUST#12847097</v>
      </c>
    </row>
    <row r="1387" spans="1:9" x14ac:dyDescent="0.3">
      <c r="A1387" t="str">
        <f>""</f>
        <v/>
      </c>
      <c r="F1387" t="str">
        <f>""</f>
        <v/>
      </c>
      <c r="G1387" t="str">
        <f>""</f>
        <v/>
      </c>
      <c r="I1387" t="str">
        <f t="shared" si="17"/>
        <v>CONTRACT#4457471/CUST#12847097</v>
      </c>
    </row>
    <row r="1388" spans="1:9" x14ac:dyDescent="0.3">
      <c r="A1388" t="str">
        <f>""</f>
        <v/>
      </c>
      <c r="F1388" t="str">
        <f>""</f>
        <v/>
      </c>
      <c r="G1388" t="str">
        <f>""</f>
        <v/>
      </c>
      <c r="I1388" t="str">
        <f t="shared" si="17"/>
        <v>CONTRACT#4457471/CUST#12847097</v>
      </c>
    </row>
    <row r="1389" spans="1:9" x14ac:dyDescent="0.3">
      <c r="A1389" t="str">
        <f>"000972"</f>
        <v>000972</v>
      </c>
      <c r="B1389" t="s">
        <v>468</v>
      </c>
      <c r="C1389">
        <v>74451</v>
      </c>
      <c r="D1389" s="2">
        <v>7312.67</v>
      </c>
      <c r="E1389" s="1">
        <v>43096</v>
      </c>
      <c r="F1389" t="str">
        <f>"31158780"</f>
        <v>31158780</v>
      </c>
      <c r="G1389" t="str">
        <f>"CUST#2000172616"</f>
        <v>CUST#2000172616</v>
      </c>
      <c r="H1389" s="2">
        <v>7312.67</v>
      </c>
      <c r="I1389" t="str">
        <f t="shared" ref="I1389:I1411" si="18">"CUST#2000172616"</f>
        <v>CUST#2000172616</v>
      </c>
    </row>
    <row r="1390" spans="1:9" x14ac:dyDescent="0.3">
      <c r="A1390" t="str">
        <f>""</f>
        <v/>
      </c>
      <c r="F1390" t="str">
        <f>""</f>
        <v/>
      </c>
      <c r="G1390" t="str">
        <f>""</f>
        <v/>
      </c>
      <c r="I1390" t="str">
        <f t="shared" si="18"/>
        <v>CUST#2000172616</v>
      </c>
    </row>
    <row r="1391" spans="1:9" x14ac:dyDescent="0.3">
      <c r="A1391" t="str">
        <f>""</f>
        <v/>
      </c>
      <c r="F1391" t="str">
        <f>""</f>
        <v/>
      </c>
      <c r="G1391" t="str">
        <f>""</f>
        <v/>
      </c>
      <c r="I1391" t="str">
        <f t="shared" si="18"/>
        <v>CUST#2000172616</v>
      </c>
    </row>
    <row r="1392" spans="1:9" x14ac:dyDescent="0.3">
      <c r="A1392" t="str">
        <f>""</f>
        <v/>
      </c>
      <c r="F1392" t="str">
        <f>""</f>
        <v/>
      </c>
      <c r="G1392" t="str">
        <f>""</f>
        <v/>
      </c>
      <c r="I1392" t="str">
        <f t="shared" si="18"/>
        <v>CUST#2000172616</v>
      </c>
    </row>
    <row r="1393" spans="1:9" x14ac:dyDescent="0.3">
      <c r="A1393" t="str">
        <f>""</f>
        <v/>
      </c>
      <c r="F1393" t="str">
        <f>""</f>
        <v/>
      </c>
      <c r="G1393" t="str">
        <f>""</f>
        <v/>
      </c>
      <c r="I1393" t="str">
        <f t="shared" si="18"/>
        <v>CUST#2000172616</v>
      </c>
    </row>
    <row r="1394" spans="1:9" x14ac:dyDescent="0.3">
      <c r="A1394" t="str">
        <f>""</f>
        <v/>
      </c>
      <c r="F1394" t="str">
        <f>""</f>
        <v/>
      </c>
      <c r="G1394" t="str">
        <f>""</f>
        <v/>
      </c>
      <c r="I1394" t="str">
        <f t="shared" si="18"/>
        <v>CUST#2000172616</v>
      </c>
    </row>
    <row r="1395" spans="1:9" x14ac:dyDescent="0.3">
      <c r="A1395" t="str">
        <f>""</f>
        <v/>
      </c>
      <c r="F1395" t="str">
        <f>""</f>
        <v/>
      </c>
      <c r="G1395" t="str">
        <f>""</f>
        <v/>
      </c>
      <c r="I1395" t="str">
        <f t="shared" si="18"/>
        <v>CUST#2000172616</v>
      </c>
    </row>
    <row r="1396" spans="1:9" x14ac:dyDescent="0.3">
      <c r="A1396" t="str">
        <f>""</f>
        <v/>
      </c>
      <c r="F1396" t="str">
        <f>""</f>
        <v/>
      </c>
      <c r="G1396" t="str">
        <f>""</f>
        <v/>
      </c>
      <c r="I1396" t="str">
        <f t="shared" si="18"/>
        <v>CUST#2000172616</v>
      </c>
    </row>
    <row r="1397" spans="1:9" x14ac:dyDescent="0.3">
      <c r="A1397" t="str">
        <f>""</f>
        <v/>
      </c>
      <c r="F1397" t="str">
        <f>""</f>
        <v/>
      </c>
      <c r="G1397" t="str">
        <f>""</f>
        <v/>
      </c>
      <c r="I1397" t="str">
        <f t="shared" si="18"/>
        <v>CUST#2000172616</v>
      </c>
    </row>
    <row r="1398" spans="1:9" x14ac:dyDescent="0.3">
      <c r="A1398" t="str">
        <f>""</f>
        <v/>
      </c>
      <c r="F1398" t="str">
        <f>""</f>
        <v/>
      </c>
      <c r="G1398" t="str">
        <f>""</f>
        <v/>
      </c>
      <c r="I1398" t="str">
        <f t="shared" si="18"/>
        <v>CUST#2000172616</v>
      </c>
    </row>
    <row r="1399" spans="1:9" x14ac:dyDescent="0.3">
      <c r="A1399" t="str">
        <f>""</f>
        <v/>
      </c>
      <c r="F1399" t="str">
        <f>""</f>
        <v/>
      </c>
      <c r="G1399" t="str">
        <f>""</f>
        <v/>
      </c>
      <c r="I1399" t="str">
        <f t="shared" si="18"/>
        <v>CUST#2000172616</v>
      </c>
    </row>
    <row r="1400" spans="1:9" x14ac:dyDescent="0.3">
      <c r="A1400" t="str">
        <f>""</f>
        <v/>
      </c>
      <c r="F1400" t="str">
        <f>""</f>
        <v/>
      </c>
      <c r="G1400" t="str">
        <f>""</f>
        <v/>
      </c>
      <c r="I1400" t="str">
        <f t="shared" si="18"/>
        <v>CUST#2000172616</v>
      </c>
    </row>
    <row r="1401" spans="1:9" x14ac:dyDescent="0.3">
      <c r="A1401" t="str">
        <f>""</f>
        <v/>
      </c>
      <c r="F1401" t="str">
        <f>""</f>
        <v/>
      </c>
      <c r="G1401" t="str">
        <f>""</f>
        <v/>
      </c>
      <c r="I1401" t="str">
        <f t="shared" si="18"/>
        <v>CUST#2000172616</v>
      </c>
    </row>
    <row r="1402" spans="1:9" x14ac:dyDescent="0.3">
      <c r="A1402" t="str">
        <f>""</f>
        <v/>
      </c>
      <c r="F1402" t="str">
        <f>""</f>
        <v/>
      </c>
      <c r="G1402" t="str">
        <f>""</f>
        <v/>
      </c>
      <c r="I1402" t="str">
        <f t="shared" si="18"/>
        <v>CUST#2000172616</v>
      </c>
    </row>
    <row r="1403" spans="1:9" x14ac:dyDescent="0.3">
      <c r="A1403" t="str">
        <f>""</f>
        <v/>
      </c>
      <c r="F1403" t="str">
        <f>""</f>
        <v/>
      </c>
      <c r="G1403" t="str">
        <f>""</f>
        <v/>
      </c>
      <c r="I1403" t="str">
        <f t="shared" si="18"/>
        <v>CUST#2000172616</v>
      </c>
    </row>
    <row r="1404" spans="1:9" x14ac:dyDescent="0.3">
      <c r="A1404" t="str">
        <f>""</f>
        <v/>
      </c>
      <c r="F1404" t="str">
        <f>""</f>
        <v/>
      </c>
      <c r="G1404" t="str">
        <f>""</f>
        <v/>
      </c>
      <c r="I1404" t="str">
        <f t="shared" si="18"/>
        <v>CUST#2000172616</v>
      </c>
    </row>
    <row r="1405" spans="1:9" x14ac:dyDescent="0.3">
      <c r="A1405" t="str">
        <f>""</f>
        <v/>
      </c>
      <c r="F1405" t="str">
        <f>""</f>
        <v/>
      </c>
      <c r="G1405" t="str">
        <f>""</f>
        <v/>
      </c>
      <c r="I1405" t="str">
        <f t="shared" si="18"/>
        <v>CUST#2000172616</v>
      </c>
    </row>
    <row r="1406" spans="1:9" x14ac:dyDescent="0.3">
      <c r="A1406" t="str">
        <f>""</f>
        <v/>
      </c>
      <c r="F1406" t="str">
        <f>""</f>
        <v/>
      </c>
      <c r="G1406" t="str">
        <f>""</f>
        <v/>
      </c>
      <c r="I1406" t="str">
        <f t="shared" si="18"/>
        <v>CUST#2000172616</v>
      </c>
    </row>
    <row r="1407" spans="1:9" x14ac:dyDescent="0.3">
      <c r="A1407" t="str">
        <f>""</f>
        <v/>
      </c>
      <c r="F1407" t="str">
        <f>""</f>
        <v/>
      </c>
      <c r="G1407" t="str">
        <f>""</f>
        <v/>
      </c>
      <c r="I1407" t="str">
        <f t="shared" si="18"/>
        <v>CUST#2000172616</v>
      </c>
    </row>
    <row r="1408" spans="1:9" x14ac:dyDescent="0.3">
      <c r="A1408" t="str">
        <f>""</f>
        <v/>
      </c>
      <c r="F1408" t="str">
        <f>""</f>
        <v/>
      </c>
      <c r="G1408" t="str">
        <f>""</f>
        <v/>
      </c>
      <c r="I1408" t="str">
        <f t="shared" si="18"/>
        <v>CUST#2000172616</v>
      </c>
    </row>
    <row r="1409" spans="1:9" x14ac:dyDescent="0.3">
      <c r="A1409" t="str">
        <f>""</f>
        <v/>
      </c>
      <c r="F1409" t="str">
        <f>""</f>
        <v/>
      </c>
      <c r="G1409" t="str">
        <f>""</f>
        <v/>
      </c>
      <c r="I1409" t="str">
        <f t="shared" si="18"/>
        <v>CUST#2000172616</v>
      </c>
    </row>
    <row r="1410" spans="1:9" x14ac:dyDescent="0.3">
      <c r="A1410" t="str">
        <f>""</f>
        <v/>
      </c>
      <c r="F1410" t="str">
        <f>""</f>
        <v/>
      </c>
      <c r="G1410" t="str">
        <f>""</f>
        <v/>
      </c>
      <c r="I1410" t="str">
        <f t="shared" si="18"/>
        <v>CUST#2000172616</v>
      </c>
    </row>
    <row r="1411" spans="1:9" x14ac:dyDescent="0.3">
      <c r="A1411" t="str">
        <f>""</f>
        <v/>
      </c>
      <c r="F1411" t="str">
        <f>""</f>
        <v/>
      </c>
      <c r="G1411" t="str">
        <f>""</f>
        <v/>
      </c>
      <c r="I1411" t="str">
        <f t="shared" si="18"/>
        <v>CUST#2000172616</v>
      </c>
    </row>
    <row r="1412" spans="1:9" x14ac:dyDescent="0.3">
      <c r="A1412" t="str">
        <f>"004665"</f>
        <v>004665</v>
      </c>
      <c r="B1412" t="s">
        <v>469</v>
      </c>
      <c r="C1412">
        <v>74240</v>
      </c>
      <c r="D1412" s="2">
        <v>20</v>
      </c>
      <c r="E1412" s="1">
        <v>43080</v>
      </c>
      <c r="F1412" t="str">
        <f>"201712046929"</f>
        <v>201712046929</v>
      </c>
      <c r="G1412" t="str">
        <f>"FLAT/PCT#2"</f>
        <v>FLAT/PCT#2</v>
      </c>
      <c r="H1412" s="2">
        <v>20</v>
      </c>
      <c r="I1412" t="str">
        <f>"FLAT/PCT#2"</f>
        <v>FLAT/PCT#2</v>
      </c>
    </row>
    <row r="1413" spans="1:9" x14ac:dyDescent="0.3">
      <c r="A1413" t="str">
        <f>"004417"</f>
        <v>004417</v>
      </c>
      <c r="B1413" t="s">
        <v>470</v>
      </c>
      <c r="C1413">
        <v>999999</v>
      </c>
      <c r="D1413" s="2">
        <v>550</v>
      </c>
      <c r="E1413" s="1">
        <v>43097</v>
      </c>
      <c r="F1413" t="str">
        <f>"BCNOV17"</f>
        <v>BCNOV17</v>
      </c>
      <c r="G1413" t="str">
        <f>"INV BCNOV17"</f>
        <v>INV BCNOV17</v>
      </c>
      <c r="H1413" s="2">
        <v>550</v>
      </c>
      <c r="I1413" t="str">
        <f>"INV BCNOV17"</f>
        <v>INV BCNOV17</v>
      </c>
    </row>
    <row r="1414" spans="1:9" x14ac:dyDescent="0.3">
      <c r="A1414" t="str">
        <f>"T7334"</f>
        <v>T7334</v>
      </c>
      <c r="B1414" t="s">
        <v>471</v>
      </c>
      <c r="C1414">
        <v>74241</v>
      </c>
      <c r="D1414" s="2">
        <v>70</v>
      </c>
      <c r="E1414" s="1">
        <v>43080</v>
      </c>
      <c r="F1414" t="str">
        <f>"201711286813"</f>
        <v>201711286813</v>
      </c>
      <c r="G1414" t="str">
        <f>"FERAL HOGS"</f>
        <v>FERAL HOGS</v>
      </c>
      <c r="H1414" s="2">
        <v>70</v>
      </c>
      <c r="I1414" t="str">
        <f>"FERAL HOGS"</f>
        <v>FERAL HOGS</v>
      </c>
    </row>
    <row r="1415" spans="1:9" x14ac:dyDescent="0.3">
      <c r="A1415" t="str">
        <f>"005165"</f>
        <v>005165</v>
      </c>
      <c r="B1415" t="s">
        <v>472</v>
      </c>
      <c r="C1415">
        <v>74242</v>
      </c>
      <c r="D1415" s="2">
        <v>800</v>
      </c>
      <c r="E1415" s="1">
        <v>43080</v>
      </c>
      <c r="F1415" t="str">
        <f>"201711286757"</f>
        <v>201711286757</v>
      </c>
      <c r="G1415" t="str">
        <f>"WA#1575-2017/FOHN RD/PCT#3"</f>
        <v>WA#1575-2017/FOHN RD/PCT#3</v>
      </c>
      <c r="H1415" s="2">
        <v>800</v>
      </c>
      <c r="I1415" t="str">
        <f>"WA#1575-2017/PCT#3"</f>
        <v>WA#1575-2017/PCT#3</v>
      </c>
    </row>
    <row r="1416" spans="1:9" x14ac:dyDescent="0.3">
      <c r="A1416" t="str">
        <f>"T11144"</f>
        <v>T11144</v>
      </c>
      <c r="B1416" t="s">
        <v>473</v>
      </c>
      <c r="C1416">
        <v>74243</v>
      </c>
      <c r="D1416" s="2">
        <v>1000</v>
      </c>
      <c r="E1416" s="1">
        <v>43080</v>
      </c>
      <c r="F1416" t="str">
        <f>"201712046922"</f>
        <v>201712046922</v>
      </c>
      <c r="G1416" t="str">
        <f>"CAUSE #16 395-C.ORTIZ"</f>
        <v>CAUSE #16 395-C.ORTIZ</v>
      </c>
      <c r="H1416" s="2">
        <v>1000</v>
      </c>
      <c r="I1416" t="str">
        <f>"CAUSE #16 395-C.ORTIZ"</f>
        <v>CAUSE #16 395-C.ORTIZ</v>
      </c>
    </row>
    <row r="1417" spans="1:9" x14ac:dyDescent="0.3">
      <c r="A1417" t="str">
        <f>"004814"</f>
        <v>004814</v>
      </c>
      <c r="B1417" t="s">
        <v>474</v>
      </c>
      <c r="C1417">
        <v>74244</v>
      </c>
      <c r="D1417" s="2">
        <v>550</v>
      </c>
      <c r="E1417" s="1">
        <v>43080</v>
      </c>
      <c r="F1417" t="str">
        <f>"201711286814"</f>
        <v>201711286814</v>
      </c>
      <c r="G1417" t="str">
        <f>"FERAL HOGS"</f>
        <v>FERAL HOGS</v>
      </c>
      <c r="H1417" s="2">
        <v>550</v>
      </c>
      <c r="I1417" t="str">
        <f>"FERAL HOGS"</f>
        <v>FERAL HOGS</v>
      </c>
    </row>
    <row r="1418" spans="1:9" x14ac:dyDescent="0.3">
      <c r="A1418" t="str">
        <f>"MADDEN"</f>
        <v>MADDEN</v>
      </c>
      <c r="B1418" t="s">
        <v>475</v>
      </c>
      <c r="C1418">
        <v>74245</v>
      </c>
      <c r="D1418" s="2">
        <v>490.75</v>
      </c>
      <c r="E1418" s="1">
        <v>43080</v>
      </c>
      <c r="F1418" t="str">
        <f>"4128170"</f>
        <v>4128170</v>
      </c>
      <c r="G1418" t="str">
        <f>"CUST#90564/ORD#2110175"</f>
        <v>CUST#90564/ORD#2110175</v>
      </c>
      <c r="H1418" s="2">
        <v>382.83</v>
      </c>
      <c r="I1418" t="str">
        <f>"CUST#90564/ORD#2110175"</f>
        <v>CUST#90564/ORD#2110175</v>
      </c>
    </row>
    <row r="1419" spans="1:9" x14ac:dyDescent="0.3">
      <c r="A1419" t="str">
        <f>""</f>
        <v/>
      </c>
      <c r="F1419" t="str">
        <f>"4135608"</f>
        <v>4135608</v>
      </c>
      <c r="G1419" t="str">
        <f>"CUST#90564/ORD#2117664/GEN SVC"</f>
        <v>CUST#90564/ORD#2117664/GEN SVC</v>
      </c>
      <c r="H1419" s="2">
        <v>107.92</v>
      </c>
      <c r="I1419" t="str">
        <f>"CUST#90564/ORD#2117664/GEN SVC"</f>
        <v>CUST#90564/ORD#2117664/GEN SVC</v>
      </c>
    </row>
    <row r="1420" spans="1:9" x14ac:dyDescent="0.3">
      <c r="A1420" t="str">
        <f>"003600"</f>
        <v>003600</v>
      </c>
      <c r="B1420" t="s">
        <v>476</v>
      </c>
      <c r="C1420">
        <v>74246</v>
      </c>
      <c r="D1420" s="2">
        <v>10</v>
      </c>
      <c r="E1420" s="1">
        <v>43080</v>
      </c>
      <c r="F1420" t="str">
        <f>"201711286815"</f>
        <v>201711286815</v>
      </c>
      <c r="G1420" t="str">
        <f>"FERAL HOGS"</f>
        <v>FERAL HOGS</v>
      </c>
      <c r="H1420" s="2">
        <v>10</v>
      </c>
      <c r="I1420" t="str">
        <f>"FERAL HOGS"</f>
        <v>FERAL HOGS</v>
      </c>
    </row>
    <row r="1421" spans="1:9" x14ac:dyDescent="0.3">
      <c r="A1421" t="str">
        <f>"003955"</f>
        <v>003955</v>
      </c>
      <c r="B1421" t="s">
        <v>477</v>
      </c>
      <c r="C1421">
        <v>999999</v>
      </c>
      <c r="D1421" s="2">
        <v>320.98</v>
      </c>
      <c r="E1421" s="1">
        <v>43097</v>
      </c>
      <c r="F1421" t="str">
        <f>"201712117245"</f>
        <v>201712117245</v>
      </c>
      <c r="G1421" t="str">
        <f>"REIMBURSE-DELL HD &amp; SOFTWARE"</f>
        <v>REIMBURSE-DELL HD &amp; SOFTWARE</v>
      </c>
      <c r="H1421" s="2">
        <v>320.98</v>
      </c>
      <c r="I1421" t="str">
        <f>"REIMBURSE-DELL HD &amp; SOFTWARE"</f>
        <v>REIMBURSE-DELL HD &amp; SOFTWARE</v>
      </c>
    </row>
    <row r="1422" spans="1:9" x14ac:dyDescent="0.3">
      <c r="A1422" t="str">
        <f>""</f>
        <v/>
      </c>
      <c r="F1422" t="str">
        <f>""</f>
        <v/>
      </c>
      <c r="G1422" t="str">
        <f>""</f>
        <v/>
      </c>
      <c r="I1422" t="str">
        <f>"REIMBURSE-DELL HD &amp; SOFTWARE"</f>
        <v>REIMBURSE-DELL HD &amp; SOFTWARE</v>
      </c>
    </row>
    <row r="1423" spans="1:9" x14ac:dyDescent="0.3">
      <c r="A1423" t="str">
        <f>""</f>
        <v/>
      </c>
      <c r="F1423" t="str">
        <f>""</f>
        <v/>
      </c>
      <c r="G1423" t="str">
        <f>""</f>
        <v/>
      </c>
      <c r="I1423" t="str">
        <f>"REIMBURSE-DELL HD &amp; SOFTWARE"</f>
        <v>REIMBURSE-DELL HD &amp; SOFTWARE</v>
      </c>
    </row>
    <row r="1424" spans="1:9" x14ac:dyDescent="0.3">
      <c r="A1424" t="str">
        <f>"T8555"</f>
        <v>T8555</v>
      </c>
      <c r="B1424" t="s">
        <v>478</v>
      </c>
      <c r="C1424">
        <v>999999</v>
      </c>
      <c r="D1424" s="2">
        <v>7</v>
      </c>
      <c r="E1424" s="1">
        <v>43097</v>
      </c>
      <c r="F1424" t="str">
        <f>"18567"</f>
        <v>18567</v>
      </c>
      <c r="G1424" t="str">
        <f>"2007 FRHT INSPECTION"</f>
        <v>2007 FRHT INSPECTION</v>
      </c>
      <c r="H1424" s="2">
        <v>7</v>
      </c>
      <c r="I1424" t="str">
        <f>"2007 FRHT INSPECTION"</f>
        <v>2007 FRHT INSPECTION</v>
      </c>
    </row>
    <row r="1425" spans="1:9" x14ac:dyDescent="0.3">
      <c r="A1425" t="str">
        <f>"003593"</f>
        <v>003593</v>
      </c>
      <c r="B1425" t="s">
        <v>479</v>
      </c>
      <c r="C1425">
        <v>74247</v>
      </c>
      <c r="D1425" s="2">
        <v>120</v>
      </c>
      <c r="E1425" s="1">
        <v>43080</v>
      </c>
      <c r="F1425" t="str">
        <f>"201712047022"</f>
        <v>201712047022</v>
      </c>
      <c r="G1425" t="str">
        <f>"FERAL HOGS"</f>
        <v>FERAL HOGS</v>
      </c>
      <c r="H1425" s="2">
        <v>120</v>
      </c>
      <c r="I1425" t="str">
        <f>"FERAL HOGS"</f>
        <v>FERAL HOGS</v>
      </c>
    </row>
    <row r="1426" spans="1:9" x14ac:dyDescent="0.3">
      <c r="A1426" t="str">
        <f>"RP-CC"</f>
        <v>RP-CC</v>
      </c>
      <c r="B1426" t="s">
        <v>480</v>
      </c>
      <c r="C1426">
        <v>74248</v>
      </c>
      <c r="D1426" s="2">
        <v>371</v>
      </c>
      <c r="E1426" s="1">
        <v>43080</v>
      </c>
      <c r="F1426" t="str">
        <f>"201712067230"</f>
        <v>201712067230</v>
      </c>
      <c r="G1426" t="str">
        <f>"DEVELOPMENT SVCS RECORDING FEE"</f>
        <v>DEVELOPMENT SVCS RECORDING FEE</v>
      </c>
      <c r="H1426" s="2">
        <v>371</v>
      </c>
      <c r="I1426" t="str">
        <f>"DEVELOPMENT SVCS RECORDING FEE"</f>
        <v>DEVELOPMENT SVCS RECORDING FEE</v>
      </c>
    </row>
    <row r="1427" spans="1:9" x14ac:dyDescent="0.3">
      <c r="A1427" t="str">
        <f>"002112"</f>
        <v>002112</v>
      </c>
      <c r="B1427" t="s">
        <v>481</v>
      </c>
      <c r="C1427">
        <v>74249</v>
      </c>
      <c r="D1427" s="2">
        <v>265.97000000000003</v>
      </c>
      <c r="E1427" s="1">
        <v>43080</v>
      </c>
      <c r="F1427" t="str">
        <f>"201712067222"</f>
        <v>201712067222</v>
      </c>
      <c r="G1427" t="str">
        <f>"INDIGENT HEALTH"</f>
        <v>INDIGENT HEALTH</v>
      </c>
      <c r="H1427" s="2">
        <v>265.97000000000003</v>
      </c>
      <c r="I1427" t="str">
        <f>"INDIGENT HEALTH"</f>
        <v>INDIGENT HEALTH</v>
      </c>
    </row>
    <row r="1428" spans="1:9" x14ac:dyDescent="0.3">
      <c r="A1428" t="str">
        <f>"SHSU"</f>
        <v>SHSU</v>
      </c>
      <c r="B1428" t="s">
        <v>482</v>
      </c>
      <c r="C1428">
        <v>74250</v>
      </c>
      <c r="D1428" s="2">
        <v>550</v>
      </c>
      <c r="E1428" s="1">
        <v>43080</v>
      </c>
      <c r="F1428" t="str">
        <f>"201711286753"</f>
        <v>201711286753</v>
      </c>
      <c r="G1428" t="str">
        <f>"CONFERENCE REGISTRATION"</f>
        <v>CONFERENCE REGISTRATION</v>
      </c>
      <c r="H1428" s="2">
        <v>550</v>
      </c>
      <c r="I1428" t="str">
        <f>"CONFERENCE REGISTRATION"</f>
        <v>CONFERENCE REGISTRATION</v>
      </c>
    </row>
    <row r="1429" spans="1:9" x14ac:dyDescent="0.3">
      <c r="A1429" t="str">
        <f>"003697"</f>
        <v>003697</v>
      </c>
      <c r="B1429" t="s">
        <v>483</v>
      </c>
      <c r="C1429">
        <v>74251</v>
      </c>
      <c r="D1429" s="2">
        <v>5.2</v>
      </c>
      <c r="E1429" s="1">
        <v>43080</v>
      </c>
      <c r="F1429" t="str">
        <f>"25649"</f>
        <v>25649</v>
      </c>
      <c r="G1429" t="str">
        <f>"ACCT#52648/PCT#1"</f>
        <v>ACCT#52648/PCT#1</v>
      </c>
      <c r="H1429" s="2">
        <v>5.2</v>
      </c>
      <c r="I1429" t="str">
        <f>"ACCT#52648/PCT#1"</f>
        <v>ACCT#52648/PCT#1</v>
      </c>
    </row>
    <row r="1430" spans="1:9" x14ac:dyDescent="0.3">
      <c r="A1430" t="str">
        <f>"T11973"</f>
        <v>T11973</v>
      </c>
      <c r="B1430" t="s">
        <v>484</v>
      </c>
      <c r="C1430">
        <v>999999</v>
      </c>
      <c r="D1430" s="2">
        <v>336.98</v>
      </c>
      <c r="E1430" s="1">
        <v>43081</v>
      </c>
      <c r="F1430" t="str">
        <f>"201712067223"</f>
        <v>201712067223</v>
      </c>
      <c r="G1430" t="str">
        <f>"INDIGENT HEALTH"</f>
        <v>INDIGENT HEALTH</v>
      </c>
      <c r="H1430" s="2">
        <v>336.98</v>
      </c>
      <c r="I1430" t="str">
        <f>"INDIGENT HEALTH"</f>
        <v>INDIGENT HEALTH</v>
      </c>
    </row>
    <row r="1431" spans="1:9" x14ac:dyDescent="0.3">
      <c r="A1431" t="str">
        <f>""</f>
        <v/>
      </c>
      <c r="F1431" t="str">
        <f>""</f>
        <v/>
      </c>
      <c r="G1431" t="str">
        <f>""</f>
        <v/>
      </c>
      <c r="I1431" t="str">
        <f>"INDIGENT HEALTH"</f>
        <v>INDIGENT HEALTH</v>
      </c>
    </row>
    <row r="1432" spans="1:9" x14ac:dyDescent="0.3">
      <c r="A1432" t="str">
        <f>"T11973"</f>
        <v>T11973</v>
      </c>
      <c r="B1432" t="s">
        <v>484</v>
      </c>
      <c r="C1432">
        <v>999999</v>
      </c>
      <c r="D1432" s="2">
        <v>278.37</v>
      </c>
      <c r="E1432" s="1">
        <v>43097</v>
      </c>
      <c r="F1432" t="str">
        <f>"201712207487"</f>
        <v>201712207487</v>
      </c>
      <c r="G1432" t="str">
        <f>"INDIGENT HEALTH"</f>
        <v>INDIGENT HEALTH</v>
      </c>
      <c r="H1432" s="2">
        <v>278.37</v>
      </c>
      <c r="I1432" t="str">
        <f>"INDIGENT HEALTH"</f>
        <v>INDIGENT HEALTH</v>
      </c>
    </row>
    <row r="1433" spans="1:9" x14ac:dyDescent="0.3">
      <c r="A1433" t="str">
        <f>""</f>
        <v/>
      </c>
      <c r="F1433" t="str">
        <f>""</f>
        <v/>
      </c>
      <c r="G1433" t="str">
        <f>""</f>
        <v/>
      </c>
      <c r="I1433" t="str">
        <f>"INDIGENT HEALTH"</f>
        <v>INDIGENT HEALTH</v>
      </c>
    </row>
    <row r="1434" spans="1:9" x14ac:dyDescent="0.3">
      <c r="A1434" t="str">
        <f>"T13173"</f>
        <v>T13173</v>
      </c>
      <c r="B1434" t="s">
        <v>485</v>
      </c>
      <c r="C1434">
        <v>999999</v>
      </c>
      <c r="D1434" s="2">
        <v>350</v>
      </c>
      <c r="E1434" s="1">
        <v>43097</v>
      </c>
      <c r="F1434" t="str">
        <f>"060908"</f>
        <v>060908</v>
      </c>
      <c r="G1434" t="str">
        <f>"MANILA FOLDERS"</f>
        <v>MANILA FOLDERS</v>
      </c>
      <c r="H1434" s="2">
        <v>350</v>
      </c>
      <c r="I1434" t="str">
        <f>"MANILA FOLDERS"</f>
        <v>MANILA FOLDERS</v>
      </c>
    </row>
    <row r="1435" spans="1:9" x14ac:dyDescent="0.3">
      <c r="A1435" t="str">
        <f>"003194"</f>
        <v>003194</v>
      </c>
      <c r="B1435" t="s">
        <v>486</v>
      </c>
      <c r="C1435">
        <v>999999</v>
      </c>
      <c r="D1435" s="2">
        <v>6987</v>
      </c>
      <c r="E1435" s="1">
        <v>43097</v>
      </c>
      <c r="F1435" t="str">
        <f>"PPDINV0009026"</f>
        <v>PPDINV0009026</v>
      </c>
      <c r="G1435" t="str">
        <f>"INV PPDINV0009026"</f>
        <v>INV PPDINV0009026</v>
      </c>
      <c r="H1435" s="2">
        <v>6987</v>
      </c>
      <c r="I1435" t="str">
        <f>"INV PPDINV0009026"</f>
        <v>INV PPDINV0009026</v>
      </c>
    </row>
    <row r="1436" spans="1:9" x14ac:dyDescent="0.3">
      <c r="A1436" t="str">
        <f>"003131"</f>
        <v>003131</v>
      </c>
      <c r="B1436" t="s">
        <v>487</v>
      </c>
      <c r="C1436">
        <v>74452</v>
      </c>
      <c r="D1436" s="2">
        <v>3333</v>
      </c>
      <c r="E1436" s="1">
        <v>43096</v>
      </c>
      <c r="F1436" t="str">
        <f>"201712207463"</f>
        <v>201712207463</v>
      </c>
      <c r="G1436" t="str">
        <f>"PRESCRIPTION ASSISTANCE"</f>
        <v>PRESCRIPTION ASSISTANCE</v>
      </c>
      <c r="H1436" s="2">
        <v>3333</v>
      </c>
      <c r="I1436" t="str">
        <f>"PRESCRIPTION ASSISTANCE"</f>
        <v>PRESCRIPTION ASSISTANCE</v>
      </c>
    </row>
    <row r="1437" spans="1:9" x14ac:dyDescent="0.3">
      <c r="A1437" t="str">
        <f>"003183"</f>
        <v>003183</v>
      </c>
      <c r="B1437" t="s">
        <v>488</v>
      </c>
      <c r="C1437">
        <v>74453</v>
      </c>
      <c r="D1437" s="2">
        <v>3784.8</v>
      </c>
      <c r="E1437" s="1">
        <v>43096</v>
      </c>
      <c r="F1437" t="str">
        <f>"201712207488"</f>
        <v>201712207488</v>
      </c>
      <c r="G1437" t="str">
        <f>"INDIGENT HEALTH"</f>
        <v>INDIGENT HEALTH</v>
      </c>
      <c r="H1437" s="2">
        <v>3784.8</v>
      </c>
      <c r="I1437" t="str">
        <f>"INDIGENT HEALTH"</f>
        <v>INDIGENT HEALTH</v>
      </c>
    </row>
    <row r="1438" spans="1:9" x14ac:dyDescent="0.3">
      <c r="A1438" t="str">
        <f>"003086"</f>
        <v>003086</v>
      </c>
      <c r="B1438" t="s">
        <v>489</v>
      </c>
      <c r="C1438">
        <v>74252</v>
      </c>
      <c r="D1438" s="2">
        <v>2370.29</v>
      </c>
      <c r="E1438" s="1">
        <v>43080</v>
      </c>
      <c r="F1438" t="str">
        <f>"201712067224"</f>
        <v>201712067224</v>
      </c>
      <c r="G1438" t="str">
        <f>"INDIGENT HEALTH"</f>
        <v>INDIGENT HEALTH</v>
      </c>
      <c r="H1438" s="2">
        <v>2370.29</v>
      </c>
      <c r="I1438" t="str">
        <f>"INDIGENT HEALTH"</f>
        <v>INDIGENT HEALTH</v>
      </c>
    </row>
    <row r="1439" spans="1:9" x14ac:dyDescent="0.3">
      <c r="A1439" t="str">
        <f>"003086"</f>
        <v>003086</v>
      </c>
      <c r="B1439" t="s">
        <v>489</v>
      </c>
      <c r="C1439">
        <v>74454</v>
      </c>
      <c r="D1439" s="2">
        <v>5097.3500000000004</v>
      </c>
      <c r="E1439" s="1">
        <v>43096</v>
      </c>
      <c r="F1439" t="str">
        <f>"201712207489"</f>
        <v>201712207489</v>
      </c>
      <c r="G1439" t="str">
        <f>"INDIGENT HEALTH"</f>
        <v>INDIGENT HEALTH</v>
      </c>
      <c r="H1439" s="2">
        <v>4350.62</v>
      </c>
      <c r="I1439" t="str">
        <f>"INDIGENT HEALTH"</f>
        <v>INDIGENT HEALTH</v>
      </c>
    </row>
    <row r="1440" spans="1:9" x14ac:dyDescent="0.3">
      <c r="A1440" t="str">
        <f>""</f>
        <v/>
      </c>
      <c r="F1440" t="str">
        <f>""</f>
        <v/>
      </c>
      <c r="G1440" t="str">
        <f>""</f>
        <v/>
      </c>
      <c r="I1440" t="str">
        <f>"INDIGENT HEALTH"</f>
        <v>INDIGENT HEALTH</v>
      </c>
    </row>
    <row r="1441" spans="1:9" x14ac:dyDescent="0.3">
      <c r="A1441" t="str">
        <f>""</f>
        <v/>
      </c>
      <c r="F1441" t="str">
        <f>"201712207496"</f>
        <v>201712207496</v>
      </c>
      <c r="G1441" t="str">
        <f>"INDIGENT HEALTH"</f>
        <v>INDIGENT HEALTH</v>
      </c>
      <c r="H1441" s="2">
        <v>746.73</v>
      </c>
      <c r="I1441" t="str">
        <f>"INDIGENT HEALTH"</f>
        <v>INDIGENT HEALTH</v>
      </c>
    </row>
    <row r="1442" spans="1:9" x14ac:dyDescent="0.3">
      <c r="A1442" t="str">
        <f>"000291"</f>
        <v>000291</v>
      </c>
      <c r="B1442" t="s">
        <v>490</v>
      </c>
      <c r="C1442">
        <v>74253</v>
      </c>
      <c r="D1442" s="2">
        <v>186.85</v>
      </c>
      <c r="E1442" s="1">
        <v>43080</v>
      </c>
      <c r="F1442" t="str">
        <f>"6177-5"</f>
        <v>6177-5</v>
      </c>
      <c r="G1442" t="str">
        <f>"ACCT#4220-2556-9"</f>
        <v>ACCT#4220-2556-9</v>
      </c>
      <c r="H1442" s="2">
        <v>186.85</v>
      </c>
      <c r="I1442" t="str">
        <f>"ACCT#4220-2556-9"</f>
        <v>ACCT#4220-2556-9</v>
      </c>
    </row>
    <row r="1443" spans="1:9" x14ac:dyDescent="0.3">
      <c r="A1443" t="str">
        <f>"000291"</f>
        <v>000291</v>
      </c>
      <c r="B1443" t="s">
        <v>490</v>
      </c>
      <c r="C1443">
        <v>74455</v>
      </c>
      <c r="D1443" s="2">
        <v>15.58</v>
      </c>
      <c r="E1443" s="1">
        <v>43096</v>
      </c>
      <c r="F1443" t="str">
        <f>"6994-3"</f>
        <v>6994-3</v>
      </c>
      <c r="G1443" t="str">
        <f>"ACCT#4220-2556-9/PAINT/GEN SVC"</f>
        <v>ACCT#4220-2556-9/PAINT/GEN SVC</v>
      </c>
      <c r="H1443" s="2">
        <v>15.58</v>
      </c>
      <c r="I1443" t="str">
        <f>"ACCT#4220-2556-9/PAINT/GEN SVC"</f>
        <v>ACCT#4220-2556-9/PAINT/GEN SVC</v>
      </c>
    </row>
    <row r="1444" spans="1:9" x14ac:dyDescent="0.3">
      <c r="A1444" t="str">
        <f>"T10195"</f>
        <v>T10195</v>
      </c>
      <c r="B1444" t="s">
        <v>491</v>
      </c>
      <c r="C1444">
        <v>74254</v>
      </c>
      <c r="D1444" s="2">
        <v>15722.32</v>
      </c>
      <c r="E1444" s="1">
        <v>43080</v>
      </c>
      <c r="F1444" t="str">
        <f>"11NMXP25"</f>
        <v>11NMXP25</v>
      </c>
      <c r="G1444" t="str">
        <f>"NetMotion 1 Yr Renewal"</f>
        <v>NetMotion 1 Yr Renewal</v>
      </c>
      <c r="H1444" s="2">
        <v>3983</v>
      </c>
      <c r="I1444" t="str">
        <f>"Part# 11NMXP25"</f>
        <v>Part# 11NMXP25</v>
      </c>
    </row>
    <row r="1445" spans="1:9" x14ac:dyDescent="0.3">
      <c r="A1445" t="str">
        <f>""</f>
        <v/>
      </c>
      <c r="F1445" t="str">
        <f>"14420100"</f>
        <v>14420100</v>
      </c>
      <c r="G1445" t="str">
        <f>"Quote: 14420100"</f>
        <v>Quote: 14420100</v>
      </c>
      <c r="H1445" s="2">
        <v>5874.32</v>
      </c>
      <c r="I1445" t="str">
        <f>"Part# 395-02412"</f>
        <v>Part# 395-02412</v>
      </c>
    </row>
    <row r="1446" spans="1:9" x14ac:dyDescent="0.3">
      <c r="A1446" t="str">
        <f>""</f>
        <v/>
      </c>
      <c r="F1446" t="str">
        <f>"14434689"</f>
        <v>14434689</v>
      </c>
      <c r="G1446" t="str">
        <f>"APC Metered Rack PDU"</f>
        <v>APC Metered Rack PDU</v>
      </c>
      <c r="H1446" s="2">
        <v>3444</v>
      </c>
      <c r="I1446" t="str">
        <f>"APC Metered Rack PDU"</f>
        <v>APC Metered Rack PDU</v>
      </c>
    </row>
    <row r="1447" spans="1:9" x14ac:dyDescent="0.3">
      <c r="A1447" t="str">
        <f>""</f>
        <v/>
      </c>
      <c r="F1447" t="str">
        <f>"GB00261251"</f>
        <v>GB00261251</v>
      </c>
      <c r="G1447" t="str">
        <f>"QUOTE 14443553"</f>
        <v>QUOTE 14443553</v>
      </c>
      <c r="H1447" s="2">
        <v>2421</v>
      </c>
      <c r="I1447" t="str">
        <f>"8 GB USB FLASH DRIVE"</f>
        <v>8 GB USB FLASH DRIVE</v>
      </c>
    </row>
    <row r="1448" spans="1:9" x14ac:dyDescent="0.3">
      <c r="A1448" t="str">
        <f>""</f>
        <v/>
      </c>
      <c r="F1448" t="str">
        <f>""</f>
        <v/>
      </c>
      <c r="G1448" t="str">
        <f>""</f>
        <v/>
      </c>
      <c r="I1448" t="str">
        <f>"16GB USB FLASH DRIVE"</f>
        <v>16GB USB FLASH DRIVE</v>
      </c>
    </row>
    <row r="1449" spans="1:9" x14ac:dyDescent="0.3">
      <c r="A1449" t="str">
        <f>"T10195"</f>
        <v>T10195</v>
      </c>
      <c r="B1449" t="s">
        <v>491</v>
      </c>
      <c r="C1449">
        <v>74456</v>
      </c>
      <c r="D1449" s="2">
        <v>4390.97</v>
      </c>
      <c r="E1449" s="1">
        <v>43096</v>
      </c>
      <c r="F1449" t="str">
        <f>"GB00260855"</f>
        <v>GB00260855</v>
      </c>
      <c r="G1449" t="str">
        <f>"NetBotz Room Monitor - IT"</f>
        <v>NetBotz Room Monitor - IT</v>
      </c>
      <c r="H1449" s="2">
        <v>3851.97</v>
      </c>
      <c r="I1449" t="str">
        <f>"NetBotz RoomMonitor"</f>
        <v>NetBotz RoomMonitor</v>
      </c>
    </row>
    <row r="1450" spans="1:9" x14ac:dyDescent="0.3">
      <c r="A1450" t="str">
        <f>""</f>
        <v/>
      </c>
      <c r="F1450" t="str">
        <f>""</f>
        <v/>
      </c>
      <c r="G1450" t="str">
        <f>""</f>
        <v/>
      </c>
      <c r="I1450" t="str">
        <f>"NetBotz Spot Fluid"</f>
        <v>NetBotz Spot Fluid</v>
      </c>
    </row>
    <row r="1451" spans="1:9" x14ac:dyDescent="0.3">
      <c r="A1451" t="str">
        <f>""</f>
        <v/>
      </c>
      <c r="F1451" t="str">
        <f>"GB00264267"</f>
        <v>GB00264267</v>
      </c>
      <c r="G1451" t="str">
        <f>"AutoCad Licenses"</f>
        <v>AutoCad Licenses</v>
      </c>
      <c r="H1451" s="2">
        <v>320</v>
      </c>
      <c r="I1451" t="str">
        <f>"057J1-WW8695-T548-VC"</f>
        <v>057J1-WW8695-T548-VC</v>
      </c>
    </row>
    <row r="1452" spans="1:9" x14ac:dyDescent="0.3">
      <c r="A1452" t="str">
        <f>""</f>
        <v/>
      </c>
      <c r="F1452" t="str">
        <f>"GB00264405"</f>
        <v>GB00264405</v>
      </c>
      <c r="G1452" t="str">
        <f>"SHI GOVERNMENT SOLUTIONS INC."</f>
        <v>SHI GOVERNMENT SOLUTIONS INC.</v>
      </c>
      <c r="H1452" s="2">
        <v>219</v>
      </c>
      <c r="I1452" t="str">
        <f>"Adobe Acrobat"</f>
        <v>Adobe Acrobat</v>
      </c>
    </row>
    <row r="1453" spans="1:9" x14ac:dyDescent="0.3">
      <c r="A1453" t="str">
        <f>""</f>
        <v/>
      </c>
      <c r="F1453" t="str">
        <f>""</f>
        <v/>
      </c>
      <c r="G1453" t="str">
        <f>""</f>
        <v/>
      </c>
      <c r="I1453" t="str">
        <f>"$ amount overage"</f>
        <v>$ amount overage</v>
      </c>
    </row>
    <row r="1454" spans="1:9" x14ac:dyDescent="0.3">
      <c r="A1454" t="str">
        <f>"004840"</f>
        <v>004840</v>
      </c>
      <c r="B1454" t="s">
        <v>492</v>
      </c>
      <c r="C1454">
        <v>74255</v>
      </c>
      <c r="D1454" s="2">
        <v>370.82</v>
      </c>
      <c r="E1454" s="1">
        <v>43080</v>
      </c>
      <c r="F1454" t="str">
        <f>"773285"</f>
        <v>773285</v>
      </c>
      <c r="G1454" t="str">
        <f>"ACCT#550615/PCT#2"</f>
        <v>ACCT#550615/PCT#2</v>
      </c>
      <c r="H1454" s="2">
        <v>190.82</v>
      </c>
      <c r="I1454" t="str">
        <f>"ACCT#550615/PCT#2"</f>
        <v>ACCT#550615/PCT#2</v>
      </c>
    </row>
    <row r="1455" spans="1:9" x14ac:dyDescent="0.3">
      <c r="A1455" t="str">
        <f>""</f>
        <v/>
      </c>
      <c r="F1455" t="str">
        <f>"773296"</f>
        <v>773296</v>
      </c>
      <c r="G1455" t="str">
        <f>"ACCT#550615/PCT#2"</f>
        <v>ACCT#550615/PCT#2</v>
      </c>
      <c r="H1455" s="2">
        <v>180</v>
      </c>
      <c r="I1455" t="str">
        <f>"ACCT#550615/PCT#2"</f>
        <v>ACCT#550615/PCT#2</v>
      </c>
    </row>
    <row r="1456" spans="1:9" x14ac:dyDescent="0.3">
      <c r="A1456" t="str">
        <f>"004840"</f>
        <v>004840</v>
      </c>
      <c r="B1456" t="s">
        <v>492</v>
      </c>
      <c r="C1456">
        <v>74457</v>
      </c>
      <c r="D1456" s="2">
        <v>2490.08</v>
      </c>
      <c r="E1456" s="1">
        <v>43096</v>
      </c>
      <c r="F1456" t="str">
        <f>"201712187347"</f>
        <v>201712187347</v>
      </c>
      <c r="G1456" t="str">
        <f>"ACCT#550615/PARTS/PCT#3"</f>
        <v>ACCT#550615/PARTS/PCT#3</v>
      </c>
      <c r="H1456" s="2">
        <v>2490.08</v>
      </c>
      <c r="I1456" t="str">
        <f>"ACCT#550615/PARTS/PCT#3"</f>
        <v>ACCT#550615/PARTS/PCT#3</v>
      </c>
    </row>
    <row r="1457" spans="1:9" x14ac:dyDescent="0.3">
      <c r="A1457" t="str">
        <f>"001260"</f>
        <v>001260</v>
      </c>
      <c r="B1457" t="s">
        <v>493</v>
      </c>
      <c r="C1457">
        <v>74256</v>
      </c>
      <c r="D1457" s="2">
        <v>190.55</v>
      </c>
      <c r="E1457" s="1">
        <v>43080</v>
      </c>
      <c r="F1457" t="str">
        <f>"201712067225"</f>
        <v>201712067225</v>
      </c>
      <c r="G1457" t="str">
        <f>"INDIGENT HEALTH"</f>
        <v>INDIGENT HEALTH</v>
      </c>
      <c r="H1457" s="2">
        <v>190.55</v>
      </c>
      <c r="I1457" t="str">
        <f>"INDIGENT HEALTH"</f>
        <v>INDIGENT HEALTH</v>
      </c>
    </row>
    <row r="1458" spans="1:9" x14ac:dyDescent="0.3">
      <c r="A1458" t="str">
        <f>"001260"</f>
        <v>001260</v>
      </c>
      <c r="B1458" t="s">
        <v>493</v>
      </c>
      <c r="C1458">
        <v>74458</v>
      </c>
      <c r="D1458" s="2">
        <v>301.41000000000003</v>
      </c>
      <c r="E1458" s="1">
        <v>43096</v>
      </c>
      <c r="F1458" t="str">
        <f>"201712207490"</f>
        <v>201712207490</v>
      </c>
      <c r="G1458" t="str">
        <f>"INDIGENT HEALTH"</f>
        <v>INDIGENT HEALTH</v>
      </c>
      <c r="H1458" s="2">
        <v>301.41000000000003</v>
      </c>
      <c r="I1458" t="str">
        <f>"INDIGENT HEALTH"</f>
        <v>INDIGENT HEALTH</v>
      </c>
    </row>
    <row r="1459" spans="1:9" x14ac:dyDescent="0.3">
      <c r="A1459" t="str">
        <f>"003483"</f>
        <v>003483</v>
      </c>
      <c r="B1459" t="s">
        <v>494</v>
      </c>
      <c r="C1459">
        <v>74459</v>
      </c>
      <c r="D1459" s="2">
        <v>135045.20000000001</v>
      </c>
      <c r="E1459" s="1">
        <v>43096</v>
      </c>
      <c r="F1459" t="str">
        <f>"VEHICLES"</f>
        <v>VEHICLES</v>
      </c>
      <c r="G1459" t="str">
        <f>"SILSBEE FORD"</f>
        <v>SILSBEE FORD</v>
      </c>
      <c r="H1459" s="2">
        <v>135045.20000000001</v>
      </c>
      <c r="I1459" t="str">
        <f>"Police SUV 2017"</f>
        <v>Police SUV 2017</v>
      </c>
    </row>
    <row r="1460" spans="1:9" x14ac:dyDescent="0.3">
      <c r="A1460" t="str">
        <f>""</f>
        <v/>
      </c>
      <c r="F1460" t="str">
        <f>""</f>
        <v/>
      </c>
      <c r="G1460" t="str">
        <f>""</f>
        <v/>
      </c>
      <c r="I1460" t="str">
        <f>"Ford F-150"</f>
        <v>Ford F-150</v>
      </c>
    </row>
    <row r="1461" spans="1:9" x14ac:dyDescent="0.3">
      <c r="A1461" t="str">
        <f>""</f>
        <v/>
      </c>
      <c r="F1461" t="str">
        <f>""</f>
        <v/>
      </c>
      <c r="G1461" t="str">
        <f>""</f>
        <v/>
      </c>
      <c r="I1461" t="str">
        <f>"Buboard Fee"</f>
        <v>Buboard Fee</v>
      </c>
    </row>
    <row r="1462" spans="1:9" x14ac:dyDescent="0.3">
      <c r="A1462" t="str">
        <f>"SEI"</f>
        <v>SEI</v>
      </c>
      <c r="B1462" t="s">
        <v>495</v>
      </c>
      <c r="C1462">
        <v>999999</v>
      </c>
      <c r="D1462" s="2">
        <v>120.43</v>
      </c>
      <c r="E1462" s="1">
        <v>43081</v>
      </c>
      <c r="F1462" t="str">
        <f>"69985"</f>
        <v>69985</v>
      </c>
      <c r="G1462" t="str">
        <f>"INV 69985"</f>
        <v>INV 69985</v>
      </c>
      <c r="H1462" s="2">
        <v>120.43</v>
      </c>
      <c r="I1462" t="str">
        <f>"INV 69985"</f>
        <v>INV 69985</v>
      </c>
    </row>
    <row r="1463" spans="1:9" x14ac:dyDescent="0.3">
      <c r="A1463" t="str">
        <f>"SS"</f>
        <v>SS</v>
      </c>
      <c r="B1463" t="s">
        <v>496</v>
      </c>
      <c r="C1463">
        <v>74257</v>
      </c>
      <c r="D1463" s="2">
        <v>704.56</v>
      </c>
      <c r="E1463" s="1">
        <v>43080</v>
      </c>
      <c r="F1463" t="str">
        <f>"360844"</f>
        <v>360844</v>
      </c>
      <c r="G1463" t="str">
        <f>"STATEMENT#26222/GENERAL SVCS"</f>
        <v>STATEMENT#26222/GENERAL SVCS</v>
      </c>
      <c r="H1463" s="2">
        <v>19.8</v>
      </c>
      <c r="I1463" t="str">
        <f>"STATEMENT#26222/GENERAL SVCS"</f>
        <v>STATEMENT#26222/GENERAL SVCS</v>
      </c>
    </row>
    <row r="1464" spans="1:9" x14ac:dyDescent="0.3">
      <c r="A1464" t="str">
        <f>""</f>
        <v/>
      </c>
      <c r="F1464" t="str">
        <f>"361143 362986"</f>
        <v>361143 362986</v>
      </c>
      <c r="G1464" t="str">
        <f>"STATEMENT#25981/PCT#1"</f>
        <v>STATEMENT#25981/PCT#1</v>
      </c>
      <c r="H1464" s="2">
        <v>545.95000000000005</v>
      </c>
      <c r="I1464" t="str">
        <f>"STATEMENT#25981/PCT#1"</f>
        <v>STATEMENT#25981/PCT#1</v>
      </c>
    </row>
    <row r="1465" spans="1:9" x14ac:dyDescent="0.3">
      <c r="A1465" t="str">
        <f>""</f>
        <v/>
      </c>
      <c r="F1465" t="str">
        <f>"STATEMENT#25982"</f>
        <v>STATEMENT#25982</v>
      </c>
      <c r="G1465" t="str">
        <f>"SUPPLIES/PCT#2"</f>
        <v>SUPPLIES/PCT#2</v>
      </c>
      <c r="H1465" s="2">
        <v>138.81</v>
      </c>
      <c r="I1465" t="str">
        <f>"SUPPLIES/PCT#2"</f>
        <v>SUPPLIES/PCT#2</v>
      </c>
    </row>
    <row r="1466" spans="1:9" x14ac:dyDescent="0.3">
      <c r="A1466" t="str">
        <f>"003009"</f>
        <v>003009</v>
      </c>
      <c r="B1466" t="s">
        <v>497</v>
      </c>
      <c r="C1466">
        <v>74258</v>
      </c>
      <c r="D1466" s="2">
        <v>30</v>
      </c>
      <c r="E1466" s="1">
        <v>43080</v>
      </c>
      <c r="F1466" t="str">
        <f>"4731"</f>
        <v>4731</v>
      </c>
      <c r="G1466" t="str">
        <f>"CHAMBER LUNCHEON"</f>
        <v>CHAMBER LUNCHEON</v>
      </c>
      <c r="H1466" s="2">
        <v>30</v>
      </c>
      <c r="I1466" t="str">
        <f>"CHAMBER LUNCHEON"</f>
        <v>CHAMBER LUNCHEON</v>
      </c>
    </row>
    <row r="1467" spans="1:9" x14ac:dyDescent="0.3">
      <c r="A1467" t="str">
        <f>"SAP"</f>
        <v>SAP</v>
      </c>
      <c r="B1467" t="s">
        <v>498</v>
      </c>
      <c r="C1467">
        <v>74460</v>
      </c>
      <c r="D1467" s="2">
        <v>1001.45</v>
      </c>
      <c r="E1467" s="1">
        <v>43096</v>
      </c>
      <c r="F1467" t="str">
        <f>"201712127279"</f>
        <v>201712127279</v>
      </c>
      <c r="G1467" t="str">
        <f>"ACCT#260/PCT#2"</f>
        <v>ACCT#260/PCT#2</v>
      </c>
      <c r="H1467" s="2">
        <v>1001.45</v>
      </c>
      <c r="I1467" t="str">
        <f>"ACCT#260/PCT#2"</f>
        <v>ACCT#260/PCT#2</v>
      </c>
    </row>
    <row r="1468" spans="1:9" x14ac:dyDescent="0.3">
      <c r="A1468" t="str">
        <f>"003951"</f>
        <v>003951</v>
      </c>
      <c r="B1468" t="s">
        <v>499</v>
      </c>
      <c r="C1468">
        <v>74461</v>
      </c>
      <c r="D1468" s="2">
        <v>50</v>
      </c>
      <c r="E1468" s="1">
        <v>43096</v>
      </c>
      <c r="F1468" t="str">
        <f>"5157"</f>
        <v>5157</v>
      </c>
      <c r="G1468" t="str">
        <f>"MEMBERSHIP RENEWAL-ANNUAL DUES"</f>
        <v>MEMBERSHIP RENEWAL-ANNUAL DUES</v>
      </c>
      <c r="H1468" s="2">
        <v>50</v>
      </c>
      <c r="I1468" t="str">
        <f>"MEMBERSHIP RENEWAL-ANNUAL DUES"</f>
        <v>MEMBERSHIP RENEWAL-ANNUAL DUES</v>
      </c>
    </row>
    <row r="1469" spans="1:9" x14ac:dyDescent="0.3">
      <c r="A1469" t="str">
        <f>"002694"</f>
        <v>002694</v>
      </c>
      <c r="B1469" t="s">
        <v>500</v>
      </c>
      <c r="C1469">
        <v>74462</v>
      </c>
      <c r="D1469" s="2">
        <v>2218</v>
      </c>
      <c r="E1469" s="1">
        <v>43096</v>
      </c>
      <c r="F1469" t="str">
        <f>"17192/17197"</f>
        <v>17192/17197</v>
      </c>
      <c r="G1469" t="str">
        <f>"Solarwinds QN978937"</f>
        <v>Solarwinds QN978937</v>
      </c>
      <c r="H1469" s="2">
        <v>2218</v>
      </c>
      <c r="I1469" t="str">
        <f>"SKU# 17192"</f>
        <v>SKU# 17192</v>
      </c>
    </row>
    <row r="1470" spans="1:9" x14ac:dyDescent="0.3">
      <c r="A1470" t="str">
        <f>""</f>
        <v/>
      </c>
      <c r="F1470" t="str">
        <f>""</f>
        <v/>
      </c>
      <c r="G1470" t="str">
        <f>""</f>
        <v/>
      </c>
      <c r="I1470" t="str">
        <f>"SKU# 17197"</f>
        <v>SKU# 17197</v>
      </c>
    </row>
    <row r="1471" spans="1:9" x14ac:dyDescent="0.3">
      <c r="A1471" t="str">
        <f>"STM"</f>
        <v>STM</v>
      </c>
      <c r="B1471" t="s">
        <v>501</v>
      </c>
      <c r="C1471">
        <v>74463</v>
      </c>
      <c r="D1471" s="2">
        <v>750</v>
      </c>
      <c r="E1471" s="1">
        <v>43096</v>
      </c>
      <c r="F1471" t="str">
        <f>"63234422"</f>
        <v>63234422</v>
      </c>
      <c r="G1471" t="str">
        <f>"TIRE SERVICES/PCT#3"</f>
        <v>TIRE SERVICES/PCT#3</v>
      </c>
      <c r="H1471" s="2">
        <v>750</v>
      </c>
      <c r="I1471" t="str">
        <f>"TIRE SERVICES/PCT#3"</f>
        <v>TIRE SERVICES/PCT#3</v>
      </c>
    </row>
    <row r="1472" spans="1:9" x14ac:dyDescent="0.3">
      <c r="A1472" t="str">
        <f>"T11061"</f>
        <v>T11061</v>
      </c>
      <c r="B1472" t="s">
        <v>502</v>
      </c>
      <c r="C1472">
        <v>74259</v>
      </c>
      <c r="D1472" s="2">
        <v>67.2</v>
      </c>
      <c r="E1472" s="1">
        <v>43080</v>
      </c>
      <c r="F1472" t="str">
        <f>"11969495 112417"</f>
        <v>11969495 112417</v>
      </c>
      <c r="G1472" t="str">
        <f>"ACCT#556850411969495/D.A. OFF"</f>
        <v>ACCT#556850411969495/D.A. OFF</v>
      </c>
      <c r="H1472" s="2">
        <v>67.2</v>
      </c>
      <c r="I1472" t="str">
        <f>"ACCT#556850411969495/D.A. OFF"</f>
        <v>ACCT#556850411969495/D.A. OFF</v>
      </c>
    </row>
    <row r="1473" spans="1:9" x14ac:dyDescent="0.3">
      <c r="A1473" t="str">
        <f>"T11061"</f>
        <v>T11061</v>
      </c>
      <c r="B1473" t="s">
        <v>502</v>
      </c>
      <c r="C1473">
        <v>74464</v>
      </c>
      <c r="D1473" s="2">
        <v>39.32</v>
      </c>
      <c r="E1473" s="1">
        <v>43096</v>
      </c>
      <c r="F1473" t="str">
        <f>"9604456 120717"</f>
        <v>9604456 120717</v>
      </c>
      <c r="G1473" t="str">
        <f>"ACCT#46668439604456/JP2"</f>
        <v>ACCT#46668439604456/JP2</v>
      </c>
      <c r="H1473" s="2">
        <v>39.32</v>
      </c>
      <c r="I1473" t="str">
        <f>"ACCT#46668439604456/JP2"</f>
        <v>ACCT#46668439604456/JP2</v>
      </c>
    </row>
    <row r="1474" spans="1:9" x14ac:dyDescent="0.3">
      <c r="A1474" t="str">
        <f>"T2987"</f>
        <v>T2987</v>
      </c>
      <c r="B1474" t="s">
        <v>503</v>
      </c>
      <c r="C1474">
        <v>74260</v>
      </c>
      <c r="D1474" s="2">
        <v>370</v>
      </c>
      <c r="E1474" s="1">
        <v>43080</v>
      </c>
      <c r="F1474" t="str">
        <f>"13355"</f>
        <v>13355</v>
      </c>
      <c r="G1474" t="str">
        <f>"INV 13355 / UNIT 125"</f>
        <v>INV 13355 / UNIT 125</v>
      </c>
      <c r="H1474" s="2">
        <v>370</v>
      </c>
      <c r="I1474" t="str">
        <f>"INV 13355"</f>
        <v>INV 13355</v>
      </c>
    </row>
    <row r="1475" spans="1:9" x14ac:dyDescent="0.3">
      <c r="A1475" t="str">
        <f>"003747"</f>
        <v>003747</v>
      </c>
      <c r="B1475" t="s">
        <v>504</v>
      </c>
      <c r="C1475">
        <v>74465</v>
      </c>
      <c r="D1475" s="2">
        <v>10.62</v>
      </c>
      <c r="E1475" s="1">
        <v>43096</v>
      </c>
      <c r="F1475" t="str">
        <f>"A0698356X"</f>
        <v>A0698356X</v>
      </c>
      <c r="G1475" t="str">
        <f>"ACCT#0698356-3/BASTROP CO OEM"</f>
        <v>ACCT#0698356-3/BASTROP CO OEM</v>
      </c>
      <c r="H1475" s="2">
        <v>10.62</v>
      </c>
      <c r="I1475" t="str">
        <f>"ACCT#0698356-3/BASTROP CO OEM"</f>
        <v>ACCT#0698356-3/BASTROP CO OEM</v>
      </c>
    </row>
    <row r="1476" spans="1:9" x14ac:dyDescent="0.3">
      <c r="A1476" t="str">
        <f>"REDDY"</f>
        <v>REDDY</v>
      </c>
      <c r="B1476" t="s">
        <v>505</v>
      </c>
      <c r="C1476">
        <v>74466</v>
      </c>
      <c r="D1476" s="2">
        <v>309.89999999999998</v>
      </c>
      <c r="E1476" s="1">
        <v>43096</v>
      </c>
      <c r="F1476" t="str">
        <f>"201712207491"</f>
        <v>201712207491</v>
      </c>
      <c r="G1476" t="str">
        <f>"INDIGENT HEALTH"</f>
        <v>INDIGENT HEALTH</v>
      </c>
      <c r="H1476" s="2">
        <v>309.89999999999998</v>
      </c>
      <c r="I1476" t="str">
        <f t="shared" ref="I1476:I1482" si="19">"INDIGENT HEALTH"</f>
        <v>INDIGENT HEALTH</v>
      </c>
    </row>
    <row r="1477" spans="1:9" x14ac:dyDescent="0.3">
      <c r="A1477" t="str">
        <f>"SDHCS"</f>
        <v>SDHCS</v>
      </c>
      <c r="B1477" t="s">
        <v>506</v>
      </c>
      <c r="C1477">
        <v>74261</v>
      </c>
      <c r="D1477" s="2">
        <v>4712.7700000000004</v>
      </c>
      <c r="E1477" s="1">
        <v>43080</v>
      </c>
      <c r="F1477" t="str">
        <f>"201712067227"</f>
        <v>201712067227</v>
      </c>
      <c r="G1477" t="str">
        <f>"INDIGENT HEALTH"</f>
        <v>INDIGENT HEALTH</v>
      </c>
      <c r="H1477" s="2">
        <v>4712.7700000000004</v>
      </c>
      <c r="I1477" t="str">
        <f t="shared" si="19"/>
        <v>INDIGENT HEALTH</v>
      </c>
    </row>
    <row r="1478" spans="1:9" x14ac:dyDescent="0.3">
      <c r="A1478" t="str">
        <f>""</f>
        <v/>
      </c>
      <c r="F1478" t="str">
        <f>""</f>
        <v/>
      </c>
      <c r="G1478" t="str">
        <f>""</f>
        <v/>
      </c>
      <c r="I1478" t="str">
        <f t="shared" si="19"/>
        <v>INDIGENT HEALTH</v>
      </c>
    </row>
    <row r="1479" spans="1:9" x14ac:dyDescent="0.3">
      <c r="A1479" t="str">
        <f>"SDHCS"</f>
        <v>SDHCS</v>
      </c>
      <c r="B1479" t="s">
        <v>506</v>
      </c>
      <c r="C1479">
        <v>74467</v>
      </c>
      <c r="D1479" s="2">
        <v>6192.89</v>
      </c>
      <c r="E1479" s="1">
        <v>43096</v>
      </c>
      <c r="F1479" t="str">
        <f>"201712207493"</f>
        <v>201712207493</v>
      </c>
      <c r="G1479" t="str">
        <f>"INDIGENT HEALTH"</f>
        <v>INDIGENT HEALTH</v>
      </c>
      <c r="H1479" s="2">
        <v>6192.89</v>
      </c>
      <c r="I1479" t="str">
        <f t="shared" si="19"/>
        <v>INDIGENT HEALTH</v>
      </c>
    </row>
    <row r="1480" spans="1:9" x14ac:dyDescent="0.3">
      <c r="A1480" t="str">
        <f>""</f>
        <v/>
      </c>
      <c r="F1480" t="str">
        <f>""</f>
        <v/>
      </c>
      <c r="G1480" t="str">
        <f>""</f>
        <v/>
      </c>
      <c r="I1480" t="str">
        <f t="shared" si="19"/>
        <v>INDIGENT HEALTH</v>
      </c>
    </row>
    <row r="1481" spans="1:9" x14ac:dyDescent="0.3">
      <c r="A1481" t="str">
        <f>"004527"</f>
        <v>004527</v>
      </c>
      <c r="B1481" t="s">
        <v>507</v>
      </c>
      <c r="C1481">
        <v>74262</v>
      </c>
      <c r="D1481" s="2">
        <v>359.41</v>
      </c>
      <c r="E1481" s="1">
        <v>43080</v>
      </c>
      <c r="F1481" t="str">
        <f>"201712067226"</f>
        <v>201712067226</v>
      </c>
      <c r="G1481" t="str">
        <f>"INDIGENT HEALTH"</f>
        <v>INDIGENT HEALTH</v>
      </c>
      <c r="H1481" s="2">
        <v>359.41</v>
      </c>
      <c r="I1481" t="str">
        <f t="shared" si="19"/>
        <v>INDIGENT HEALTH</v>
      </c>
    </row>
    <row r="1482" spans="1:9" x14ac:dyDescent="0.3">
      <c r="A1482" t="str">
        <f>"004527"</f>
        <v>004527</v>
      </c>
      <c r="B1482" t="s">
        <v>507</v>
      </c>
      <c r="C1482">
        <v>74468</v>
      </c>
      <c r="D1482" s="2">
        <v>46.73</v>
      </c>
      <c r="E1482" s="1">
        <v>43096</v>
      </c>
      <c r="F1482" t="str">
        <f>"201712207492"</f>
        <v>201712207492</v>
      </c>
      <c r="G1482" t="str">
        <f>"INDIGENT HEALTH"</f>
        <v>INDIGENT HEALTH</v>
      </c>
      <c r="H1482" s="2">
        <v>46.73</v>
      </c>
      <c r="I1482" t="str">
        <f t="shared" si="19"/>
        <v>INDIGENT HEALTH</v>
      </c>
    </row>
    <row r="1483" spans="1:9" x14ac:dyDescent="0.3">
      <c r="A1483" t="str">
        <f>"003508"</f>
        <v>003508</v>
      </c>
      <c r="B1483" t="s">
        <v>508</v>
      </c>
      <c r="C1483">
        <v>74263</v>
      </c>
      <c r="D1483" s="2">
        <v>1687.49</v>
      </c>
      <c r="E1483" s="1">
        <v>43080</v>
      </c>
      <c r="F1483" t="str">
        <f>"8047419884"</f>
        <v>8047419884</v>
      </c>
      <c r="G1483" t="str">
        <f>"Sum. Inv# 8047419884"</f>
        <v>Sum. Inv# 8047419884</v>
      </c>
      <c r="H1483" s="2">
        <v>1687.49</v>
      </c>
      <c r="I1483" t="str">
        <f>"Inv# 3359487658"</f>
        <v>Inv# 3359487658</v>
      </c>
    </row>
    <row r="1484" spans="1:9" x14ac:dyDescent="0.3">
      <c r="A1484" t="str">
        <f>""</f>
        <v/>
      </c>
      <c r="F1484" t="str">
        <f>""</f>
        <v/>
      </c>
      <c r="G1484" t="str">
        <f>""</f>
        <v/>
      </c>
      <c r="I1484" t="str">
        <f>"Inv# 3359487652"</f>
        <v>Inv# 3359487652</v>
      </c>
    </row>
    <row r="1485" spans="1:9" x14ac:dyDescent="0.3">
      <c r="A1485" t="str">
        <f>""</f>
        <v/>
      </c>
      <c r="F1485" t="str">
        <f>""</f>
        <v/>
      </c>
      <c r="G1485" t="str">
        <f>""</f>
        <v/>
      </c>
      <c r="I1485" t="str">
        <f>"Inv# 3359487654"</f>
        <v>Inv# 3359487654</v>
      </c>
    </row>
    <row r="1486" spans="1:9" x14ac:dyDescent="0.3">
      <c r="A1486" t="str">
        <f>""</f>
        <v/>
      </c>
      <c r="F1486" t="str">
        <f>""</f>
        <v/>
      </c>
      <c r="G1486" t="str">
        <f>""</f>
        <v/>
      </c>
      <c r="I1486" t="str">
        <f>"Inv# 3359487655"</f>
        <v>Inv# 3359487655</v>
      </c>
    </row>
    <row r="1487" spans="1:9" x14ac:dyDescent="0.3">
      <c r="A1487" t="str">
        <f>""</f>
        <v/>
      </c>
      <c r="F1487" t="str">
        <f>""</f>
        <v/>
      </c>
      <c r="G1487" t="str">
        <f>""</f>
        <v/>
      </c>
      <c r="I1487" t="str">
        <f>"Inv# 3359487656"</f>
        <v>Inv# 3359487656</v>
      </c>
    </row>
    <row r="1488" spans="1:9" x14ac:dyDescent="0.3">
      <c r="A1488" t="str">
        <f>""</f>
        <v/>
      </c>
      <c r="F1488" t="str">
        <f>""</f>
        <v/>
      </c>
      <c r="G1488" t="str">
        <f>""</f>
        <v/>
      </c>
      <c r="I1488" t="str">
        <f>"Inv# 3359487659"</f>
        <v>Inv# 3359487659</v>
      </c>
    </row>
    <row r="1489" spans="1:9" x14ac:dyDescent="0.3">
      <c r="A1489" t="str">
        <f>""</f>
        <v/>
      </c>
      <c r="F1489" t="str">
        <f>""</f>
        <v/>
      </c>
      <c r="G1489" t="str">
        <f>""</f>
        <v/>
      </c>
      <c r="I1489" t="str">
        <f>"Inv# 3359487646"</f>
        <v>Inv# 3359487646</v>
      </c>
    </row>
    <row r="1490" spans="1:9" x14ac:dyDescent="0.3">
      <c r="A1490" t="str">
        <f>""</f>
        <v/>
      </c>
      <c r="F1490" t="str">
        <f>""</f>
        <v/>
      </c>
      <c r="G1490" t="str">
        <f>""</f>
        <v/>
      </c>
      <c r="I1490" t="str">
        <f>"Inv# 3359487649"</f>
        <v>Inv# 3359487649</v>
      </c>
    </row>
    <row r="1491" spans="1:9" x14ac:dyDescent="0.3">
      <c r="A1491" t="str">
        <f>""</f>
        <v/>
      </c>
      <c r="F1491" t="str">
        <f>""</f>
        <v/>
      </c>
      <c r="G1491" t="str">
        <f>""</f>
        <v/>
      </c>
      <c r="I1491" t="str">
        <f>"Inv# 3359487651"</f>
        <v>Inv# 3359487651</v>
      </c>
    </row>
    <row r="1492" spans="1:9" x14ac:dyDescent="0.3">
      <c r="A1492" t="str">
        <f>"003508"</f>
        <v>003508</v>
      </c>
      <c r="B1492" t="s">
        <v>508</v>
      </c>
      <c r="C1492">
        <v>74469</v>
      </c>
      <c r="D1492" s="2">
        <v>1700.22</v>
      </c>
      <c r="E1492" s="1">
        <v>43096</v>
      </c>
      <c r="F1492" t="str">
        <f>"8047640999"</f>
        <v>8047640999</v>
      </c>
      <c r="G1492" t="str">
        <f>"SUM. INV# 8047640999"</f>
        <v>SUM. INV# 8047640999</v>
      </c>
      <c r="H1492" s="2">
        <v>1700.22</v>
      </c>
      <c r="I1492" t="str">
        <f>"INV# 3361267444"</f>
        <v>INV# 3361267444</v>
      </c>
    </row>
    <row r="1493" spans="1:9" x14ac:dyDescent="0.3">
      <c r="A1493" t="str">
        <f>""</f>
        <v/>
      </c>
      <c r="F1493" t="str">
        <f>""</f>
        <v/>
      </c>
      <c r="G1493" t="str">
        <f>""</f>
        <v/>
      </c>
      <c r="I1493" t="str">
        <f>"INV# 3361267445"</f>
        <v>INV# 3361267445</v>
      </c>
    </row>
    <row r="1494" spans="1:9" x14ac:dyDescent="0.3">
      <c r="A1494" t="str">
        <f>""</f>
        <v/>
      </c>
      <c r="F1494" t="str">
        <f>""</f>
        <v/>
      </c>
      <c r="G1494" t="str">
        <f>""</f>
        <v/>
      </c>
      <c r="I1494" t="str">
        <f>"INV# 3361267446"</f>
        <v>INV# 3361267446</v>
      </c>
    </row>
    <row r="1495" spans="1:9" x14ac:dyDescent="0.3">
      <c r="A1495" t="str">
        <f>""</f>
        <v/>
      </c>
      <c r="F1495" t="str">
        <f>""</f>
        <v/>
      </c>
      <c r="G1495" t="str">
        <f>""</f>
        <v/>
      </c>
      <c r="I1495" t="str">
        <f>"INV# 3361267448"</f>
        <v>INV# 3361267448</v>
      </c>
    </row>
    <row r="1496" spans="1:9" x14ac:dyDescent="0.3">
      <c r="A1496" t="str">
        <f>""</f>
        <v/>
      </c>
      <c r="F1496" t="str">
        <f>""</f>
        <v/>
      </c>
      <c r="G1496" t="str">
        <f>""</f>
        <v/>
      </c>
      <c r="I1496" t="str">
        <f>"INV# 3361267454"</f>
        <v>INV# 3361267454</v>
      </c>
    </row>
    <row r="1497" spans="1:9" x14ac:dyDescent="0.3">
      <c r="A1497" t="str">
        <f>""</f>
        <v/>
      </c>
      <c r="F1497" t="str">
        <f>""</f>
        <v/>
      </c>
      <c r="G1497" t="str">
        <f>""</f>
        <v/>
      </c>
      <c r="I1497" t="str">
        <f>"INV# 3361267451"</f>
        <v>INV# 3361267451</v>
      </c>
    </row>
    <row r="1498" spans="1:9" x14ac:dyDescent="0.3">
      <c r="A1498" t="str">
        <f>""</f>
        <v/>
      </c>
      <c r="F1498" t="str">
        <f>""</f>
        <v/>
      </c>
      <c r="G1498" t="str">
        <f>""</f>
        <v/>
      </c>
      <c r="I1498" t="str">
        <f>"INV# 3361267453"</f>
        <v>INV# 3361267453</v>
      </c>
    </row>
    <row r="1499" spans="1:9" x14ac:dyDescent="0.3">
      <c r="A1499" t="str">
        <f>""</f>
        <v/>
      </c>
      <c r="F1499" t="str">
        <f>""</f>
        <v/>
      </c>
      <c r="G1499" t="str">
        <f>""</f>
        <v/>
      </c>
      <c r="I1499" t="str">
        <f>"INV# 3361267447"</f>
        <v>INV# 3361267447</v>
      </c>
    </row>
    <row r="1500" spans="1:9" x14ac:dyDescent="0.3">
      <c r="A1500" t="str">
        <f>""</f>
        <v/>
      </c>
      <c r="F1500" t="str">
        <f>""</f>
        <v/>
      </c>
      <c r="G1500" t="str">
        <f>""</f>
        <v/>
      </c>
      <c r="I1500" t="str">
        <f>"INV# 3361267449"</f>
        <v>INV# 3361267449</v>
      </c>
    </row>
    <row r="1501" spans="1:9" x14ac:dyDescent="0.3">
      <c r="A1501" t="str">
        <f>""</f>
        <v/>
      </c>
      <c r="F1501" t="str">
        <f>""</f>
        <v/>
      </c>
      <c r="G1501" t="str">
        <f>""</f>
        <v/>
      </c>
      <c r="I1501" t="str">
        <f>"INV# 3361267455"</f>
        <v>INV# 3361267455</v>
      </c>
    </row>
    <row r="1502" spans="1:9" x14ac:dyDescent="0.3">
      <c r="A1502" t="str">
        <f>""</f>
        <v/>
      </c>
      <c r="F1502" t="str">
        <f>""</f>
        <v/>
      </c>
      <c r="G1502" t="str">
        <f>""</f>
        <v/>
      </c>
      <c r="I1502" t="str">
        <f>"INV# 3361267432"</f>
        <v>INV# 3361267432</v>
      </c>
    </row>
    <row r="1503" spans="1:9" x14ac:dyDescent="0.3">
      <c r="A1503" t="str">
        <f>""</f>
        <v/>
      </c>
      <c r="F1503" t="str">
        <f>""</f>
        <v/>
      </c>
      <c r="G1503" t="str">
        <f>""</f>
        <v/>
      </c>
      <c r="I1503" t="str">
        <f>"INV# 3361267433"</f>
        <v>INV# 3361267433</v>
      </c>
    </row>
    <row r="1504" spans="1:9" x14ac:dyDescent="0.3">
      <c r="A1504" t="str">
        <f>""</f>
        <v/>
      </c>
      <c r="F1504" t="str">
        <f>""</f>
        <v/>
      </c>
      <c r="G1504" t="str">
        <f>""</f>
        <v/>
      </c>
      <c r="I1504" t="str">
        <f>"INV# 3361267436"</f>
        <v>INV# 3361267436</v>
      </c>
    </row>
    <row r="1505" spans="1:9" x14ac:dyDescent="0.3">
      <c r="A1505" t="str">
        <f>""</f>
        <v/>
      </c>
      <c r="F1505" t="str">
        <f>""</f>
        <v/>
      </c>
      <c r="G1505" t="str">
        <f>""</f>
        <v/>
      </c>
      <c r="I1505" t="str">
        <f>"INV# 3361267437"</f>
        <v>INV# 3361267437</v>
      </c>
    </row>
    <row r="1506" spans="1:9" x14ac:dyDescent="0.3">
      <c r="A1506" t="str">
        <f>""</f>
        <v/>
      </c>
      <c r="F1506" t="str">
        <f>""</f>
        <v/>
      </c>
      <c r="G1506" t="str">
        <f>""</f>
        <v/>
      </c>
      <c r="I1506" t="str">
        <f>"INV# 3361267439"</f>
        <v>INV# 3361267439</v>
      </c>
    </row>
    <row r="1507" spans="1:9" x14ac:dyDescent="0.3">
      <c r="A1507" t="str">
        <f>"T459"</f>
        <v>T459</v>
      </c>
      <c r="B1507" t="s">
        <v>509</v>
      </c>
      <c r="C1507">
        <v>74264</v>
      </c>
      <c r="D1507" s="2">
        <v>601.57000000000005</v>
      </c>
      <c r="E1507" s="1">
        <v>43080</v>
      </c>
      <c r="F1507" t="str">
        <f>"201712057097"</f>
        <v>201712057097</v>
      </c>
      <c r="G1507" t="str">
        <f>"NOVEMBER 2017"</f>
        <v>NOVEMBER 2017</v>
      </c>
      <c r="H1507" s="2">
        <v>601.57000000000005</v>
      </c>
      <c r="I1507" t="str">
        <f>"NOVEMBER 2017"</f>
        <v>NOVEMBER 2017</v>
      </c>
    </row>
    <row r="1508" spans="1:9" x14ac:dyDescent="0.3">
      <c r="A1508" t="str">
        <f>"004808"</f>
        <v>004808</v>
      </c>
      <c r="B1508" t="s">
        <v>510</v>
      </c>
      <c r="C1508">
        <v>74265</v>
      </c>
      <c r="D1508" s="2">
        <v>125</v>
      </c>
      <c r="E1508" s="1">
        <v>43080</v>
      </c>
      <c r="F1508" t="str">
        <f>"201712047023"</f>
        <v>201712047023</v>
      </c>
      <c r="G1508" t="str">
        <f>"FERAL HOGS"</f>
        <v>FERAL HOGS</v>
      </c>
      <c r="H1508" s="2">
        <v>45</v>
      </c>
      <c r="I1508" t="str">
        <f>"FERAL HOGS"</f>
        <v>FERAL HOGS</v>
      </c>
    </row>
    <row r="1509" spans="1:9" x14ac:dyDescent="0.3">
      <c r="A1509" t="str">
        <f>""</f>
        <v/>
      </c>
      <c r="F1509" t="str">
        <f>"201712047024"</f>
        <v>201712047024</v>
      </c>
      <c r="G1509" t="str">
        <f>"FERAL HOGS"</f>
        <v>FERAL HOGS</v>
      </c>
      <c r="H1509" s="2">
        <v>80</v>
      </c>
      <c r="I1509" t="str">
        <f>"FERAL HOGS"</f>
        <v>FERAL HOGS</v>
      </c>
    </row>
    <row r="1510" spans="1:9" x14ac:dyDescent="0.3">
      <c r="A1510" t="str">
        <f>"T8648"</f>
        <v>T8648</v>
      </c>
      <c r="B1510" t="s">
        <v>511</v>
      </c>
      <c r="C1510">
        <v>74266</v>
      </c>
      <c r="D1510" s="2">
        <v>1447.22</v>
      </c>
      <c r="E1510" s="1">
        <v>43080</v>
      </c>
      <c r="F1510" t="str">
        <f>"4007481785"</f>
        <v>4007481785</v>
      </c>
      <c r="G1510" t="str">
        <f>"INV 4007481785"</f>
        <v>INV 4007481785</v>
      </c>
      <c r="H1510" s="2">
        <v>1447.22</v>
      </c>
      <c r="I1510" t="str">
        <f>"INV 4007481785"</f>
        <v>INV 4007481785</v>
      </c>
    </row>
    <row r="1511" spans="1:9" x14ac:dyDescent="0.3">
      <c r="A1511" t="str">
        <f>"002260"</f>
        <v>002260</v>
      </c>
      <c r="B1511" t="s">
        <v>512</v>
      </c>
      <c r="C1511">
        <v>73998</v>
      </c>
      <c r="D1511" s="2">
        <v>299</v>
      </c>
      <c r="E1511" s="1">
        <v>43070</v>
      </c>
      <c r="F1511" t="str">
        <f>"201712016879"</f>
        <v>201712016879</v>
      </c>
      <c r="G1511" t="str">
        <f>"TRASH REMOVAL/P4/111317-112117"</f>
        <v>TRASH REMOVAL/P4/111317-112117</v>
      </c>
      <c r="H1511" s="2">
        <v>299</v>
      </c>
      <c r="I1511" t="str">
        <f>"TRASH REMOVAL/P4/111317-112117"</f>
        <v>TRASH REMOVAL/P4/111317-112117</v>
      </c>
    </row>
    <row r="1512" spans="1:9" x14ac:dyDescent="0.3">
      <c r="A1512" t="str">
        <f>"002260"</f>
        <v>002260</v>
      </c>
      <c r="B1512" t="s">
        <v>512</v>
      </c>
      <c r="C1512">
        <v>74267</v>
      </c>
      <c r="D1512" s="2">
        <v>435.5</v>
      </c>
      <c r="E1512" s="1">
        <v>43080</v>
      </c>
      <c r="F1512" t="str">
        <f>"201712047003"</f>
        <v>201712047003</v>
      </c>
      <c r="G1512" t="str">
        <f>"TRASH REMOVAL/11/27-11/30/PCT4"</f>
        <v>TRASH REMOVAL/11/27-11/30/PCT4</v>
      </c>
      <c r="H1512" s="2">
        <v>221</v>
      </c>
      <c r="I1512" t="str">
        <f>"TRASH REMOVAL/11/27-11/30/PCT4"</f>
        <v>TRASH REMOVAL/11/27-11/30/PCT4</v>
      </c>
    </row>
    <row r="1513" spans="1:9" x14ac:dyDescent="0.3">
      <c r="A1513" t="str">
        <f>""</f>
        <v/>
      </c>
      <c r="F1513" t="str">
        <f>"201712047004"</f>
        <v>201712047004</v>
      </c>
      <c r="G1513" t="str">
        <f>"TRASH REMOVAL/12/4-12/8/PCT#4"</f>
        <v>TRASH REMOVAL/12/4-12/8/PCT#4</v>
      </c>
      <c r="H1513" s="2">
        <v>214.5</v>
      </c>
      <c r="I1513" t="str">
        <f>"TRASH REMOVAL/12/4-12/8/PCT#4"</f>
        <v>TRASH REMOVAL/12/4-12/8/PCT#4</v>
      </c>
    </row>
    <row r="1514" spans="1:9" x14ac:dyDescent="0.3">
      <c r="A1514" t="str">
        <f>"002260"</f>
        <v>002260</v>
      </c>
      <c r="B1514" t="s">
        <v>512</v>
      </c>
      <c r="C1514">
        <v>74470</v>
      </c>
      <c r="D1514" s="2">
        <v>409.5</v>
      </c>
      <c r="E1514" s="1">
        <v>43096</v>
      </c>
      <c r="F1514" t="str">
        <f>"201712197366"</f>
        <v>201712197366</v>
      </c>
      <c r="G1514" t="str">
        <f>"TRASH REMOVAL 12/11-12/22/PCT4"</f>
        <v>TRASH REMOVAL 12/11-12/22/PCT4</v>
      </c>
      <c r="H1514" s="2">
        <v>409.5</v>
      </c>
      <c r="I1514" t="str">
        <f>"TRASH REMOVAL 12/11-12/22/PCT4"</f>
        <v>TRASH REMOVAL 12/11-12/22/PCT4</v>
      </c>
    </row>
    <row r="1515" spans="1:9" x14ac:dyDescent="0.3">
      <c r="A1515" t="str">
        <f>"004775"</f>
        <v>004775</v>
      </c>
      <c r="B1515" t="s">
        <v>513</v>
      </c>
      <c r="C1515">
        <v>999999</v>
      </c>
      <c r="D1515" s="2">
        <v>23930</v>
      </c>
      <c r="E1515" s="1">
        <v>43081</v>
      </c>
      <c r="F1515" t="str">
        <f>"112"</f>
        <v>112</v>
      </c>
      <c r="G1515" t="str">
        <f>"SHREDDING/MOWING/PCT#2"</f>
        <v>SHREDDING/MOWING/PCT#2</v>
      </c>
      <c r="H1515" s="2">
        <v>12160</v>
      </c>
      <c r="I1515" t="str">
        <f>"SHREDDING/MOWING/PCT#2"</f>
        <v>SHREDDING/MOWING/PCT#2</v>
      </c>
    </row>
    <row r="1516" spans="1:9" x14ac:dyDescent="0.3">
      <c r="A1516" t="str">
        <f>""</f>
        <v/>
      </c>
      <c r="F1516" t="str">
        <f>"114"</f>
        <v>114</v>
      </c>
      <c r="G1516" t="str">
        <f>"SHREDDING/MOWING/PCT#2"</f>
        <v>SHREDDING/MOWING/PCT#2</v>
      </c>
      <c r="H1516" s="2">
        <v>11770</v>
      </c>
      <c r="I1516" t="str">
        <f>"SHREDDING/MOWING/PCT#2"</f>
        <v>SHREDDING/MOWING/PCT#2</v>
      </c>
    </row>
    <row r="1517" spans="1:9" x14ac:dyDescent="0.3">
      <c r="A1517" t="str">
        <f>"004775"</f>
        <v>004775</v>
      </c>
      <c r="B1517" t="s">
        <v>513</v>
      </c>
      <c r="C1517">
        <v>999999</v>
      </c>
      <c r="D1517" s="2">
        <v>8199</v>
      </c>
      <c r="E1517" s="1">
        <v>43097</v>
      </c>
      <c r="F1517" t="str">
        <f>"117"</f>
        <v>117</v>
      </c>
      <c r="G1517" t="str">
        <f>"SHREDDING/MOWING/TRASH/PCT2"</f>
        <v>SHREDDING/MOWING/TRASH/PCT2</v>
      </c>
      <c r="H1517" s="2">
        <v>8199</v>
      </c>
      <c r="I1517" t="str">
        <f>"SHREDDING/MOWING/TRASH/PCT2"</f>
        <v>SHREDDING/MOWING/TRASH/PCT2</v>
      </c>
    </row>
    <row r="1518" spans="1:9" x14ac:dyDescent="0.3">
      <c r="A1518" t="str">
        <f>"005337"</f>
        <v>005337</v>
      </c>
      <c r="B1518" t="s">
        <v>514</v>
      </c>
      <c r="C1518">
        <v>74268</v>
      </c>
      <c r="D1518" s="2">
        <v>925</v>
      </c>
      <c r="E1518" s="1">
        <v>43080</v>
      </c>
      <c r="F1518" t="str">
        <f>"201712047012"</f>
        <v>201712047012</v>
      </c>
      <c r="G1518" t="str">
        <f>"FERAL HOGS"</f>
        <v>FERAL HOGS</v>
      </c>
      <c r="H1518" s="2">
        <v>925</v>
      </c>
    </row>
    <row r="1519" spans="1:9" x14ac:dyDescent="0.3">
      <c r="A1519" t="str">
        <f>"005337"</f>
        <v>005337</v>
      </c>
      <c r="B1519" t="s">
        <v>514</v>
      </c>
      <c r="C1519">
        <v>74268</v>
      </c>
      <c r="D1519" s="2">
        <v>925</v>
      </c>
      <c r="E1519" s="1">
        <v>43080</v>
      </c>
      <c r="F1519" t="str">
        <f>"CHECK"</f>
        <v>CHECK</v>
      </c>
      <c r="G1519" t="str">
        <f>""</f>
        <v/>
      </c>
      <c r="H1519" s="2">
        <v>925</v>
      </c>
    </row>
    <row r="1520" spans="1:9" x14ac:dyDescent="0.3">
      <c r="A1520" t="str">
        <f>"005337"</f>
        <v>005337</v>
      </c>
      <c r="B1520" t="s">
        <v>514</v>
      </c>
      <c r="C1520">
        <v>74330</v>
      </c>
      <c r="D1520" s="2">
        <v>185</v>
      </c>
      <c r="E1520" s="1">
        <v>43090</v>
      </c>
      <c r="F1520" t="str">
        <f>"201712217502"</f>
        <v>201712217502</v>
      </c>
      <c r="G1520" t="str">
        <f>"FERAL HOGS"</f>
        <v>FERAL HOGS</v>
      </c>
      <c r="H1520" s="2">
        <v>185</v>
      </c>
      <c r="I1520" t="str">
        <f>"FERAL HOGS"</f>
        <v>FERAL HOGS</v>
      </c>
    </row>
    <row r="1521" spans="1:10" x14ac:dyDescent="0.3">
      <c r="A1521" t="str">
        <f>"T11583"</f>
        <v>T11583</v>
      </c>
      <c r="B1521" t="s">
        <v>515</v>
      </c>
      <c r="C1521">
        <v>74471</v>
      </c>
      <c r="D1521" s="2">
        <v>110</v>
      </c>
      <c r="E1521" s="1">
        <v>43096</v>
      </c>
      <c r="F1521" t="str">
        <f>"201712207446"</f>
        <v>201712207446</v>
      </c>
      <c r="G1521" t="str">
        <f>"MEMBERSHIP FEES-A KUCK"</f>
        <v>MEMBERSHIP FEES-A KUCK</v>
      </c>
      <c r="H1521" s="2">
        <v>110</v>
      </c>
      <c r="I1521" t="str">
        <f>"MEMBERSHIP FEES-A KUCK"</f>
        <v>MEMBERSHIP FEES-A KUCK</v>
      </c>
    </row>
    <row r="1522" spans="1:10" x14ac:dyDescent="0.3">
      <c r="A1522" t="str">
        <f>"002224"</f>
        <v>002224</v>
      </c>
      <c r="B1522" t="s">
        <v>516</v>
      </c>
      <c r="C1522">
        <v>74472</v>
      </c>
      <c r="D1522" s="2">
        <v>489</v>
      </c>
      <c r="E1522" s="1">
        <v>43096</v>
      </c>
      <c r="F1522" t="str">
        <f>"201712207443"</f>
        <v>201712207443</v>
      </c>
      <c r="G1522" t="str">
        <f>"SANE EXAM"</f>
        <v>SANE EXAM</v>
      </c>
      <c r="H1522" s="2">
        <v>489</v>
      </c>
      <c r="I1522" t="str">
        <f>"SANE EXAM"</f>
        <v>SANE EXAM</v>
      </c>
    </row>
    <row r="1523" spans="1:10" x14ac:dyDescent="0.3">
      <c r="A1523" t="str">
        <f>"004249"</f>
        <v>004249</v>
      </c>
      <c r="B1523" t="s">
        <v>517</v>
      </c>
      <c r="C1523">
        <v>74269</v>
      </c>
      <c r="D1523" s="2">
        <v>150</v>
      </c>
      <c r="E1523" s="1">
        <v>43080</v>
      </c>
      <c r="F1523" t="s">
        <v>56</v>
      </c>
      <c r="G1523" t="s">
        <v>57</v>
      </c>
      <c r="H1523" s="2" t="str">
        <f>"SERVICE"</f>
        <v>SERVICE</v>
      </c>
      <c r="I1523" t="str">
        <f>"995-4110"</f>
        <v>995-4110</v>
      </c>
      <c r="J1523">
        <v>150</v>
      </c>
    </row>
    <row r="1524" spans="1:10" x14ac:dyDescent="0.3">
      <c r="A1524" t="str">
        <f>"004087"</f>
        <v>004087</v>
      </c>
      <c r="B1524" t="s">
        <v>518</v>
      </c>
      <c r="C1524">
        <v>999999</v>
      </c>
      <c r="D1524" s="2">
        <v>52.48</v>
      </c>
      <c r="E1524" s="1">
        <v>43081</v>
      </c>
      <c r="F1524" t="str">
        <f>"17120104"</f>
        <v>17120104</v>
      </c>
      <c r="G1524" t="str">
        <f>"SVC CONTRACT-COUNTY CLERK"</f>
        <v>SVC CONTRACT-COUNTY CLERK</v>
      </c>
      <c r="H1524" s="2">
        <v>52.48</v>
      </c>
      <c r="I1524" t="str">
        <f>"SVC CONTRACT-COUNTY CLERK"</f>
        <v>SVC CONTRACT-COUNTY CLERK</v>
      </c>
    </row>
    <row r="1525" spans="1:10" x14ac:dyDescent="0.3">
      <c r="A1525" t="str">
        <f>"TIMW"</f>
        <v>TIMW</v>
      </c>
      <c r="B1525" t="s">
        <v>519</v>
      </c>
      <c r="C1525">
        <v>999999</v>
      </c>
      <c r="D1525" s="2">
        <v>314.39999999999998</v>
      </c>
      <c r="E1525" s="1">
        <v>43081</v>
      </c>
      <c r="F1525" t="str">
        <f>"011357"</f>
        <v>011357</v>
      </c>
      <c r="G1525" t="str">
        <f>"SALES ORD#11350/PCT#4"</f>
        <v>SALES ORD#11350/PCT#4</v>
      </c>
      <c r="H1525" s="2">
        <v>101.6</v>
      </c>
      <c r="I1525" t="str">
        <f>"SALES ORD#11350/PCT#4"</f>
        <v>SALES ORD#11350/PCT#4</v>
      </c>
    </row>
    <row r="1526" spans="1:10" x14ac:dyDescent="0.3">
      <c r="A1526" t="str">
        <f>""</f>
        <v/>
      </c>
      <c r="F1526" t="str">
        <f>"11325"</f>
        <v>11325</v>
      </c>
      <c r="G1526" t="str">
        <f>"SALES ORD#11328/PCT#4"</f>
        <v>SALES ORD#11328/PCT#4</v>
      </c>
      <c r="H1526" s="2">
        <v>212.8</v>
      </c>
      <c r="I1526" t="str">
        <f>"SALES ORD#11328/PCT#4"</f>
        <v>SALES ORD#11328/PCT#4</v>
      </c>
    </row>
    <row r="1527" spans="1:10" x14ac:dyDescent="0.3">
      <c r="A1527" t="str">
        <f>"T11929"</f>
        <v>T11929</v>
      </c>
      <c r="B1527" t="s">
        <v>520</v>
      </c>
      <c r="C1527">
        <v>74270</v>
      </c>
      <c r="D1527" s="2">
        <v>298.88</v>
      </c>
      <c r="E1527" s="1">
        <v>43080</v>
      </c>
      <c r="F1527" t="str">
        <f>"74941"</f>
        <v>74941</v>
      </c>
      <c r="G1527" t="str">
        <f>"ACCT#0103-0903F/SERVICE CALL"</f>
        <v>ACCT#0103-0903F/SERVICE CALL</v>
      </c>
      <c r="H1527" s="2">
        <v>298.88</v>
      </c>
      <c r="I1527" t="str">
        <f>"ACCT#0103-0903F/SERVICE CALL"</f>
        <v>ACCT#0103-0903F/SERVICE CALL</v>
      </c>
    </row>
    <row r="1528" spans="1:10" x14ac:dyDescent="0.3">
      <c r="A1528" t="str">
        <f>"T6052"</f>
        <v>T6052</v>
      </c>
      <c r="B1528" t="s">
        <v>521</v>
      </c>
      <c r="C1528">
        <v>74473</v>
      </c>
      <c r="D1528" s="2">
        <v>1000</v>
      </c>
      <c r="E1528" s="1">
        <v>43096</v>
      </c>
      <c r="F1528" t="str">
        <f>"201712197439"</f>
        <v>201712197439</v>
      </c>
      <c r="G1528" t="str">
        <f>"TRAINING/OSSF LICENSE"</f>
        <v>TRAINING/OSSF LICENSE</v>
      </c>
      <c r="H1528" s="2">
        <v>1000</v>
      </c>
      <c r="I1528" t="str">
        <f>"TRAINING/OSSF LICENSE"</f>
        <v>TRAINING/OSSF LICENSE</v>
      </c>
    </row>
    <row r="1529" spans="1:10" x14ac:dyDescent="0.3">
      <c r="A1529" t="str">
        <f>"T8745"</f>
        <v>T8745</v>
      </c>
      <c r="B1529" t="s">
        <v>522</v>
      </c>
      <c r="C1529">
        <v>999999</v>
      </c>
      <c r="D1529" s="2">
        <v>201</v>
      </c>
      <c r="E1529" s="1">
        <v>43097</v>
      </c>
      <c r="F1529" t="str">
        <f>"1801056"</f>
        <v>1801056</v>
      </c>
      <c r="G1529" t="str">
        <f>"MONTHLY CONTRACT BILLING/CO CT"</f>
        <v>MONTHLY CONTRACT BILLING/CO CT</v>
      </c>
      <c r="H1529" s="2">
        <v>201</v>
      </c>
      <c r="I1529" t="str">
        <f>"MONTHLY CONTRACT BILLING/CO CT"</f>
        <v>MONTHLY CONTRACT BILLING/CO CT</v>
      </c>
    </row>
    <row r="1530" spans="1:10" x14ac:dyDescent="0.3">
      <c r="A1530" t="str">
        <f>"003281"</f>
        <v>003281</v>
      </c>
      <c r="B1530" t="s">
        <v>523</v>
      </c>
      <c r="C1530">
        <v>74474</v>
      </c>
      <c r="D1530" s="2">
        <v>242.7</v>
      </c>
      <c r="E1530" s="1">
        <v>43096</v>
      </c>
      <c r="F1530" t="str">
        <f>"201712127272"</f>
        <v>201712127272</v>
      </c>
      <c r="G1530" t="str">
        <f>"423-5235"</f>
        <v>423-5235</v>
      </c>
      <c r="H1530" s="2">
        <v>242.7</v>
      </c>
      <c r="I1530" t="str">
        <f>"423-5235"</f>
        <v>423-5235</v>
      </c>
    </row>
    <row r="1531" spans="1:10" x14ac:dyDescent="0.3">
      <c r="A1531" t="str">
        <f>"002996"</f>
        <v>002996</v>
      </c>
      <c r="B1531" t="s">
        <v>524</v>
      </c>
      <c r="C1531">
        <v>74271</v>
      </c>
      <c r="D1531" s="2">
        <v>48000</v>
      </c>
      <c r="E1531" s="1">
        <v>43080</v>
      </c>
      <c r="F1531" t="str">
        <f>"1162"</f>
        <v>1162</v>
      </c>
      <c r="G1531" t="str">
        <f>"PCT#1"</f>
        <v>PCT#1</v>
      </c>
      <c r="H1531" s="2">
        <v>1200</v>
      </c>
      <c r="I1531" t="str">
        <f>"PCT#1"</f>
        <v>PCT#1</v>
      </c>
    </row>
    <row r="1532" spans="1:10" x14ac:dyDescent="0.3">
      <c r="A1532" t="str">
        <f>""</f>
        <v/>
      </c>
      <c r="F1532" t="str">
        <f>"1164"</f>
        <v>1164</v>
      </c>
      <c r="G1532" t="str">
        <f>"PCT#1"</f>
        <v>PCT#1</v>
      </c>
      <c r="H1532" s="2">
        <v>46800</v>
      </c>
      <c r="I1532" t="str">
        <f>"PCT#1"</f>
        <v>PCT#1</v>
      </c>
    </row>
    <row r="1533" spans="1:10" x14ac:dyDescent="0.3">
      <c r="A1533" t="str">
        <f>"002996"</f>
        <v>002996</v>
      </c>
      <c r="B1533" t="s">
        <v>524</v>
      </c>
      <c r="C1533">
        <v>999999</v>
      </c>
      <c r="D1533" s="2">
        <v>6200</v>
      </c>
      <c r="E1533" s="1">
        <v>43097</v>
      </c>
      <c r="F1533" t="str">
        <f>"1154"</f>
        <v>1154</v>
      </c>
      <c r="G1533" t="str">
        <f>"Inv# 1154"</f>
        <v>Inv# 1154</v>
      </c>
      <c r="H1533" s="2">
        <v>6200</v>
      </c>
      <c r="I1533" t="str">
        <f>"Inv# 1154"</f>
        <v>Inv# 1154</v>
      </c>
    </row>
    <row r="1534" spans="1:10" x14ac:dyDescent="0.3">
      <c r="A1534" t="str">
        <f>"T13574"</f>
        <v>T13574</v>
      </c>
      <c r="B1534" t="s">
        <v>525</v>
      </c>
      <c r="C1534">
        <v>999999</v>
      </c>
      <c r="D1534" s="2">
        <v>155</v>
      </c>
      <c r="E1534" s="1">
        <v>43081</v>
      </c>
      <c r="F1534" t="str">
        <f>"71297/71003"</f>
        <v>71297/71003</v>
      </c>
      <c r="G1534" t="str">
        <f>"ACCT#63275/CUST#BASCO1/PROPANE"</f>
        <v>ACCT#63275/CUST#BASCO1/PROPANE</v>
      </c>
      <c r="H1534" s="2">
        <v>155</v>
      </c>
      <c r="I1534" t="str">
        <f>"ACCT#63275/CUST#BASCO1/PROPANE"</f>
        <v>ACCT#63275/CUST#BASCO1/PROPANE</v>
      </c>
    </row>
    <row r="1535" spans="1:10" x14ac:dyDescent="0.3">
      <c r="A1535" t="str">
        <f>"T6855"</f>
        <v>T6855</v>
      </c>
      <c r="B1535" t="s">
        <v>526</v>
      </c>
      <c r="C1535">
        <v>74272</v>
      </c>
      <c r="D1535" s="2">
        <v>5350.62</v>
      </c>
      <c r="E1535" s="1">
        <v>43080</v>
      </c>
      <c r="F1535" t="str">
        <f>"0699377-IN"</f>
        <v>0699377-IN</v>
      </c>
      <c r="G1535" t="str">
        <f>"ACCT#01-0112917/ITEM#204200/P2"</f>
        <v>ACCT#01-0112917/ITEM#204200/P2</v>
      </c>
      <c r="H1535" s="2">
        <v>2834.84</v>
      </c>
      <c r="I1535" t="str">
        <f>"ACCT#01-0112917/ITEM#204200/P2"</f>
        <v>ACCT#01-0112917/ITEM#204200/P2</v>
      </c>
    </row>
    <row r="1536" spans="1:10" x14ac:dyDescent="0.3">
      <c r="A1536" t="str">
        <f>""</f>
        <v/>
      </c>
      <c r="F1536" t="str">
        <f>"0699406-IN"</f>
        <v>0699406-IN</v>
      </c>
      <c r="G1536" t="str">
        <f>"ACCT#01-0112917/PCT#3"</f>
        <v>ACCT#01-0112917/PCT#3</v>
      </c>
      <c r="H1536" s="2">
        <v>2515.7800000000002</v>
      </c>
      <c r="I1536" t="str">
        <f>"ACCT#01-0112917/PCT#3"</f>
        <v>ACCT#01-0112917/PCT#3</v>
      </c>
    </row>
    <row r="1537" spans="1:9" x14ac:dyDescent="0.3">
      <c r="A1537" t="str">
        <f>"T6855"</f>
        <v>T6855</v>
      </c>
      <c r="B1537" t="s">
        <v>526</v>
      </c>
      <c r="C1537">
        <v>74475</v>
      </c>
      <c r="D1537" s="2">
        <v>6853.46</v>
      </c>
      <c r="E1537" s="1">
        <v>43096</v>
      </c>
      <c r="F1537" t="str">
        <f>"0705202-IN"</f>
        <v>0705202-IN</v>
      </c>
      <c r="G1537" t="str">
        <f>"ACCT#01-0112917/ITEM#204200/P2"</f>
        <v>ACCT#01-0112917/ITEM#204200/P2</v>
      </c>
      <c r="H1537" s="2">
        <v>3149.21</v>
      </c>
      <c r="I1537" t="str">
        <f>"ACCT#01-0112917/ITEM#204200/P2"</f>
        <v>ACCT#01-0112917/ITEM#204200/P2</v>
      </c>
    </row>
    <row r="1538" spans="1:9" x14ac:dyDescent="0.3">
      <c r="A1538" t="str">
        <f>""</f>
        <v/>
      </c>
      <c r="F1538" t="str">
        <f>"703054R-IN"</f>
        <v>703054R-IN</v>
      </c>
      <c r="G1538" t="str">
        <f>"ACCT#01-0112917/ITEM#204200/P2"</f>
        <v>ACCT#01-0112917/ITEM#204200/P2</v>
      </c>
      <c r="H1538" s="2">
        <v>3704.25</v>
      </c>
      <c r="I1538" t="str">
        <f>"ACCT#01-0112917/ITEM#204200/P2"</f>
        <v>ACCT#01-0112917/ITEM#204200/P2</v>
      </c>
    </row>
    <row r="1539" spans="1:9" x14ac:dyDescent="0.3">
      <c r="A1539" t="str">
        <f>"T14371"</f>
        <v>T14371</v>
      </c>
      <c r="B1539" t="s">
        <v>527</v>
      </c>
      <c r="C1539">
        <v>74273</v>
      </c>
      <c r="D1539" s="2">
        <v>114.67</v>
      </c>
      <c r="E1539" s="1">
        <v>43080</v>
      </c>
      <c r="F1539" t="str">
        <f>"201712067228"</f>
        <v>201712067228</v>
      </c>
      <c r="G1539" t="str">
        <f>"INDIGENT HEALTH"</f>
        <v>INDIGENT HEALTH</v>
      </c>
      <c r="H1539" s="2">
        <v>114.67</v>
      </c>
      <c r="I1539" t="str">
        <f>"INDIGENT HEALTH"</f>
        <v>INDIGENT HEALTH</v>
      </c>
    </row>
    <row r="1540" spans="1:9" x14ac:dyDescent="0.3">
      <c r="A1540" t="str">
        <f>"T14371"</f>
        <v>T14371</v>
      </c>
      <c r="B1540" t="s">
        <v>527</v>
      </c>
      <c r="C1540">
        <v>74476</v>
      </c>
      <c r="D1540" s="2">
        <v>1349.62</v>
      </c>
      <c r="E1540" s="1">
        <v>43096</v>
      </c>
      <c r="F1540" t="str">
        <f>"201712207494"</f>
        <v>201712207494</v>
      </c>
      <c r="G1540" t="str">
        <f>"INDIGENT HEALTH"</f>
        <v>INDIGENT HEALTH</v>
      </c>
      <c r="H1540" s="2">
        <v>1349.62</v>
      </c>
      <c r="I1540" t="str">
        <f>"INDIGENT HEALTH"</f>
        <v>INDIGENT HEALTH</v>
      </c>
    </row>
    <row r="1541" spans="1:9" x14ac:dyDescent="0.3">
      <c r="A1541" t="str">
        <f>""</f>
        <v/>
      </c>
      <c r="F1541" t="str">
        <f>""</f>
        <v/>
      </c>
      <c r="G1541" t="str">
        <f>""</f>
        <v/>
      </c>
      <c r="I1541" t="str">
        <f>"INDIGENT HEALTH"</f>
        <v>INDIGENT HEALTH</v>
      </c>
    </row>
    <row r="1542" spans="1:9" x14ac:dyDescent="0.3">
      <c r="A1542" t="str">
        <f>"TXAGG"</f>
        <v>TXAGG</v>
      </c>
      <c r="B1542" t="s">
        <v>528</v>
      </c>
      <c r="C1542">
        <v>999999</v>
      </c>
      <c r="D1542" s="2">
        <v>1770.3</v>
      </c>
      <c r="E1542" s="1">
        <v>43081</v>
      </c>
      <c r="F1542" t="str">
        <f>"92134"</f>
        <v>92134</v>
      </c>
      <c r="G1542" t="str">
        <f>"RIP RAP/PCT#4"</f>
        <v>RIP RAP/PCT#4</v>
      </c>
      <c r="H1542" s="2">
        <v>916.65</v>
      </c>
      <c r="I1542" t="str">
        <f>"RIP RAP/PCT#4"</f>
        <v>RIP RAP/PCT#4</v>
      </c>
    </row>
    <row r="1543" spans="1:9" x14ac:dyDescent="0.3">
      <c r="A1543" t="str">
        <f>""</f>
        <v/>
      </c>
      <c r="F1543" t="str">
        <f>"92162"</f>
        <v>92162</v>
      </c>
      <c r="G1543" t="str">
        <f>"RIP RAP/PCT#4"</f>
        <v>RIP RAP/PCT#4</v>
      </c>
      <c r="H1543" s="2">
        <v>853.65</v>
      </c>
      <c r="I1543" t="str">
        <f>"RIP RAP/PCT#4"</f>
        <v>RIP RAP/PCT#4</v>
      </c>
    </row>
    <row r="1544" spans="1:9" x14ac:dyDescent="0.3">
      <c r="A1544" t="str">
        <f>"TXAGG"</f>
        <v>TXAGG</v>
      </c>
      <c r="B1544" t="s">
        <v>528</v>
      </c>
      <c r="C1544">
        <v>999999</v>
      </c>
      <c r="D1544" s="2">
        <v>3089.8</v>
      </c>
      <c r="E1544" s="1">
        <v>43097</v>
      </c>
      <c r="F1544" t="str">
        <f>"92346"</f>
        <v>92346</v>
      </c>
      <c r="G1544" t="str">
        <f>"RIP RAP/PCT#1"</f>
        <v>RIP RAP/PCT#1</v>
      </c>
      <c r="H1544" s="2">
        <v>3089.8</v>
      </c>
      <c r="I1544" t="str">
        <f>"RIP RAP/PCT#1"</f>
        <v>RIP RAP/PCT#1</v>
      </c>
    </row>
    <row r="1545" spans="1:9" x14ac:dyDescent="0.3">
      <c r="A1545" t="str">
        <f>"T4094"</f>
        <v>T4094</v>
      </c>
      <c r="B1545" t="s">
        <v>529</v>
      </c>
      <c r="C1545">
        <v>999999</v>
      </c>
      <c r="D1545" s="2">
        <v>315</v>
      </c>
      <c r="E1545" s="1">
        <v>43097</v>
      </c>
      <c r="F1545" t="str">
        <f>"1035469"</f>
        <v>1035469</v>
      </c>
      <c r="G1545" t="str">
        <f>"CUST#431/TRACTOR/PCT#2"</f>
        <v>CUST#431/TRACTOR/PCT#2</v>
      </c>
      <c r="H1545" s="2">
        <v>315</v>
      </c>
      <c r="I1545" t="str">
        <f>"CUST#431/TRACTOR/PCT#2"</f>
        <v>CUST#431/TRACTOR/PCT#2</v>
      </c>
    </row>
    <row r="1546" spans="1:9" x14ac:dyDescent="0.3">
      <c r="A1546" t="str">
        <f>"001468"</f>
        <v>001468</v>
      </c>
      <c r="B1546" t="s">
        <v>530</v>
      </c>
      <c r="C1546">
        <v>74274</v>
      </c>
      <c r="D1546" s="2">
        <v>50</v>
      </c>
      <c r="E1546" s="1">
        <v>43080</v>
      </c>
      <c r="F1546" t="str">
        <f>"245"</f>
        <v>245</v>
      </c>
      <c r="G1546" t="str">
        <f>"ACCT#CLARBEC-01/ITEM#4182"</f>
        <v>ACCT#CLARBEC-01/ITEM#4182</v>
      </c>
      <c r="H1546" s="2">
        <v>50</v>
      </c>
      <c r="I1546" t="str">
        <f>"ACCT#CLARBEC-01/ITEM#4182"</f>
        <v>ACCT#CLARBEC-01/ITEM#4182</v>
      </c>
    </row>
    <row r="1547" spans="1:9" x14ac:dyDescent="0.3">
      <c r="A1547" t="str">
        <f>"001468"</f>
        <v>001468</v>
      </c>
      <c r="B1547" t="s">
        <v>530</v>
      </c>
      <c r="C1547">
        <v>74477</v>
      </c>
      <c r="D1547" s="2">
        <v>350</v>
      </c>
      <c r="E1547" s="1">
        <v>43096</v>
      </c>
      <c r="F1547" t="str">
        <f>"238"</f>
        <v>238</v>
      </c>
      <c r="G1547" t="str">
        <f>"ACCT#BASTCOU-08/AUDITORS OFF"</f>
        <v>ACCT#BASTCOU-08/AUDITORS OFF</v>
      </c>
      <c r="H1547" s="2">
        <v>350</v>
      </c>
      <c r="I1547" t="str">
        <f>"ACCT#BASTCOU-08/AUDITORS OFF"</f>
        <v>ACCT#BASTCOU-08/AUDITORS OFF</v>
      </c>
    </row>
    <row r="1548" spans="1:9" x14ac:dyDescent="0.3">
      <c r="A1548" t="str">
        <f>"TACRMP"</f>
        <v>TACRMP</v>
      </c>
      <c r="B1548" t="s">
        <v>531</v>
      </c>
      <c r="C1548">
        <v>74275</v>
      </c>
      <c r="D1548" s="2">
        <v>160</v>
      </c>
      <c r="E1548" s="1">
        <v>43080</v>
      </c>
      <c r="F1548" t="str">
        <f>"MEMBER ID: 203296"</f>
        <v>MEMBER ID: 203296</v>
      </c>
      <c r="G1548" t="str">
        <f>"REG.-2017 TX PUB INV CONF"</f>
        <v>REG.-2017 TX PUB INV CONF</v>
      </c>
      <c r="H1548" s="2">
        <v>160</v>
      </c>
      <c r="I1548" t="str">
        <f>"REG.-2017 TX PUB INV CONF"</f>
        <v>REG.-2017 TX PUB INV CONF</v>
      </c>
    </row>
    <row r="1549" spans="1:9" x14ac:dyDescent="0.3">
      <c r="A1549" t="str">
        <f>"TAC1"</f>
        <v>TAC1</v>
      </c>
      <c r="B1549" t="s">
        <v>531</v>
      </c>
      <c r="C1549">
        <v>74511</v>
      </c>
      <c r="D1549" s="2">
        <v>77718.850000000006</v>
      </c>
      <c r="E1549" s="1">
        <v>43097</v>
      </c>
      <c r="F1549" t="str">
        <f>"201712287508"</f>
        <v>201712287508</v>
      </c>
      <c r="G1549" t="str">
        <f>"2018 1ST QTR WORKERS COMP"</f>
        <v>2018 1ST QTR WORKERS COMP</v>
      </c>
      <c r="H1549" s="2">
        <v>52805.45</v>
      </c>
      <c r="I1549" t="str">
        <f t="shared" ref="I1549:I1587" si="20">"2018 1ST QTR WORKERS COMP"</f>
        <v>2018 1ST QTR WORKERS COMP</v>
      </c>
    </row>
    <row r="1550" spans="1:9" x14ac:dyDescent="0.3">
      <c r="A1550" t="str">
        <f>""</f>
        <v/>
      </c>
      <c r="F1550" t="str">
        <f>""</f>
        <v/>
      </c>
      <c r="G1550" t="str">
        <f>""</f>
        <v/>
      </c>
      <c r="I1550" t="str">
        <f t="shared" si="20"/>
        <v>2018 1ST QTR WORKERS COMP</v>
      </c>
    </row>
    <row r="1551" spans="1:9" x14ac:dyDescent="0.3">
      <c r="A1551" t="str">
        <f>""</f>
        <v/>
      </c>
      <c r="F1551" t="str">
        <f>""</f>
        <v/>
      </c>
      <c r="G1551" t="str">
        <f>""</f>
        <v/>
      </c>
      <c r="I1551" t="str">
        <f t="shared" si="20"/>
        <v>2018 1ST QTR WORKERS COMP</v>
      </c>
    </row>
    <row r="1552" spans="1:9" x14ac:dyDescent="0.3">
      <c r="A1552" t="str">
        <f>""</f>
        <v/>
      </c>
      <c r="F1552" t="str">
        <f>""</f>
        <v/>
      </c>
      <c r="G1552" t="str">
        <f>""</f>
        <v/>
      </c>
      <c r="I1552" t="str">
        <f t="shared" si="20"/>
        <v>2018 1ST QTR WORKERS COMP</v>
      </c>
    </row>
    <row r="1553" spans="1:9" x14ac:dyDescent="0.3">
      <c r="A1553" t="str">
        <f>""</f>
        <v/>
      </c>
      <c r="F1553" t="str">
        <f>""</f>
        <v/>
      </c>
      <c r="G1553" t="str">
        <f>""</f>
        <v/>
      </c>
      <c r="I1553" t="str">
        <f t="shared" si="20"/>
        <v>2018 1ST QTR WORKERS COMP</v>
      </c>
    </row>
    <row r="1554" spans="1:9" x14ac:dyDescent="0.3">
      <c r="A1554" t="str">
        <f>""</f>
        <v/>
      </c>
      <c r="F1554" t="str">
        <f>""</f>
        <v/>
      </c>
      <c r="G1554" t="str">
        <f>""</f>
        <v/>
      </c>
      <c r="I1554" t="str">
        <f t="shared" si="20"/>
        <v>2018 1ST QTR WORKERS COMP</v>
      </c>
    </row>
    <row r="1555" spans="1:9" x14ac:dyDescent="0.3">
      <c r="A1555" t="str">
        <f>""</f>
        <v/>
      </c>
      <c r="F1555" t="str">
        <f>""</f>
        <v/>
      </c>
      <c r="G1555" t="str">
        <f>""</f>
        <v/>
      </c>
      <c r="I1555" t="str">
        <f t="shared" si="20"/>
        <v>2018 1ST QTR WORKERS COMP</v>
      </c>
    </row>
    <row r="1556" spans="1:9" x14ac:dyDescent="0.3">
      <c r="A1556" t="str">
        <f>""</f>
        <v/>
      </c>
      <c r="F1556" t="str">
        <f>""</f>
        <v/>
      </c>
      <c r="G1556" t="str">
        <f>""</f>
        <v/>
      </c>
      <c r="I1556" t="str">
        <f t="shared" si="20"/>
        <v>2018 1ST QTR WORKERS COMP</v>
      </c>
    </row>
    <row r="1557" spans="1:9" x14ac:dyDescent="0.3">
      <c r="A1557" t="str">
        <f>""</f>
        <v/>
      </c>
      <c r="F1557" t="str">
        <f>""</f>
        <v/>
      </c>
      <c r="G1557" t="str">
        <f>""</f>
        <v/>
      </c>
      <c r="I1557" t="str">
        <f t="shared" si="20"/>
        <v>2018 1ST QTR WORKERS COMP</v>
      </c>
    </row>
    <row r="1558" spans="1:9" x14ac:dyDescent="0.3">
      <c r="A1558" t="str">
        <f>""</f>
        <v/>
      </c>
      <c r="F1558" t="str">
        <f>""</f>
        <v/>
      </c>
      <c r="G1558" t="str">
        <f>""</f>
        <v/>
      </c>
      <c r="I1558" t="str">
        <f t="shared" si="20"/>
        <v>2018 1ST QTR WORKERS COMP</v>
      </c>
    </row>
    <row r="1559" spans="1:9" x14ac:dyDescent="0.3">
      <c r="A1559" t="str">
        <f>""</f>
        <v/>
      </c>
      <c r="F1559" t="str">
        <f>""</f>
        <v/>
      </c>
      <c r="G1559" t="str">
        <f>""</f>
        <v/>
      </c>
      <c r="I1559" t="str">
        <f t="shared" si="20"/>
        <v>2018 1ST QTR WORKERS COMP</v>
      </c>
    </row>
    <row r="1560" spans="1:9" x14ac:dyDescent="0.3">
      <c r="A1560" t="str">
        <f>""</f>
        <v/>
      </c>
      <c r="F1560" t="str">
        <f>""</f>
        <v/>
      </c>
      <c r="G1560" t="str">
        <f>""</f>
        <v/>
      </c>
      <c r="I1560" t="str">
        <f t="shared" si="20"/>
        <v>2018 1ST QTR WORKERS COMP</v>
      </c>
    </row>
    <row r="1561" spans="1:9" x14ac:dyDescent="0.3">
      <c r="A1561" t="str">
        <f>""</f>
        <v/>
      </c>
      <c r="F1561" t="str">
        <f>""</f>
        <v/>
      </c>
      <c r="G1561" t="str">
        <f>""</f>
        <v/>
      </c>
      <c r="I1561" t="str">
        <f t="shared" si="20"/>
        <v>2018 1ST QTR WORKERS COMP</v>
      </c>
    </row>
    <row r="1562" spans="1:9" x14ac:dyDescent="0.3">
      <c r="A1562" t="str">
        <f>""</f>
        <v/>
      </c>
      <c r="F1562" t="str">
        <f>""</f>
        <v/>
      </c>
      <c r="G1562" t="str">
        <f>""</f>
        <v/>
      </c>
      <c r="I1562" t="str">
        <f t="shared" si="20"/>
        <v>2018 1ST QTR WORKERS COMP</v>
      </c>
    </row>
    <row r="1563" spans="1:9" x14ac:dyDescent="0.3">
      <c r="A1563" t="str">
        <f>""</f>
        <v/>
      </c>
      <c r="F1563" t="str">
        <f>""</f>
        <v/>
      </c>
      <c r="G1563" t="str">
        <f>""</f>
        <v/>
      </c>
      <c r="I1563" t="str">
        <f t="shared" si="20"/>
        <v>2018 1ST QTR WORKERS COMP</v>
      </c>
    </row>
    <row r="1564" spans="1:9" x14ac:dyDescent="0.3">
      <c r="A1564" t="str">
        <f>""</f>
        <v/>
      </c>
      <c r="F1564" t="str">
        <f>""</f>
        <v/>
      </c>
      <c r="G1564" t="str">
        <f>""</f>
        <v/>
      </c>
      <c r="I1564" t="str">
        <f t="shared" si="20"/>
        <v>2018 1ST QTR WORKERS COMP</v>
      </c>
    </row>
    <row r="1565" spans="1:9" x14ac:dyDescent="0.3">
      <c r="A1565" t="str">
        <f>""</f>
        <v/>
      </c>
      <c r="F1565" t="str">
        <f>""</f>
        <v/>
      </c>
      <c r="G1565" t="str">
        <f>""</f>
        <v/>
      </c>
      <c r="I1565" t="str">
        <f t="shared" si="20"/>
        <v>2018 1ST QTR WORKERS COMP</v>
      </c>
    </row>
    <row r="1566" spans="1:9" x14ac:dyDescent="0.3">
      <c r="A1566" t="str">
        <f>""</f>
        <v/>
      </c>
      <c r="F1566" t="str">
        <f>""</f>
        <v/>
      </c>
      <c r="G1566" t="str">
        <f>""</f>
        <v/>
      </c>
      <c r="I1566" t="str">
        <f t="shared" si="20"/>
        <v>2018 1ST QTR WORKERS COMP</v>
      </c>
    </row>
    <row r="1567" spans="1:9" x14ac:dyDescent="0.3">
      <c r="A1567" t="str">
        <f>""</f>
        <v/>
      </c>
      <c r="F1567" t="str">
        <f>""</f>
        <v/>
      </c>
      <c r="G1567" t="str">
        <f>""</f>
        <v/>
      </c>
      <c r="I1567" t="str">
        <f t="shared" si="20"/>
        <v>2018 1ST QTR WORKERS COMP</v>
      </c>
    </row>
    <row r="1568" spans="1:9" x14ac:dyDescent="0.3">
      <c r="A1568" t="str">
        <f>""</f>
        <v/>
      </c>
      <c r="F1568" t="str">
        <f>""</f>
        <v/>
      </c>
      <c r="G1568" t="str">
        <f>""</f>
        <v/>
      </c>
      <c r="I1568" t="str">
        <f t="shared" si="20"/>
        <v>2018 1ST QTR WORKERS COMP</v>
      </c>
    </row>
    <row r="1569" spans="1:9" x14ac:dyDescent="0.3">
      <c r="A1569" t="str">
        <f>""</f>
        <v/>
      </c>
      <c r="F1569" t="str">
        <f>""</f>
        <v/>
      </c>
      <c r="G1569" t="str">
        <f>""</f>
        <v/>
      </c>
      <c r="I1569" t="str">
        <f t="shared" si="20"/>
        <v>2018 1ST QTR WORKERS COMP</v>
      </c>
    </row>
    <row r="1570" spans="1:9" x14ac:dyDescent="0.3">
      <c r="A1570" t="str">
        <f>""</f>
        <v/>
      </c>
      <c r="F1570" t="str">
        <f>""</f>
        <v/>
      </c>
      <c r="G1570" t="str">
        <f>""</f>
        <v/>
      </c>
      <c r="I1570" t="str">
        <f t="shared" si="20"/>
        <v>2018 1ST QTR WORKERS COMP</v>
      </c>
    </row>
    <row r="1571" spans="1:9" x14ac:dyDescent="0.3">
      <c r="A1571" t="str">
        <f>""</f>
        <v/>
      </c>
      <c r="F1571" t="str">
        <f>""</f>
        <v/>
      </c>
      <c r="G1571" t="str">
        <f>""</f>
        <v/>
      </c>
      <c r="I1571" t="str">
        <f t="shared" si="20"/>
        <v>2018 1ST QTR WORKERS COMP</v>
      </c>
    </row>
    <row r="1572" spans="1:9" x14ac:dyDescent="0.3">
      <c r="A1572" t="str">
        <f>""</f>
        <v/>
      </c>
      <c r="F1572" t="str">
        <f>""</f>
        <v/>
      </c>
      <c r="G1572" t="str">
        <f>""</f>
        <v/>
      </c>
      <c r="I1572" t="str">
        <f t="shared" si="20"/>
        <v>2018 1ST QTR WORKERS COMP</v>
      </c>
    </row>
    <row r="1573" spans="1:9" x14ac:dyDescent="0.3">
      <c r="A1573" t="str">
        <f>""</f>
        <v/>
      </c>
      <c r="F1573" t="str">
        <f>""</f>
        <v/>
      </c>
      <c r="G1573" t="str">
        <f>""</f>
        <v/>
      </c>
      <c r="I1573" t="str">
        <f t="shared" si="20"/>
        <v>2018 1ST QTR WORKERS COMP</v>
      </c>
    </row>
    <row r="1574" spans="1:9" x14ac:dyDescent="0.3">
      <c r="A1574" t="str">
        <f>""</f>
        <v/>
      </c>
      <c r="F1574" t="str">
        <f>""</f>
        <v/>
      </c>
      <c r="G1574" t="str">
        <f>""</f>
        <v/>
      </c>
      <c r="I1574" t="str">
        <f t="shared" si="20"/>
        <v>2018 1ST QTR WORKERS COMP</v>
      </c>
    </row>
    <row r="1575" spans="1:9" x14ac:dyDescent="0.3">
      <c r="A1575" t="str">
        <f>""</f>
        <v/>
      </c>
      <c r="F1575" t="str">
        <f>""</f>
        <v/>
      </c>
      <c r="G1575" t="str">
        <f>""</f>
        <v/>
      </c>
      <c r="I1575" t="str">
        <f t="shared" si="20"/>
        <v>2018 1ST QTR WORKERS COMP</v>
      </c>
    </row>
    <row r="1576" spans="1:9" x14ac:dyDescent="0.3">
      <c r="A1576" t="str">
        <f>""</f>
        <v/>
      </c>
      <c r="F1576" t="str">
        <f>""</f>
        <v/>
      </c>
      <c r="G1576" t="str">
        <f>""</f>
        <v/>
      </c>
      <c r="I1576" t="str">
        <f t="shared" si="20"/>
        <v>2018 1ST QTR WORKERS COMP</v>
      </c>
    </row>
    <row r="1577" spans="1:9" x14ac:dyDescent="0.3">
      <c r="A1577" t="str">
        <f>""</f>
        <v/>
      </c>
      <c r="F1577" t="str">
        <f>""</f>
        <v/>
      </c>
      <c r="G1577" t="str">
        <f>""</f>
        <v/>
      </c>
      <c r="I1577" t="str">
        <f t="shared" si="20"/>
        <v>2018 1ST QTR WORKERS COMP</v>
      </c>
    </row>
    <row r="1578" spans="1:9" x14ac:dyDescent="0.3">
      <c r="A1578" t="str">
        <f>""</f>
        <v/>
      </c>
      <c r="F1578" t="str">
        <f>""</f>
        <v/>
      </c>
      <c r="G1578" t="str">
        <f>""</f>
        <v/>
      </c>
      <c r="I1578" t="str">
        <f t="shared" si="20"/>
        <v>2018 1ST QTR WORKERS COMP</v>
      </c>
    </row>
    <row r="1579" spans="1:9" x14ac:dyDescent="0.3">
      <c r="A1579" t="str">
        <f>""</f>
        <v/>
      </c>
      <c r="F1579" t="str">
        <f>""</f>
        <v/>
      </c>
      <c r="G1579" t="str">
        <f>""</f>
        <v/>
      </c>
      <c r="I1579" t="str">
        <f t="shared" si="20"/>
        <v>2018 1ST QTR WORKERS COMP</v>
      </c>
    </row>
    <row r="1580" spans="1:9" x14ac:dyDescent="0.3">
      <c r="A1580" t="str">
        <f>""</f>
        <v/>
      </c>
      <c r="F1580" t="str">
        <f>""</f>
        <v/>
      </c>
      <c r="G1580" t="str">
        <f>""</f>
        <v/>
      </c>
      <c r="I1580" t="str">
        <f t="shared" si="20"/>
        <v>2018 1ST QTR WORKERS COMP</v>
      </c>
    </row>
    <row r="1581" spans="1:9" x14ac:dyDescent="0.3">
      <c r="A1581" t="str">
        <f>""</f>
        <v/>
      </c>
      <c r="F1581" t="str">
        <f>""</f>
        <v/>
      </c>
      <c r="G1581" t="str">
        <f>""</f>
        <v/>
      </c>
      <c r="I1581" t="str">
        <f t="shared" si="20"/>
        <v>2018 1ST QTR WORKERS COMP</v>
      </c>
    </row>
    <row r="1582" spans="1:9" x14ac:dyDescent="0.3">
      <c r="A1582" t="str">
        <f>""</f>
        <v/>
      </c>
      <c r="F1582" t="str">
        <f>""</f>
        <v/>
      </c>
      <c r="G1582" t="str">
        <f>""</f>
        <v/>
      </c>
      <c r="I1582" t="str">
        <f t="shared" si="20"/>
        <v>2018 1ST QTR WORKERS COMP</v>
      </c>
    </row>
    <row r="1583" spans="1:9" x14ac:dyDescent="0.3">
      <c r="A1583" t="str">
        <f>""</f>
        <v/>
      </c>
      <c r="F1583" t="str">
        <f>""</f>
        <v/>
      </c>
      <c r="G1583" t="str">
        <f>""</f>
        <v/>
      </c>
      <c r="I1583" t="str">
        <f t="shared" si="20"/>
        <v>2018 1ST QTR WORKERS COMP</v>
      </c>
    </row>
    <row r="1584" spans="1:9" x14ac:dyDescent="0.3">
      <c r="A1584" t="str">
        <f>""</f>
        <v/>
      </c>
      <c r="F1584" t="str">
        <f>""</f>
        <v/>
      </c>
      <c r="G1584" t="str">
        <f>""</f>
        <v/>
      </c>
      <c r="I1584" t="str">
        <f t="shared" si="20"/>
        <v>2018 1ST QTR WORKERS COMP</v>
      </c>
    </row>
    <row r="1585" spans="1:9" x14ac:dyDescent="0.3">
      <c r="A1585" t="str">
        <f>""</f>
        <v/>
      </c>
      <c r="F1585" t="str">
        <f>""</f>
        <v/>
      </c>
      <c r="G1585" t="str">
        <f>""</f>
        <v/>
      </c>
      <c r="I1585" t="str">
        <f t="shared" si="20"/>
        <v>2018 1ST QTR WORKERS COMP</v>
      </c>
    </row>
    <row r="1586" spans="1:9" x14ac:dyDescent="0.3">
      <c r="A1586" t="str">
        <f>""</f>
        <v/>
      </c>
      <c r="F1586" t="str">
        <f>""</f>
        <v/>
      </c>
      <c r="G1586" t="str">
        <f>""</f>
        <v/>
      </c>
      <c r="I1586" t="str">
        <f t="shared" si="20"/>
        <v>2018 1ST QTR WORKERS COMP</v>
      </c>
    </row>
    <row r="1587" spans="1:9" x14ac:dyDescent="0.3">
      <c r="A1587" t="str">
        <f>""</f>
        <v/>
      </c>
      <c r="F1587" t="str">
        <f>""</f>
        <v/>
      </c>
      <c r="G1587" t="str">
        <f>""</f>
        <v/>
      </c>
      <c r="I1587" t="str">
        <f t="shared" si="20"/>
        <v>2018 1ST QTR WORKERS COMP</v>
      </c>
    </row>
    <row r="1588" spans="1:9" x14ac:dyDescent="0.3">
      <c r="A1588" t="str">
        <f>""</f>
        <v/>
      </c>
      <c r="F1588" t="str">
        <f>"NRCN-20509-WC1-P"</f>
        <v>NRCN-20509-WC1-P</v>
      </c>
      <c r="G1588" t="str">
        <f>"2018 1ST QTR WORKERS COMP/PCT"</f>
        <v>2018 1ST QTR WORKERS COMP/PCT</v>
      </c>
      <c r="H1588" s="2">
        <v>24913.4</v>
      </c>
      <c r="I1588" t="str">
        <f>"2018 1ST QTR WORKERS COMP/PCT"</f>
        <v>2018 1ST QTR WORKERS COMP/PCT</v>
      </c>
    </row>
    <row r="1589" spans="1:9" x14ac:dyDescent="0.3">
      <c r="A1589" t="str">
        <f>""</f>
        <v/>
      </c>
      <c r="F1589" t="str">
        <f>""</f>
        <v/>
      </c>
      <c r="G1589" t="str">
        <f>""</f>
        <v/>
      </c>
      <c r="I1589" t="str">
        <f>"2018 1ST QTR WORKERS COMP/PCT"</f>
        <v>2018 1ST QTR WORKERS COMP/PCT</v>
      </c>
    </row>
    <row r="1590" spans="1:9" x14ac:dyDescent="0.3">
      <c r="A1590" t="str">
        <f>""</f>
        <v/>
      </c>
      <c r="F1590" t="str">
        <f>""</f>
        <v/>
      </c>
      <c r="G1590" t="str">
        <f>""</f>
        <v/>
      </c>
      <c r="I1590" t="str">
        <f>"2018 1ST QTR WORKERS COMP/PCT"</f>
        <v>2018 1ST QTR WORKERS COMP/PCT</v>
      </c>
    </row>
    <row r="1591" spans="1:9" x14ac:dyDescent="0.3">
      <c r="A1591" t="str">
        <f>""</f>
        <v/>
      </c>
      <c r="F1591" t="str">
        <f>""</f>
        <v/>
      </c>
      <c r="G1591" t="str">
        <f>""</f>
        <v/>
      </c>
      <c r="I1591" t="str">
        <f>"2018 1ST QTR WORKERS COMP/PCT"</f>
        <v>2018 1ST QTR WORKERS COMP/PCT</v>
      </c>
    </row>
    <row r="1592" spans="1:9" x14ac:dyDescent="0.3">
      <c r="A1592" t="str">
        <f>"002122"</f>
        <v>002122</v>
      </c>
      <c r="B1592" t="s">
        <v>532</v>
      </c>
      <c r="C1592">
        <v>999999</v>
      </c>
      <c r="D1592" s="2">
        <v>940.84</v>
      </c>
      <c r="E1592" s="1">
        <v>43081</v>
      </c>
      <c r="F1592" t="str">
        <f>"201712057193"</f>
        <v>201712057193</v>
      </c>
      <c r="G1592" t="str">
        <f>"CUST#0005/PCT#4"</f>
        <v>CUST#0005/PCT#4</v>
      </c>
      <c r="H1592" s="2">
        <v>940.84</v>
      </c>
      <c r="I1592" t="str">
        <f>"CUST#0005/PCT#4"</f>
        <v>CUST#0005/PCT#4</v>
      </c>
    </row>
    <row r="1593" spans="1:9" x14ac:dyDescent="0.3">
      <c r="A1593" t="str">
        <f>"004259"</f>
        <v>004259</v>
      </c>
      <c r="B1593" t="s">
        <v>533</v>
      </c>
      <c r="C1593">
        <v>74283</v>
      </c>
      <c r="D1593" s="2">
        <v>234.99</v>
      </c>
      <c r="E1593" s="1">
        <v>43080</v>
      </c>
      <c r="F1593" t="str">
        <f>"1002"</f>
        <v>1002</v>
      </c>
      <c r="G1593" t="str">
        <f>"WORKBOOTS/GEN SVCS"</f>
        <v>WORKBOOTS/GEN SVCS</v>
      </c>
      <c r="H1593" s="2">
        <v>234.99</v>
      </c>
      <c r="I1593" t="str">
        <f>"WORKBOOTS/GEN SVCS"</f>
        <v>WORKBOOTS/GEN SVCS</v>
      </c>
    </row>
    <row r="1594" spans="1:9" x14ac:dyDescent="0.3">
      <c r="A1594" t="str">
        <f>"005329"</f>
        <v>005329</v>
      </c>
      <c r="B1594" t="s">
        <v>534</v>
      </c>
      <c r="C1594">
        <v>74276</v>
      </c>
      <c r="D1594" s="2">
        <v>100</v>
      </c>
      <c r="E1594" s="1">
        <v>43080</v>
      </c>
      <c r="F1594" t="str">
        <f>"SMART BUY MEMB FEE"</f>
        <v>SMART BUY MEMB FEE</v>
      </c>
      <c r="G1594" t="str">
        <f>"Membership Fee"</f>
        <v>Membership Fee</v>
      </c>
      <c r="H1594" s="2">
        <v>100</v>
      </c>
      <c r="I1594" t="str">
        <f>"Membership Fee"</f>
        <v>Membership Fee</v>
      </c>
    </row>
    <row r="1595" spans="1:9" x14ac:dyDescent="0.3">
      <c r="A1595" t="str">
        <f>"T14276"</f>
        <v>T14276</v>
      </c>
      <c r="B1595" t="s">
        <v>535</v>
      </c>
      <c r="C1595">
        <v>74277</v>
      </c>
      <c r="D1595" s="2">
        <v>6158.25</v>
      </c>
      <c r="E1595" s="1">
        <v>43080</v>
      </c>
      <c r="F1595" t="str">
        <f>"UI422437"</f>
        <v>UI422437</v>
      </c>
      <c r="G1595" t="str">
        <f>"INV UI422437"</f>
        <v>INV UI422437</v>
      </c>
      <c r="H1595" s="2">
        <v>6158.25</v>
      </c>
      <c r="I1595" t="str">
        <f>"INV UI422437"</f>
        <v>INV UI422437</v>
      </c>
    </row>
    <row r="1596" spans="1:9" x14ac:dyDescent="0.3">
      <c r="A1596" t="str">
        <f>"TCSC"</f>
        <v>TCSC</v>
      </c>
      <c r="B1596" t="s">
        <v>536</v>
      </c>
      <c r="C1596">
        <v>74052</v>
      </c>
      <c r="D1596" s="2">
        <v>5166.59</v>
      </c>
      <c r="E1596" s="1">
        <v>43076</v>
      </c>
      <c r="F1596" t="str">
        <f>"47378"</f>
        <v>47378</v>
      </c>
      <c r="G1596" t="str">
        <f t="shared" ref="G1596:G1602" si="21">"BASE / P4"</f>
        <v>BASE / P4</v>
      </c>
      <c r="H1596" s="2">
        <v>692.3</v>
      </c>
      <c r="I1596" t="str">
        <f t="shared" ref="I1596:I1602" si="22">"BASE / P4"</f>
        <v>BASE / P4</v>
      </c>
    </row>
    <row r="1597" spans="1:9" x14ac:dyDescent="0.3">
      <c r="A1597" t="str">
        <f>""</f>
        <v/>
      </c>
      <c r="F1597" t="str">
        <f>"47602"</f>
        <v>47602</v>
      </c>
      <c r="G1597" t="str">
        <f t="shared" si="21"/>
        <v>BASE / P4</v>
      </c>
      <c r="H1597" s="2">
        <v>1260.76</v>
      </c>
      <c r="I1597" t="str">
        <f t="shared" si="22"/>
        <v>BASE / P4</v>
      </c>
    </row>
    <row r="1598" spans="1:9" x14ac:dyDescent="0.3">
      <c r="A1598" t="str">
        <f>""</f>
        <v/>
      </c>
      <c r="F1598" t="str">
        <f>"48049"</f>
        <v>48049</v>
      </c>
      <c r="G1598" t="str">
        <f t="shared" si="21"/>
        <v>BASE / P4</v>
      </c>
      <c r="H1598" s="2">
        <v>693.46</v>
      </c>
      <c r="I1598" t="str">
        <f t="shared" si="22"/>
        <v>BASE / P4</v>
      </c>
    </row>
    <row r="1599" spans="1:9" x14ac:dyDescent="0.3">
      <c r="A1599" t="str">
        <f>""</f>
        <v/>
      </c>
      <c r="F1599" t="str">
        <f>"48530"</f>
        <v>48530</v>
      </c>
      <c r="G1599" t="str">
        <f t="shared" si="21"/>
        <v>BASE / P4</v>
      </c>
      <c r="H1599" s="2">
        <v>565.25</v>
      </c>
      <c r="I1599" t="str">
        <f t="shared" si="22"/>
        <v>BASE / P4</v>
      </c>
    </row>
    <row r="1600" spans="1:9" x14ac:dyDescent="0.3">
      <c r="A1600" t="str">
        <f>""</f>
        <v/>
      </c>
      <c r="F1600" t="str">
        <f>"48736"</f>
        <v>48736</v>
      </c>
      <c r="G1600" t="str">
        <f t="shared" si="21"/>
        <v>BASE / P4</v>
      </c>
      <c r="H1600" s="2">
        <v>556.48</v>
      </c>
      <c r="I1600" t="str">
        <f t="shared" si="22"/>
        <v>BASE / P4</v>
      </c>
    </row>
    <row r="1601" spans="1:10" x14ac:dyDescent="0.3">
      <c r="A1601" t="str">
        <f>""</f>
        <v/>
      </c>
      <c r="F1601" t="str">
        <f>"48946"</f>
        <v>48946</v>
      </c>
      <c r="G1601" t="str">
        <f t="shared" si="21"/>
        <v>BASE / P4</v>
      </c>
      <c r="H1601" s="2">
        <v>278.48</v>
      </c>
      <c r="I1601" t="str">
        <f t="shared" si="22"/>
        <v>BASE / P4</v>
      </c>
    </row>
    <row r="1602" spans="1:10" x14ac:dyDescent="0.3">
      <c r="A1602" t="str">
        <f>""</f>
        <v/>
      </c>
      <c r="F1602" t="str">
        <f>"49219"</f>
        <v>49219</v>
      </c>
      <c r="G1602" t="str">
        <f t="shared" si="21"/>
        <v>BASE / P4</v>
      </c>
      <c r="H1602" s="2">
        <v>1119.8599999999999</v>
      </c>
      <c r="I1602" t="str">
        <f t="shared" si="22"/>
        <v>BASE / P4</v>
      </c>
    </row>
    <row r="1603" spans="1:10" x14ac:dyDescent="0.3">
      <c r="A1603" t="str">
        <f>"TCSC"</f>
        <v>TCSC</v>
      </c>
      <c r="B1603" t="s">
        <v>536</v>
      </c>
      <c r="C1603">
        <v>74278</v>
      </c>
      <c r="D1603" s="2">
        <v>555.09</v>
      </c>
      <c r="E1603" s="1">
        <v>43080</v>
      </c>
      <c r="F1603" t="str">
        <f>"49442"</f>
        <v>49442</v>
      </c>
      <c r="G1603" t="str">
        <f>"CUST#1574/STAND BASE/PCT#4"</f>
        <v>CUST#1574/STAND BASE/PCT#4</v>
      </c>
      <c r="H1603" s="2">
        <v>555.09</v>
      </c>
      <c r="I1603" t="str">
        <f>"CUST#1574/STAND BASE/PCT#4"</f>
        <v>CUST#1574/STAND BASE/PCT#4</v>
      </c>
    </row>
    <row r="1604" spans="1:10" x14ac:dyDescent="0.3">
      <c r="A1604" t="str">
        <f>"TCSC"</f>
        <v>TCSC</v>
      </c>
      <c r="B1604" t="s">
        <v>536</v>
      </c>
      <c r="C1604">
        <v>74478</v>
      </c>
      <c r="D1604" s="2">
        <v>7697.6</v>
      </c>
      <c r="E1604" s="1">
        <v>43096</v>
      </c>
      <c r="F1604" t="str">
        <f>"49663"</f>
        <v>49663</v>
      </c>
      <c r="G1604" t="str">
        <f>"CUST#1574/STANDARD BASE/PCT#4"</f>
        <v>CUST#1574/STANDARD BASE/PCT#4</v>
      </c>
      <c r="H1604" s="2">
        <v>2223.0700000000002</v>
      </c>
      <c r="I1604" t="str">
        <f>"CUST#1574/STANDARD BASE/PCT#4"</f>
        <v>CUST#1574/STANDARD BASE/PCT#4</v>
      </c>
    </row>
    <row r="1605" spans="1:10" x14ac:dyDescent="0.3">
      <c r="A1605" t="str">
        <f>""</f>
        <v/>
      </c>
      <c r="F1605" t="str">
        <f>"49869"</f>
        <v>49869</v>
      </c>
      <c r="G1605" t="str">
        <f>"CUST#1574/STAND BASE/PCT#4"</f>
        <v>CUST#1574/STAND BASE/PCT#4</v>
      </c>
      <c r="H1605" s="2">
        <v>423.07</v>
      </c>
      <c r="I1605" t="str">
        <f>"CUST#1574/STAND BASE/PCT#4"</f>
        <v>CUST#1574/STAND BASE/PCT#4</v>
      </c>
    </row>
    <row r="1606" spans="1:10" x14ac:dyDescent="0.3">
      <c r="A1606" t="str">
        <f>""</f>
        <v/>
      </c>
      <c r="F1606" t="str">
        <f>"50062"</f>
        <v>50062</v>
      </c>
      <c r="G1606" t="str">
        <f>"CUST#1574/STAND BASE/PCT#4"</f>
        <v>CUST#1574/STAND BASE/PCT#4</v>
      </c>
      <c r="H1606" s="2">
        <v>2221.5</v>
      </c>
      <c r="I1606" t="str">
        <f>"CUST#1574/STAND BASE/PCT#4"</f>
        <v>CUST#1574/STAND BASE/PCT#4</v>
      </c>
    </row>
    <row r="1607" spans="1:10" x14ac:dyDescent="0.3">
      <c r="A1607" t="str">
        <f>""</f>
        <v/>
      </c>
      <c r="F1607" t="str">
        <f>"50101"</f>
        <v>50101</v>
      </c>
      <c r="G1607" t="str">
        <f>"CUST#1574/STAND BASE/PCT#4"</f>
        <v>CUST#1574/STAND BASE/PCT#4</v>
      </c>
      <c r="H1607" s="2">
        <v>1268.93</v>
      </c>
      <c r="I1607" t="str">
        <f>"CUST#1574/STAND BASE/PCT#4"</f>
        <v>CUST#1574/STAND BASE/PCT#4</v>
      </c>
    </row>
    <row r="1608" spans="1:10" x14ac:dyDescent="0.3">
      <c r="A1608" t="str">
        <f>""</f>
        <v/>
      </c>
      <c r="F1608" t="str">
        <f>"50528"</f>
        <v>50528</v>
      </c>
      <c r="G1608" t="str">
        <f>"CUST#1574/MESH TYPE/PCT#4"</f>
        <v>CUST#1574/MESH TYPE/PCT#4</v>
      </c>
      <c r="H1608" s="2">
        <v>944.97</v>
      </c>
      <c r="I1608" t="str">
        <f>"CUST#1574/MESH TYPE/PCT#4"</f>
        <v>CUST#1574/MESH TYPE/PCT#4</v>
      </c>
    </row>
    <row r="1609" spans="1:10" x14ac:dyDescent="0.3">
      <c r="A1609" t="str">
        <f>""</f>
        <v/>
      </c>
      <c r="F1609" t="str">
        <f>"50762"</f>
        <v>50762</v>
      </c>
      <c r="G1609" t="str">
        <f>"CUST#1574/MESH TYPE/PCT#4"</f>
        <v>CUST#1574/MESH TYPE/PCT#4</v>
      </c>
      <c r="H1609" s="2">
        <v>616.05999999999995</v>
      </c>
      <c r="I1609" t="str">
        <f>"CUST#1574/MESH TYPE/PCT#4"</f>
        <v>CUST#1574/MESH TYPE/PCT#4</v>
      </c>
    </row>
    <row r="1610" spans="1:10" x14ac:dyDescent="0.3">
      <c r="A1610" t="str">
        <f>"T9155"</f>
        <v>T9155</v>
      </c>
      <c r="B1610" t="s">
        <v>537</v>
      </c>
      <c r="C1610">
        <v>74479</v>
      </c>
      <c r="D1610" s="2">
        <v>75</v>
      </c>
      <c r="E1610" s="1">
        <v>43096</v>
      </c>
      <c r="F1610" t="str">
        <f>"ACO TRAINING"</f>
        <v>ACO TRAINING</v>
      </c>
      <c r="G1610" t="str">
        <f>"Evan Jacobs Training"</f>
        <v>Evan Jacobs Training</v>
      </c>
      <c r="H1610" s="2">
        <v>75</v>
      </c>
      <c r="I1610" t="str">
        <f>"ACO Training"</f>
        <v>ACO Training</v>
      </c>
    </row>
    <row r="1611" spans="1:10" x14ac:dyDescent="0.3">
      <c r="A1611" t="str">
        <f>"TDOL&amp;R"</f>
        <v>TDOL&amp;R</v>
      </c>
      <c r="B1611" t="s">
        <v>538</v>
      </c>
      <c r="C1611">
        <v>74480</v>
      </c>
      <c r="D1611" s="2">
        <v>20</v>
      </c>
      <c r="E1611" s="1">
        <v>43096</v>
      </c>
      <c r="F1611" t="str">
        <f>"201712207449"</f>
        <v>201712207449</v>
      </c>
      <c r="G1611" t="str">
        <f>"CERTIFICATE OF COMPLIANCE"</f>
        <v>CERTIFICATE OF COMPLIANCE</v>
      </c>
      <c r="H1611" s="2">
        <v>20</v>
      </c>
      <c r="I1611" t="str">
        <f>"CERTIFICATE OF COMPLIANCE"</f>
        <v>CERTIFICATE OF COMPLIANCE</v>
      </c>
    </row>
    <row r="1612" spans="1:10" x14ac:dyDescent="0.3">
      <c r="A1612" t="str">
        <f>"001721"</f>
        <v>001721</v>
      </c>
      <c r="B1612" t="s">
        <v>539</v>
      </c>
      <c r="C1612">
        <v>74279</v>
      </c>
      <c r="D1612" s="2">
        <v>23</v>
      </c>
      <c r="E1612" s="1">
        <v>43080</v>
      </c>
      <c r="F1612" t="str">
        <f>"CRS-201710-132090"</f>
        <v>CRS-201710-132090</v>
      </c>
      <c r="G1612" t="str">
        <f>"RTI#800010/NAME SEARCH/OCT17"</f>
        <v>RTI#800010/NAME SEARCH/OCT17</v>
      </c>
      <c r="H1612" s="2">
        <v>23</v>
      </c>
      <c r="I1612" t="str">
        <f>"RTI#800010/NAME SEARCH/OCT17"</f>
        <v>RTI#800010/NAME SEARCH/OCT17</v>
      </c>
    </row>
    <row r="1613" spans="1:10" x14ac:dyDescent="0.3">
      <c r="A1613" t="str">
        <f>"002354"</f>
        <v>002354</v>
      </c>
      <c r="B1613" t="s">
        <v>539</v>
      </c>
      <c r="C1613">
        <v>74280</v>
      </c>
      <c r="D1613" s="2">
        <v>180</v>
      </c>
      <c r="E1613" s="1">
        <v>43080</v>
      </c>
      <c r="F1613" t="s">
        <v>198</v>
      </c>
      <c r="G1613" t="s">
        <v>540</v>
      </c>
      <c r="H1613" s="2" t="str">
        <f>"RESTITUTION-M. LUSE"</f>
        <v>RESTITUTION-M. LUSE</v>
      </c>
      <c r="I1613" t="str">
        <f>"210-0000"</f>
        <v>210-0000</v>
      </c>
      <c r="J1613">
        <v>180</v>
      </c>
    </row>
    <row r="1614" spans="1:10" x14ac:dyDescent="0.3">
      <c r="A1614" t="str">
        <f>"001721"</f>
        <v>001721</v>
      </c>
      <c r="B1614" t="s">
        <v>539</v>
      </c>
      <c r="C1614">
        <v>74481</v>
      </c>
      <c r="D1614" s="2">
        <v>18</v>
      </c>
      <c r="E1614" s="1">
        <v>43096</v>
      </c>
      <c r="F1614" t="str">
        <f>"CRS-201711-134140"</f>
        <v>CRS-201711-134140</v>
      </c>
      <c r="G1614" t="str">
        <f>"SECURE SITE CCH NAME SEARCH/HR"</f>
        <v>SECURE SITE CCH NAME SEARCH/HR</v>
      </c>
      <c r="H1614" s="2">
        <v>18</v>
      </c>
      <c r="I1614" t="str">
        <f>"SECURE SITE CCH NAME SEARCH/HR"</f>
        <v>SECURE SITE CCH NAME SEARCH/HR</v>
      </c>
    </row>
    <row r="1615" spans="1:10" x14ac:dyDescent="0.3">
      <c r="A1615" t="str">
        <f>"T11171"</f>
        <v>T11171</v>
      </c>
      <c r="B1615" t="s">
        <v>541</v>
      </c>
      <c r="C1615">
        <v>74482</v>
      </c>
      <c r="D1615" s="2">
        <v>50</v>
      </c>
      <c r="E1615" s="1">
        <v>43096</v>
      </c>
      <c r="F1615" t="str">
        <f>"201712157344"</f>
        <v>201712157344</v>
      </c>
      <c r="G1615" t="str">
        <f>"2018 MEMBERSHIP APP-S.LOUCKS"</f>
        <v>2018 MEMBERSHIP APP-S.LOUCKS</v>
      </c>
      <c r="H1615" s="2">
        <v>50</v>
      </c>
      <c r="I1615" t="str">
        <f>"2018 MEMBERSHIP APP-S.LOUCKS"</f>
        <v>2018 MEMBERSHIP APP-S.LOUCKS</v>
      </c>
    </row>
    <row r="1616" spans="1:10" x14ac:dyDescent="0.3">
      <c r="A1616" t="str">
        <f>"004861"</f>
        <v>004861</v>
      </c>
      <c r="B1616" t="s">
        <v>542</v>
      </c>
      <c r="C1616">
        <v>74483</v>
      </c>
      <c r="D1616" s="2">
        <v>5057.3599999999997</v>
      </c>
      <c r="E1616" s="1">
        <v>43096</v>
      </c>
      <c r="F1616" t="str">
        <f>"1045050-0001"</f>
        <v>1045050-0001</v>
      </c>
      <c r="G1616" t="str">
        <f>"CUST#1003592/PCT#1"</f>
        <v>CUST#1003592/PCT#1</v>
      </c>
      <c r="H1616" s="2">
        <v>5057.3599999999997</v>
      </c>
      <c r="I1616" t="str">
        <f>"CUST#1003592/PCT#1"</f>
        <v>CUST#1003592/PCT#1</v>
      </c>
    </row>
    <row r="1617" spans="1:9" x14ac:dyDescent="0.3">
      <c r="A1617" t="str">
        <f>"T6219"</f>
        <v>T6219</v>
      </c>
      <c r="B1617" t="s">
        <v>543</v>
      </c>
      <c r="C1617">
        <v>74484</v>
      </c>
      <c r="D1617" s="2">
        <v>200</v>
      </c>
      <c r="E1617" s="1">
        <v>43096</v>
      </c>
      <c r="F1617" t="str">
        <f>"S.JANUS TRAINING"</f>
        <v>S.JANUS TRAINING</v>
      </c>
      <c r="G1617" t="str">
        <f>"S. JANUS TRAINING 01/09"</f>
        <v>S. JANUS TRAINING 01/09</v>
      </c>
      <c r="H1617" s="2">
        <v>100</v>
      </c>
      <c r="I1617" t="str">
        <f>"S. JANUS TRAINING 01/09"</f>
        <v>S. JANUS TRAINING 01/09</v>
      </c>
    </row>
    <row r="1618" spans="1:9" x14ac:dyDescent="0.3">
      <c r="A1618" t="str">
        <f>""</f>
        <v/>
      </c>
      <c r="F1618" t="str">
        <f>"TRAINING-M.PANZINO"</f>
        <v>TRAINING-M.PANZINO</v>
      </c>
      <c r="G1618" t="str">
        <f>"TRAINING"</f>
        <v>TRAINING</v>
      </c>
      <c r="H1618" s="2">
        <v>100</v>
      </c>
      <c r="I1618" t="str">
        <f>"TRAINING"</f>
        <v>TRAINING</v>
      </c>
    </row>
    <row r="1619" spans="1:9" x14ac:dyDescent="0.3">
      <c r="A1619" t="str">
        <f>"T6071"</f>
        <v>T6071</v>
      </c>
      <c r="B1619" t="s">
        <v>544</v>
      </c>
      <c r="C1619">
        <v>74485</v>
      </c>
      <c r="D1619" s="2">
        <v>1945.7</v>
      </c>
      <c r="E1619" s="1">
        <v>43096</v>
      </c>
      <c r="F1619" t="str">
        <f>"201712207495"</f>
        <v>201712207495</v>
      </c>
      <c r="G1619" t="str">
        <f>"INDIGENT HEALTH"</f>
        <v>INDIGENT HEALTH</v>
      </c>
      <c r="H1619" s="2">
        <v>1945.7</v>
      </c>
      <c r="I1619" t="str">
        <f>"INDIGENT HEALTH"</f>
        <v>INDIGENT HEALTH</v>
      </c>
    </row>
    <row r="1620" spans="1:9" x14ac:dyDescent="0.3">
      <c r="A1620" t="str">
        <f>"T7170"</f>
        <v>T7170</v>
      </c>
      <c r="B1620" t="s">
        <v>545</v>
      </c>
      <c r="C1620">
        <v>74281</v>
      </c>
      <c r="D1620" s="2">
        <v>385.05</v>
      </c>
      <c r="E1620" s="1">
        <v>43080</v>
      </c>
      <c r="F1620" t="str">
        <f>"3CO-4097-17"</f>
        <v>3CO-4097-17</v>
      </c>
      <c r="G1620" t="str">
        <f>"A8243994 - A. THOMPSON"</f>
        <v>A8243994 - A. THOMPSON</v>
      </c>
      <c r="H1620" s="2">
        <v>382.5</v>
      </c>
      <c r="I1620" t="str">
        <f>"A8243994 - A. THOMPSON"</f>
        <v>A8243994 - A. THOMPSON</v>
      </c>
    </row>
    <row r="1621" spans="1:9" x14ac:dyDescent="0.3">
      <c r="A1621" t="str">
        <f>""</f>
        <v/>
      </c>
      <c r="F1621" t="str">
        <f>"3CO-4207-17"</f>
        <v>3CO-4207-17</v>
      </c>
      <c r="G1621" t="str">
        <f>"A8243995 - H.LACKEY"</f>
        <v>A8243995 - H.LACKEY</v>
      </c>
      <c r="H1621" s="2">
        <v>2.5499999999999998</v>
      </c>
      <c r="I1621" t="str">
        <f>"A8243995 - H.LACKEY"</f>
        <v>A8243995 - H.LACKEY</v>
      </c>
    </row>
    <row r="1622" spans="1:9" x14ac:dyDescent="0.3">
      <c r="A1622" t="str">
        <f>"003946"</f>
        <v>003946</v>
      </c>
      <c r="B1622" t="s">
        <v>546</v>
      </c>
      <c r="C1622">
        <v>74486</v>
      </c>
      <c r="D1622" s="2">
        <v>1000</v>
      </c>
      <c r="E1622" s="1">
        <v>43096</v>
      </c>
      <c r="F1622" t="str">
        <f>"201712197436"</f>
        <v>201712197436</v>
      </c>
      <c r="G1622" t="str">
        <f>"55 265 55 532 401267-10 02-040"</f>
        <v>55 265 55 532 401267-10 02-040</v>
      </c>
      <c r="H1622" s="2">
        <v>625</v>
      </c>
      <c r="I1622" t="str">
        <f>"55 265 55 532 401267-10 02-040"</f>
        <v>55 265 55 532 401267-10 02-040</v>
      </c>
    </row>
    <row r="1623" spans="1:9" x14ac:dyDescent="0.3">
      <c r="A1623" t="str">
        <f>""</f>
        <v/>
      </c>
      <c r="F1623" t="str">
        <f>"201712197437"</f>
        <v>201712197437</v>
      </c>
      <c r="G1623" t="str">
        <f>"54 929  54 930"</f>
        <v>54 929  54 930</v>
      </c>
      <c r="H1623" s="2">
        <v>375</v>
      </c>
      <c r="I1623" t="str">
        <f>"54 929  54 930"</f>
        <v>54 929  54 930</v>
      </c>
    </row>
    <row r="1624" spans="1:9" x14ac:dyDescent="0.3">
      <c r="A1624" t="str">
        <f>"004660"</f>
        <v>004660</v>
      </c>
      <c r="B1624" t="s">
        <v>547</v>
      </c>
      <c r="C1624">
        <v>74487</v>
      </c>
      <c r="D1624" s="2">
        <v>125</v>
      </c>
      <c r="E1624" s="1">
        <v>43096</v>
      </c>
      <c r="F1624" t="str">
        <f>"201712157330"</f>
        <v>201712157330</v>
      </c>
      <c r="G1624" t="str">
        <f>"2017 MEMBERSHIP/BASTROP CO ECO"</f>
        <v>2017 MEMBERSHIP/BASTROP CO ECO</v>
      </c>
      <c r="H1624" s="2">
        <v>125</v>
      </c>
      <c r="I1624" t="str">
        <f>"2017 MEMBERSHIP/BASTROP CO ECO"</f>
        <v>2017 MEMBERSHIP/BASTROP CO ECO</v>
      </c>
    </row>
    <row r="1625" spans="1:9" x14ac:dyDescent="0.3">
      <c r="A1625" t="str">
        <f>"002317"</f>
        <v>002317</v>
      </c>
      <c r="B1625" t="s">
        <v>548</v>
      </c>
      <c r="C1625">
        <v>999999</v>
      </c>
      <c r="D1625" s="2">
        <v>1625</v>
      </c>
      <c r="E1625" s="1">
        <v>43081</v>
      </c>
      <c r="F1625" t="str">
        <f>"201712016869"</f>
        <v>201712016869</v>
      </c>
      <c r="G1625" t="str">
        <f>"CH20160617A  CH20160617B"</f>
        <v>CH20160617A  CH20160617B</v>
      </c>
      <c r="H1625" s="2">
        <v>375</v>
      </c>
      <c r="I1625" t="str">
        <f>"CH20160617A  CH20160617B"</f>
        <v>CH20160617A  CH20160617B</v>
      </c>
    </row>
    <row r="1626" spans="1:9" x14ac:dyDescent="0.3">
      <c r="A1626" t="str">
        <f>""</f>
        <v/>
      </c>
      <c r="F1626" t="str">
        <f>"201712016870"</f>
        <v>201712016870</v>
      </c>
      <c r="G1626" t="str">
        <f>"55 469"</f>
        <v>55 469</v>
      </c>
      <c r="H1626" s="2">
        <v>250</v>
      </c>
      <c r="I1626" t="str">
        <f>"55 469"</f>
        <v>55 469</v>
      </c>
    </row>
    <row r="1627" spans="1:9" x14ac:dyDescent="0.3">
      <c r="A1627" t="str">
        <f>""</f>
        <v/>
      </c>
      <c r="F1627" t="str">
        <f>"201712016875"</f>
        <v>201712016875</v>
      </c>
      <c r="G1627" t="str">
        <f>"16 310"</f>
        <v>16 310</v>
      </c>
      <c r="H1627" s="2">
        <v>400</v>
      </c>
      <c r="I1627" t="str">
        <f>"16 310"</f>
        <v>16 310</v>
      </c>
    </row>
    <row r="1628" spans="1:9" x14ac:dyDescent="0.3">
      <c r="A1628" t="str">
        <f>""</f>
        <v/>
      </c>
      <c r="F1628" t="str">
        <f>"201712046919"</f>
        <v>201712046919</v>
      </c>
      <c r="G1628" t="str">
        <f>"17-18737"</f>
        <v>17-18737</v>
      </c>
      <c r="H1628" s="2">
        <v>250</v>
      </c>
      <c r="I1628" t="str">
        <f>"17-18737"</f>
        <v>17-18737</v>
      </c>
    </row>
    <row r="1629" spans="1:9" x14ac:dyDescent="0.3">
      <c r="A1629" t="str">
        <f>""</f>
        <v/>
      </c>
      <c r="F1629" t="str">
        <f>"201712046920"</f>
        <v>201712046920</v>
      </c>
      <c r="G1629" t="str">
        <f>"16-17977"</f>
        <v>16-17977</v>
      </c>
      <c r="H1629" s="2">
        <v>175</v>
      </c>
      <c r="I1629" t="str">
        <f>"16-17977"</f>
        <v>16-17977</v>
      </c>
    </row>
    <row r="1630" spans="1:9" x14ac:dyDescent="0.3">
      <c r="A1630" t="str">
        <f>""</f>
        <v/>
      </c>
      <c r="F1630" t="str">
        <f>"201712046921"</f>
        <v>201712046921</v>
      </c>
      <c r="G1630" t="str">
        <f>"17-18643"</f>
        <v>17-18643</v>
      </c>
      <c r="H1630" s="2">
        <v>175</v>
      </c>
      <c r="I1630" t="str">
        <f>"17-18643"</f>
        <v>17-18643</v>
      </c>
    </row>
    <row r="1631" spans="1:9" x14ac:dyDescent="0.3">
      <c r="A1631" t="str">
        <f>"002317"</f>
        <v>002317</v>
      </c>
      <c r="B1631" t="s">
        <v>548</v>
      </c>
      <c r="C1631">
        <v>999999</v>
      </c>
      <c r="D1631" s="2">
        <v>4075</v>
      </c>
      <c r="E1631" s="1">
        <v>43097</v>
      </c>
      <c r="F1631" t="str">
        <f>"201712127270"</f>
        <v>201712127270</v>
      </c>
      <c r="G1631" t="str">
        <f>"16 224"</f>
        <v>16 224</v>
      </c>
      <c r="H1631" s="2">
        <v>1000</v>
      </c>
      <c r="I1631" t="str">
        <f>"16 224"</f>
        <v>16 224</v>
      </c>
    </row>
    <row r="1632" spans="1:9" x14ac:dyDescent="0.3">
      <c r="A1632" t="str">
        <f>""</f>
        <v/>
      </c>
      <c r="F1632" t="str">
        <f>"201712147313"</f>
        <v>201712147313</v>
      </c>
      <c r="G1632" t="str">
        <f>"16 272  16 271  8 ADD'L CASES"</f>
        <v>16 272  16 271  8 ADD'L CASES</v>
      </c>
      <c r="H1632" s="2">
        <v>1000</v>
      </c>
      <c r="I1632" t="str">
        <f>"16 272  16 271  8 ADD'L CASES"</f>
        <v>16 272  16 271  8 ADD'L CASES</v>
      </c>
    </row>
    <row r="1633" spans="1:10" x14ac:dyDescent="0.3">
      <c r="A1633" t="str">
        <f>""</f>
        <v/>
      </c>
      <c r="F1633" t="str">
        <f>"201712147314"</f>
        <v>201712147314</v>
      </c>
      <c r="G1633" t="str">
        <f>"16 216"</f>
        <v>16 216</v>
      </c>
      <c r="H1633" s="2">
        <v>1000</v>
      </c>
      <c r="I1633" t="str">
        <f>"16 216"</f>
        <v>16 216</v>
      </c>
    </row>
    <row r="1634" spans="1:10" x14ac:dyDescent="0.3">
      <c r="A1634" t="str">
        <f>""</f>
        <v/>
      </c>
      <c r="F1634" t="str">
        <f>"201712147315"</f>
        <v>201712147315</v>
      </c>
      <c r="G1634" t="str">
        <f>"JP16-502095A/DCPC-11-010"</f>
        <v>JP16-502095A/DCPC-11-010</v>
      </c>
      <c r="H1634" s="2">
        <v>400</v>
      </c>
      <c r="I1634" t="str">
        <f>"JP16-502095A/DCPC-11-010"</f>
        <v>JP16-502095A/DCPC-11-010</v>
      </c>
    </row>
    <row r="1635" spans="1:10" x14ac:dyDescent="0.3">
      <c r="A1635" t="str">
        <f>""</f>
        <v/>
      </c>
      <c r="F1635" t="str">
        <f>"201712147316"</f>
        <v>201712147316</v>
      </c>
      <c r="G1635" t="str">
        <f>"310272017E"</f>
        <v>310272017E</v>
      </c>
      <c r="H1635" s="2">
        <v>400</v>
      </c>
      <c r="I1635" t="str">
        <f>"310272017E"</f>
        <v>310272017E</v>
      </c>
    </row>
    <row r="1636" spans="1:10" x14ac:dyDescent="0.3">
      <c r="A1636" t="str">
        <f>""</f>
        <v/>
      </c>
      <c r="F1636" t="str">
        <f>"201712197382"</f>
        <v>201712197382</v>
      </c>
      <c r="G1636" t="str">
        <f>"17-18175"</f>
        <v>17-18175</v>
      </c>
      <c r="H1636" s="2">
        <v>100</v>
      </c>
      <c r="I1636" t="str">
        <f>"17-18175"</f>
        <v>17-18175</v>
      </c>
    </row>
    <row r="1637" spans="1:10" x14ac:dyDescent="0.3">
      <c r="A1637" t="str">
        <f>""</f>
        <v/>
      </c>
      <c r="F1637" t="str">
        <f>"201712197383"</f>
        <v>201712197383</v>
      </c>
      <c r="G1637" t="str">
        <f>"17-18740"</f>
        <v>17-18740</v>
      </c>
      <c r="H1637" s="2">
        <v>175</v>
      </c>
      <c r="I1637" t="str">
        <f>"17-18740"</f>
        <v>17-18740</v>
      </c>
    </row>
    <row r="1638" spans="1:10" x14ac:dyDescent="0.3">
      <c r="A1638" t="str">
        <f>"T6860"</f>
        <v>T6860</v>
      </c>
      <c r="B1638" t="s">
        <v>549</v>
      </c>
      <c r="C1638">
        <v>999999</v>
      </c>
      <c r="D1638" s="2">
        <v>71</v>
      </c>
      <c r="E1638" s="1">
        <v>43081</v>
      </c>
      <c r="F1638" t="str">
        <f>"224127"</f>
        <v>224127</v>
      </c>
      <c r="G1638" t="str">
        <f>"ORD#1*166665/NOTARY BOND"</f>
        <v>ORD#1*166665/NOTARY BOND</v>
      </c>
      <c r="H1638" s="2">
        <v>71</v>
      </c>
      <c r="I1638" t="str">
        <f>"ORD#1*166665/NOTARY BOND"</f>
        <v>ORD#1*166665/NOTARY BOND</v>
      </c>
    </row>
    <row r="1639" spans="1:10" x14ac:dyDescent="0.3">
      <c r="A1639" t="str">
        <f>"003567"</f>
        <v>003567</v>
      </c>
      <c r="B1639" t="s">
        <v>550</v>
      </c>
      <c r="C1639">
        <v>74282</v>
      </c>
      <c r="D1639" s="2">
        <v>2880</v>
      </c>
      <c r="E1639" s="1">
        <v>43080</v>
      </c>
      <c r="F1639" t="str">
        <f>"2017-CONTRACT-1"</f>
        <v>2017-CONTRACT-1</v>
      </c>
      <c r="G1639" t="str">
        <f>"ACCT#10-4300-273048"</f>
        <v>ACCT#10-4300-273048</v>
      </c>
      <c r="H1639" s="2">
        <v>2880</v>
      </c>
      <c r="I1639" t="str">
        <f>"ACCT#10-4300-273048"</f>
        <v>ACCT#10-4300-273048</v>
      </c>
    </row>
    <row r="1640" spans="1:10" x14ac:dyDescent="0.3">
      <c r="A1640" t="str">
        <f>"TIME"</f>
        <v>TIME</v>
      </c>
      <c r="B1640" t="s">
        <v>551</v>
      </c>
      <c r="C1640">
        <v>74284</v>
      </c>
      <c r="D1640" s="2">
        <v>233.86</v>
      </c>
      <c r="E1640" s="1">
        <v>43080</v>
      </c>
      <c r="F1640" t="str">
        <f>"0139886112817"</f>
        <v>0139886112817</v>
      </c>
      <c r="G1640" t="str">
        <f>"ACCT#8260 16 111 0139886"</f>
        <v>ACCT#8260 16 111 0139886</v>
      </c>
      <c r="H1640" s="2">
        <v>233.86</v>
      </c>
      <c r="I1640" t="str">
        <f>"ACCT#8260 16 111 0139886"</f>
        <v>ACCT#8260 16 111 0139886</v>
      </c>
    </row>
    <row r="1641" spans="1:10" x14ac:dyDescent="0.3">
      <c r="A1641" t="str">
        <f>"T8636"</f>
        <v>T8636</v>
      </c>
      <c r="B1641" t="s">
        <v>552</v>
      </c>
      <c r="C1641">
        <v>74488</v>
      </c>
      <c r="D1641" s="2">
        <v>480</v>
      </c>
      <c r="E1641" s="1">
        <v>43096</v>
      </c>
      <c r="F1641" t="str">
        <f>"201712207442"</f>
        <v>201712207442</v>
      </c>
      <c r="G1641" t="str">
        <f>"TOWA CONFERENCE"</f>
        <v>TOWA CONFERENCE</v>
      </c>
      <c r="H1641" s="2">
        <v>480</v>
      </c>
      <c r="I1641" t="str">
        <f>"TOWA CONFERENCE"</f>
        <v>TOWA CONFERENCE</v>
      </c>
    </row>
    <row r="1642" spans="1:10" x14ac:dyDescent="0.3">
      <c r="A1642" t="str">
        <f>"T12691"</f>
        <v>T12691</v>
      </c>
      <c r="B1642" t="s">
        <v>553</v>
      </c>
      <c r="C1642">
        <v>74285</v>
      </c>
      <c r="D1642" s="2">
        <v>650</v>
      </c>
      <c r="E1642" s="1">
        <v>43080</v>
      </c>
      <c r="F1642" t="str">
        <f>"38648049"</f>
        <v>38648049</v>
      </c>
      <c r="G1642" t="str">
        <f>"CUST#2843373/GEN SVCS"</f>
        <v>CUST#2843373/GEN SVCS</v>
      </c>
      <c r="H1642" s="2">
        <v>650</v>
      </c>
      <c r="I1642" t="str">
        <f>"CUST#2843373/GEN SVCS"</f>
        <v>CUST#2843373/GEN SVCS</v>
      </c>
    </row>
    <row r="1643" spans="1:10" x14ac:dyDescent="0.3">
      <c r="A1643" t="str">
        <f>"002337"</f>
        <v>002337</v>
      </c>
      <c r="B1643" t="s">
        <v>554</v>
      </c>
      <c r="C1643">
        <v>74286</v>
      </c>
      <c r="D1643" s="2">
        <v>665</v>
      </c>
      <c r="E1643" s="1">
        <v>43080</v>
      </c>
      <c r="F1643" t="s">
        <v>56</v>
      </c>
      <c r="G1643" t="s">
        <v>57</v>
      </c>
      <c r="H1643" s="2" t="str">
        <f>"SERVICE"</f>
        <v>SERVICE</v>
      </c>
      <c r="I1643" t="str">
        <f>"995-4110"</f>
        <v>995-4110</v>
      </c>
      <c r="J1643">
        <v>450</v>
      </c>
    </row>
    <row r="1644" spans="1:10" x14ac:dyDescent="0.3">
      <c r="A1644" t="str">
        <f>""</f>
        <v/>
      </c>
      <c r="F1644" t="str">
        <f>"11777"</f>
        <v>11777</v>
      </c>
      <c r="G1644" t="str">
        <f>"SERVICE"</f>
        <v>SERVICE</v>
      </c>
      <c r="H1644" s="2">
        <v>215</v>
      </c>
      <c r="I1644" t="str">
        <f>"SERVICE"</f>
        <v>SERVICE</v>
      </c>
    </row>
    <row r="1645" spans="1:10" x14ac:dyDescent="0.3">
      <c r="A1645" t="str">
        <f>"005035"</f>
        <v>005035</v>
      </c>
      <c r="B1645" t="s">
        <v>555</v>
      </c>
      <c r="C1645">
        <v>74329</v>
      </c>
      <c r="D1645" s="2">
        <v>75</v>
      </c>
      <c r="E1645" s="1">
        <v>43088</v>
      </c>
      <c r="F1645" t="str">
        <f>"201712197363"</f>
        <v>201712197363</v>
      </c>
      <c r="G1645" t="str">
        <f>"SERVICE CITATION #11 299"</f>
        <v>SERVICE CITATION #11 299</v>
      </c>
      <c r="H1645" s="2">
        <v>75</v>
      </c>
      <c r="I1645" t="str">
        <f>"SERVICE CITATION #11 299"</f>
        <v>SERVICE CITATION #11 299</v>
      </c>
    </row>
    <row r="1646" spans="1:10" x14ac:dyDescent="0.3">
      <c r="A1646" t="str">
        <f>"TCC"</f>
        <v>TCC</v>
      </c>
      <c r="B1646" t="s">
        <v>556</v>
      </c>
      <c r="C1646">
        <v>74489</v>
      </c>
      <c r="D1646" s="2">
        <v>883</v>
      </c>
      <c r="E1646" s="1">
        <v>43096</v>
      </c>
      <c r="F1646" t="str">
        <f>"17-002178"</f>
        <v>17-002178</v>
      </c>
      <c r="G1646" t="str">
        <f>"CAUSE#C-1-MH-17-002178"</f>
        <v>CAUSE#C-1-MH-17-002178</v>
      </c>
      <c r="H1646" s="2">
        <v>454</v>
      </c>
      <c r="I1646" t="str">
        <f>"CAUSE#C-1-MH-17-002178"</f>
        <v>CAUSE#C-1-MH-17-002178</v>
      </c>
    </row>
    <row r="1647" spans="1:10" x14ac:dyDescent="0.3">
      <c r="A1647" t="str">
        <f>""</f>
        <v/>
      </c>
      <c r="F1647" t="str">
        <f>"17-002215"</f>
        <v>17-002215</v>
      </c>
      <c r="G1647" t="str">
        <f>"CAUSE#C-1-MH-17-002215"</f>
        <v>CAUSE#C-1-MH-17-002215</v>
      </c>
      <c r="H1647" s="2">
        <v>429</v>
      </c>
      <c r="I1647" t="str">
        <f>"CAUSE#C-1-MH-17-002215"</f>
        <v>CAUSE#C-1-MH-17-002215</v>
      </c>
    </row>
    <row r="1648" spans="1:10" x14ac:dyDescent="0.3">
      <c r="A1648" t="str">
        <f>"005136"</f>
        <v>005136</v>
      </c>
      <c r="B1648" t="s">
        <v>557</v>
      </c>
      <c r="C1648">
        <v>74287</v>
      </c>
      <c r="D1648" s="2">
        <v>2900</v>
      </c>
      <c r="E1648" s="1">
        <v>43080</v>
      </c>
      <c r="F1648" t="str">
        <f>"3300000888"</f>
        <v>3300000888</v>
      </c>
      <c r="G1648" t="str">
        <f>"CUST#100009/INV#3300000888"</f>
        <v>CUST#100009/INV#3300000888</v>
      </c>
      <c r="H1648" s="2">
        <v>2900</v>
      </c>
      <c r="I1648" t="str">
        <f>"CUST#100009/INV#3300000888"</f>
        <v>CUST#100009/INV#3300000888</v>
      </c>
    </row>
    <row r="1649" spans="1:9" x14ac:dyDescent="0.3">
      <c r="A1649" t="str">
        <f>"002944"</f>
        <v>002944</v>
      </c>
      <c r="B1649" t="s">
        <v>558</v>
      </c>
      <c r="C1649">
        <v>999999</v>
      </c>
      <c r="D1649" s="2">
        <v>1173.69</v>
      </c>
      <c r="E1649" s="1">
        <v>43081</v>
      </c>
      <c r="F1649" t="str">
        <f>"685270"</f>
        <v>685270</v>
      </c>
      <c r="G1649" t="str">
        <f>"INV 685270/UNIT0119"</f>
        <v>INV 685270/UNIT0119</v>
      </c>
      <c r="H1649" s="2">
        <v>130.41</v>
      </c>
      <c r="I1649" t="str">
        <f>"INV 685270/UNIT"</f>
        <v>INV 685270/UNIT</v>
      </c>
    </row>
    <row r="1650" spans="1:9" x14ac:dyDescent="0.3">
      <c r="A1650" t="str">
        <f>""</f>
        <v/>
      </c>
      <c r="F1650" t="str">
        <f>"685271"</f>
        <v>685271</v>
      </c>
      <c r="G1650" t="str">
        <f>"INV 685271 / UNIT 1627"</f>
        <v>INV 685271 / UNIT 1627</v>
      </c>
      <c r="H1650" s="2">
        <v>260.82</v>
      </c>
      <c r="I1650" t="str">
        <f>"INV 685271"</f>
        <v>INV 685271</v>
      </c>
    </row>
    <row r="1651" spans="1:9" x14ac:dyDescent="0.3">
      <c r="A1651" t="str">
        <f>""</f>
        <v/>
      </c>
      <c r="F1651" t="str">
        <f>"685273"</f>
        <v>685273</v>
      </c>
      <c r="G1651" t="str">
        <f>"INV 685273/UNIT 6502"</f>
        <v>INV 685273/UNIT 6502</v>
      </c>
      <c r="H1651" s="2">
        <v>130.41</v>
      </c>
      <c r="I1651" t="str">
        <f>"INV 685273/UNIT 6502"</f>
        <v>INV 685273/UNIT 6502</v>
      </c>
    </row>
    <row r="1652" spans="1:9" x14ac:dyDescent="0.3">
      <c r="A1652" t="str">
        <f>""</f>
        <v/>
      </c>
      <c r="F1652" t="str">
        <f>"685274"</f>
        <v>685274</v>
      </c>
      <c r="G1652" t="str">
        <f>"INV 685274/UNIT 6539"</f>
        <v>INV 685274/UNIT 6539</v>
      </c>
      <c r="H1652" s="2">
        <v>130.41</v>
      </c>
      <c r="I1652" t="str">
        <f>"INV 685274/UNIT 6539"</f>
        <v>INV 685274/UNIT 6539</v>
      </c>
    </row>
    <row r="1653" spans="1:9" x14ac:dyDescent="0.3">
      <c r="A1653" t="str">
        <f>""</f>
        <v/>
      </c>
      <c r="F1653" t="str">
        <f>"686000"</f>
        <v>686000</v>
      </c>
      <c r="G1653" t="str">
        <f>"INV 686000 /UNIT 4717"</f>
        <v>INV 686000 /UNIT 4717</v>
      </c>
      <c r="H1653" s="2">
        <v>260.82</v>
      </c>
      <c r="I1653" t="str">
        <f>"INV 686000/UNIT 4717"</f>
        <v>INV 686000/UNIT 4717</v>
      </c>
    </row>
    <row r="1654" spans="1:9" x14ac:dyDescent="0.3">
      <c r="A1654" t="str">
        <f>""</f>
        <v/>
      </c>
      <c r="F1654" t="str">
        <f>"686542"</f>
        <v>686542</v>
      </c>
      <c r="G1654" t="str">
        <f>"INV 686542/UNIT 1665"</f>
        <v>INV 686542/UNIT 1665</v>
      </c>
      <c r="H1654" s="2">
        <v>130.41</v>
      </c>
      <c r="I1654" t="str">
        <f>"INV 686542/UNIT 1665"</f>
        <v>INV 686542/UNIT 1665</v>
      </c>
    </row>
    <row r="1655" spans="1:9" x14ac:dyDescent="0.3">
      <c r="A1655" t="str">
        <f>""</f>
        <v/>
      </c>
      <c r="F1655" t="str">
        <f>"TIRE INVOICES"</f>
        <v>TIRE INVOICES</v>
      </c>
      <c r="G1655" t="str">
        <f>"INV 685272/UNIT 0123"</f>
        <v>INV 685272/UNIT 0123</v>
      </c>
      <c r="H1655" s="2">
        <v>130.41</v>
      </c>
      <c r="I1655" t="str">
        <f>"INV"</f>
        <v>INV</v>
      </c>
    </row>
    <row r="1656" spans="1:9" x14ac:dyDescent="0.3">
      <c r="A1656" t="str">
        <f>"002944"</f>
        <v>002944</v>
      </c>
      <c r="B1656" t="s">
        <v>558</v>
      </c>
      <c r="C1656">
        <v>999999</v>
      </c>
      <c r="D1656" s="2">
        <v>1173.69</v>
      </c>
      <c r="E1656" s="1">
        <v>43097</v>
      </c>
      <c r="F1656" t="str">
        <f>"687218"</f>
        <v>687218</v>
      </c>
      <c r="G1656" t="str">
        <f>"INV 687218/UNIT 4719"</f>
        <v>INV 687218/UNIT 4719</v>
      </c>
      <c r="H1656" s="2">
        <v>521.64</v>
      </c>
      <c r="I1656" t="str">
        <f>"INV 687218/UNIT 4719"</f>
        <v>INV 687218/UNIT 4719</v>
      </c>
    </row>
    <row r="1657" spans="1:9" x14ac:dyDescent="0.3">
      <c r="A1657" t="str">
        <f>""</f>
        <v/>
      </c>
      <c r="F1657" t="str">
        <f>"687983"</f>
        <v>687983</v>
      </c>
      <c r="G1657" t="str">
        <f>"INV 687983/UNIT 4718"</f>
        <v>INV 687983/UNIT 4718</v>
      </c>
      <c r="H1657" s="2">
        <v>521.64</v>
      </c>
      <c r="I1657" t="str">
        <f>"INV 687983/UNIT 4718"</f>
        <v>INV 687983/UNIT 4718</v>
      </c>
    </row>
    <row r="1658" spans="1:9" x14ac:dyDescent="0.3">
      <c r="A1658" t="str">
        <f>""</f>
        <v/>
      </c>
      <c r="F1658" t="str">
        <f>"687984"</f>
        <v>687984</v>
      </c>
      <c r="G1658" t="str">
        <f>"INV 687984/UNIT 6557"</f>
        <v>INV 687984/UNIT 6557</v>
      </c>
      <c r="H1658" s="2">
        <v>130.41</v>
      </c>
      <c r="I1658" t="str">
        <f>"INV 687984/UNIT 6557"</f>
        <v>INV 687984/UNIT 6557</v>
      </c>
    </row>
    <row r="1659" spans="1:9" x14ac:dyDescent="0.3">
      <c r="A1659" t="str">
        <f>"003883"</f>
        <v>003883</v>
      </c>
      <c r="B1659" t="s">
        <v>559</v>
      </c>
      <c r="C1659">
        <v>74288</v>
      </c>
      <c r="D1659" s="2">
        <v>95</v>
      </c>
      <c r="E1659" s="1">
        <v>43080</v>
      </c>
      <c r="F1659" t="str">
        <f>"201712047025"</f>
        <v>201712047025</v>
      </c>
      <c r="G1659" t="str">
        <f>"FERAL HOGS"</f>
        <v>FERAL HOGS</v>
      </c>
      <c r="H1659" s="2">
        <v>95</v>
      </c>
      <c r="I1659" t="str">
        <f>"FERAL HOGS"</f>
        <v>FERAL HOGS</v>
      </c>
    </row>
    <row r="1660" spans="1:9" x14ac:dyDescent="0.3">
      <c r="A1660" t="str">
        <f>"TRIPLE"</f>
        <v>TRIPLE</v>
      </c>
      <c r="B1660" t="s">
        <v>560</v>
      </c>
      <c r="C1660">
        <v>999999</v>
      </c>
      <c r="D1660" s="2">
        <v>9936.6</v>
      </c>
      <c r="E1660" s="1">
        <v>43081</v>
      </c>
      <c r="F1660" t="str">
        <f>"0013272-IN"</f>
        <v>0013272-IN</v>
      </c>
      <c r="G1660" t="str">
        <f>"CUST#0009084/PCT#1"</f>
        <v>CUST#0009084/PCT#1</v>
      </c>
      <c r="H1660" s="2">
        <v>4573.97</v>
      </c>
      <c r="I1660" t="str">
        <f>"CUST#0009084/PCT#1"</f>
        <v>CUST#0009084/PCT#1</v>
      </c>
    </row>
    <row r="1661" spans="1:9" x14ac:dyDescent="0.3">
      <c r="A1661" t="str">
        <f>""</f>
        <v/>
      </c>
      <c r="F1661" t="str">
        <f>"0013279-IN"</f>
        <v>0013279-IN</v>
      </c>
      <c r="G1661" t="str">
        <f>"CUST#0009087/PCT#4"</f>
        <v>CUST#0009087/PCT#4</v>
      </c>
      <c r="H1661" s="2">
        <v>5362.63</v>
      </c>
      <c r="I1661" t="str">
        <f>"CUST#0009087/PCT#4"</f>
        <v>CUST#0009087/PCT#4</v>
      </c>
    </row>
    <row r="1662" spans="1:9" x14ac:dyDescent="0.3">
      <c r="A1662" t="str">
        <f>"TRACTO"</f>
        <v>TRACTO</v>
      </c>
      <c r="B1662" t="s">
        <v>561</v>
      </c>
      <c r="C1662">
        <v>74289</v>
      </c>
      <c r="D1662" s="2">
        <v>2355.63</v>
      </c>
      <c r="E1662" s="1">
        <v>43080</v>
      </c>
      <c r="F1662" t="str">
        <f>"ACCT#6035301201609"</f>
        <v>ACCT#6035301201609</v>
      </c>
      <c r="G1662" t="str">
        <f>"Acct# 603530120160982"</f>
        <v>Acct# 603530120160982</v>
      </c>
      <c r="H1662" s="2">
        <v>2355.63</v>
      </c>
      <c r="I1662" t="str">
        <f>"Inv# 300416935"</f>
        <v>Inv# 300416935</v>
      </c>
    </row>
    <row r="1663" spans="1:9" x14ac:dyDescent="0.3">
      <c r="A1663" t="str">
        <f>""</f>
        <v/>
      </c>
      <c r="F1663" t="str">
        <f>""</f>
        <v/>
      </c>
      <c r="G1663" t="str">
        <f>""</f>
        <v/>
      </c>
      <c r="I1663" t="str">
        <f>"Inv# 300416492"</f>
        <v>Inv# 300416492</v>
      </c>
    </row>
    <row r="1664" spans="1:9" x14ac:dyDescent="0.3">
      <c r="A1664" t="str">
        <f>""</f>
        <v/>
      </c>
      <c r="F1664" t="str">
        <f>""</f>
        <v/>
      </c>
      <c r="G1664" t="str">
        <f>""</f>
        <v/>
      </c>
      <c r="I1664" t="str">
        <f>"Inv# 200453742"</f>
        <v>Inv# 200453742</v>
      </c>
    </row>
    <row r="1665" spans="1:9" x14ac:dyDescent="0.3">
      <c r="A1665" t="str">
        <f>""</f>
        <v/>
      </c>
      <c r="F1665" t="str">
        <f>""</f>
        <v/>
      </c>
      <c r="G1665" t="str">
        <f>""</f>
        <v/>
      </c>
      <c r="I1665" t="str">
        <f>"Inv# 300416812"</f>
        <v>Inv# 300416812</v>
      </c>
    </row>
    <row r="1666" spans="1:9" x14ac:dyDescent="0.3">
      <c r="A1666" t="str">
        <f>""</f>
        <v/>
      </c>
      <c r="F1666" t="str">
        <f>""</f>
        <v/>
      </c>
      <c r="G1666" t="str">
        <f>""</f>
        <v/>
      </c>
      <c r="I1666" t="str">
        <f>"Inv# 200449595"</f>
        <v>Inv# 200449595</v>
      </c>
    </row>
    <row r="1667" spans="1:9" x14ac:dyDescent="0.3">
      <c r="A1667" t="str">
        <f>""</f>
        <v/>
      </c>
      <c r="F1667" t="str">
        <f>""</f>
        <v/>
      </c>
      <c r="G1667" t="str">
        <f>""</f>
        <v/>
      </c>
      <c r="I1667" t="str">
        <f>"Inv# 300412006"</f>
        <v>Inv# 300412006</v>
      </c>
    </row>
    <row r="1668" spans="1:9" x14ac:dyDescent="0.3">
      <c r="A1668" t="str">
        <f>""</f>
        <v/>
      </c>
      <c r="F1668" t="str">
        <f>""</f>
        <v/>
      </c>
      <c r="G1668" t="str">
        <f>""</f>
        <v/>
      </c>
      <c r="I1668" t="str">
        <f>"Inv# 300416812"</f>
        <v>Inv# 300416812</v>
      </c>
    </row>
    <row r="1669" spans="1:9" x14ac:dyDescent="0.3">
      <c r="A1669" t="str">
        <f>""</f>
        <v/>
      </c>
      <c r="F1669" t="str">
        <f>""</f>
        <v/>
      </c>
      <c r="G1669" t="str">
        <f>""</f>
        <v/>
      </c>
      <c r="I1669" t="str">
        <f>"Inv# 200449361"</f>
        <v>Inv# 200449361</v>
      </c>
    </row>
    <row r="1670" spans="1:9" x14ac:dyDescent="0.3">
      <c r="A1670" t="str">
        <f>""</f>
        <v/>
      </c>
      <c r="F1670" t="str">
        <f>""</f>
        <v/>
      </c>
      <c r="G1670" t="str">
        <f>""</f>
        <v/>
      </c>
      <c r="I1670" t="str">
        <f>"Inv# 300416812"</f>
        <v>Inv# 300416812</v>
      </c>
    </row>
    <row r="1671" spans="1:9" x14ac:dyDescent="0.3">
      <c r="A1671" t="str">
        <f>""</f>
        <v/>
      </c>
      <c r="F1671" t="str">
        <f>""</f>
        <v/>
      </c>
      <c r="G1671" t="str">
        <f>""</f>
        <v/>
      </c>
      <c r="I1671" t="str">
        <f>"Inv# 300415231"</f>
        <v>Inv# 300415231</v>
      </c>
    </row>
    <row r="1672" spans="1:9" x14ac:dyDescent="0.3">
      <c r="A1672" t="str">
        <f>""</f>
        <v/>
      </c>
      <c r="F1672" t="str">
        <f>""</f>
        <v/>
      </c>
      <c r="G1672" t="str">
        <f>""</f>
        <v/>
      </c>
      <c r="I1672" t="str">
        <f>"Inv# 100539772"</f>
        <v>Inv# 100539772</v>
      </c>
    </row>
    <row r="1673" spans="1:9" x14ac:dyDescent="0.3">
      <c r="A1673" t="str">
        <f>""</f>
        <v/>
      </c>
      <c r="F1673" t="str">
        <f>""</f>
        <v/>
      </c>
      <c r="G1673" t="str">
        <f>""</f>
        <v/>
      </c>
      <c r="I1673" t="str">
        <f>"Inv# 300416945"</f>
        <v>Inv# 300416945</v>
      </c>
    </row>
    <row r="1674" spans="1:9" x14ac:dyDescent="0.3">
      <c r="A1674" t="str">
        <f>""</f>
        <v/>
      </c>
      <c r="F1674" t="str">
        <f>""</f>
        <v/>
      </c>
      <c r="G1674" t="str">
        <f>""</f>
        <v/>
      </c>
      <c r="I1674" t="str">
        <f>"Inv# 30416960"</f>
        <v>Inv# 30416960</v>
      </c>
    </row>
    <row r="1675" spans="1:9" x14ac:dyDescent="0.3">
      <c r="A1675" t="str">
        <f>""</f>
        <v/>
      </c>
      <c r="F1675" t="str">
        <f>""</f>
        <v/>
      </c>
      <c r="G1675" t="str">
        <f>""</f>
        <v/>
      </c>
      <c r="I1675" t="str">
        <f>"Inv# 200451167"</f>
        <v>Inv# 200451167</v>
      </c>
    </row>
    <row r="1676" spans="1:9" x14ac:dyDescent="0.3">
      <c r="A1676" t="str">
        <f>""</f>
        <v/>
      </c>
      <c r="F1676" t="str">
        <f>""</f>
        <v/>
      </c>
      <c r="G1676" t="str">
        <f>""</f>
        <v/>
      </c>
      <c r="I1676" t="str">
        <f>"Inv# 300415229"</f>
        <v>Inv# 300415229</v>
      </c>
    </row>
    <row r="1677" spans="1:9" x14ac:dyDescent="0.3">
      <c r="A1677" t="str">
        <f>""</f>
        <v/>
      </c>
      <c r="F1677" t="str">
        <f>""</f>
        <v/>
      </c>
      <c r="G1677" t="str">
        <f>""</f>
        <v/>
      </c>
      <c r="I1677" t="str">
        <f>"Inv# 300411352"</f>
        <v>Inv# 300411352</v>
      </c>
    </row>
    <row r="1678" spans="1:9" x14ac:dyDescent="0.3">
      <c r="A1678" t="str">
        <f>""</f>
        <v/>
      </c>
      <c r="F1678" t="str">
        <f>""</f>
        <v/>
      </c>
      <c r="G1678" t="str">
        <f>""</f>
        <v/>
      </c>
      <c r="I1678" t="str">
        <f>"Inv# 300416239"</f>
        <v>Inv# 300416239</v>
      </c>
    </row>
    <row r="1679" spans="1:9" x14ac:dyDescent="0.3">
      <c r="A1679" t="str">
        <f>""</f>
        <v/>
      </c>
      <c r="F1679" t="str">
        <f>""</f>
        <v/>
      </c>
      <c r="G1679" t="str">
        <f>""</f>
        <v/>
      </c>
      <c r="I1679" t="str">
        <f>"Inv# 100500822"</f>
        <v>Inv# 100500822</v>
      </c>
    </row>
    <row r="1680" spans="1:9" x14ac:dyDescent="0.3">
      <c r="A1680" t="str">
        <f>""</f>
        <v/>
      </c>
      <c r="F1680" t="str">
        <f>""</f>
        <v/>
      </c>
      <c r="G1680" t="str">
        <f>""</f>
        <v/>
      </c>
      <c r="I1680" t="str">
        <f>"Inv# 100500916"</f>
        <v>Inv# 100500916</v>
      </c>
    </row>
    <row r="1681" spans="1:9" x14ac:dyDescent="0.3">
      <c r="A1681" t="str">
        <f>""</f>
        <v/>
      </c>
      <c r="F1681" t="str">
        <f>""</f>
        <v/>
      </c>
      <c r="G1681" t="str">
        <f>""</f>
        <v/>
      </c>
      <c r="I1681" t="str">
        <f>"Inv# 200000809"</f>
        <v>Inv# 200000809</v>
      </c>
    </row>
    <row r="1682" spans="1:9" x14ac:dyDescent="0.3">
      <c r="A1682" t="str">
        <f>""</f>
        <v/>
      </c>
      <c r="F1682" t="str">
        <f>""</f>
        <v/>
      </c>
      <c r="G1682" t="str">
        <f>""</f>
        <v/>
      </c>
      <c r="I1682" t="str">
        <f>"Inv# 200427710"</f>
        <v>Inv# 200427710</v>
      </c>
    </row>
    <row r="1683" spans="1:9" x14ac:dyDescent="0.3">
      <c r="A1683" t="str">
        <f>""</f>
        <v/>
      </c>
      <c r="F1683" t="str">
        <f>""</f>
        <v/>
      </c>
      <c r="G1683" t="str">
        <f>""</f>
        <v/>
      </c>
      <c r="I1683" t="str">
        <f>"Inv# 300414782"</f>
        <v>Inv# 300414782</v>
      </c>
    </row>
    <row r="1684" spans="1:9" x14ac:dyDescent="0.3">
      <c r="A1684" t="str">
        <f>""</f>
        <v/>
      </c>
      <c r="F1684" t="str">
        <f>""</f>
        <v/>
      </c>
      <c r="G1684" t="str">
        <f>""</f>
        <v/>
      </c>
      <c r="I1684" t="str">
        <f>"Inv# 300414606"</f>
        <v>Inv# 300414606</v>
      </c>
    </row>
    <row r="1685" spans="1:9" x14ac:dyDescent="0.3">
      <c r="A1685" t="str">
        <f>"002940"</f>
        <v>002940</v>
      </c>
      <c r="B1685" t="s">
        <v>562</v>
      </c>
      <c r="C1685">
        <v>74290</v>
      </c>
      <c r="D1685" s="2">
        <v>507</v>
      </c>
      <c r="E1685" s="1">
        <v>43080</v>
      </c>
      <c r="F1685" t="str">
        <f>"4722"</f>
        <v>4722</v>
      </c>
      <c r="G1685" t="str">
        <f>"2018 MEMBERSHIP-A. LEWIS"</f>
        <v>2018 MEMBERSHIP-A. LEWIS</v>
      </c>
      <c r="H1685" s="2">
        <v>507</v>
      </c>
      <c r="I1685" t="str">
        <f>"2018 MEMBERSHIP-A. LEWIS"</f>
        <v>2018 MEMBERSHIP-A. LEWIS</v>
      </c>
    </row>
    <row r="1686" spans="1:9" x14ac:dyDescent="0.3">
      <c r="A1686" t="str">
        <f>"000723"</f>
        <v>000723</v>
      </c>
      <c r="B1686" t="s">
        <v>563</v>
      </c>
      <c r="C1686">
        <v>74291</v>
      </c>
      <c r="D1686" s="2">
        <v>800</v>
      </c>
      <c r="E1686" s="1">
        <v>43080</v>
      </c>
      <c r="F1686" t="str">
        <f>"TRAINING"</f>
        <v>TRAINING</v>
      </c>
      <c r="G1686" t="str">
        <f>"Heather Goss &amp; Vickie Fry"</f>
        <v>Heather Goss &amp; Vickie Fry</v>
      </c>
      <c r="H1686" s="2">
        <v>800</v>
      </c>
      <c r="I1686" t="str">
        <f>"Payment"</f>
        <v>Payment</v>
      </c>
    </row>
    <row r="1687" spans="1:9" x14ac:dyDescent="0.3">
      <c r="A1687" t="str">
        <f>"TWC"</f>
        <v>TWC</v>
      </c>
      <c r="B1687" t="s">
        <v>564</v>
      </c>
      <c r="C1687">
        <v>74292</v>
      </c>
      <c r="D1687" s="2">
        <v>222</v>
      </c>
      <c r="E1687" s="1">
        <v>43080</v>
      </c>
      <c r="F1687" t="str">
        <f>"201711306862"</f>
        <v>201711306862</v>
      </c>
      <c r="G1687" t="str">
        <f>"TCEQ DR LICENSE/ENVIR &amp; SANIT"</f>
        <v>TCEQ DR LICENSE/ENVIR &amp; SANIT</v>
      </c>
      <c r="H1687" s="2">
        <v>222</v>
      </c>
      <c r="I1687" t="str">
        <f>"TCEQ DR LICENSE/ENVIR &amp; SANIT"</f>
        <v>TCEQ DR LICENSE/ENVIR &amp; SANIT</v>
      </c>
    </row>
    <row r="1688" spans="1:9" x14ac:dyDescent="0.3">
      <c r="A1688" t="str">
        <f>"TXTAG"</f>
        <v>TXTAG</v>
      </c>
      <c r="B1688" t="s">
        <v>565</v>
      </c>
      <c r="C1688">
        <v>74293</v>
      </c>
      <c r="D1688" s="2">
        <v>335.11</v>
      </c>
      <c r="E1688" s="1">
        <v>43080</v>
      </c>
      <c r="F1688" t="str">
        <f>"ACCT#349887291"</f>
        <v>ACCT#349887291</v>
      </c>
      <c r="G1688" t="str">
        <f>"ACCT# 349887291"</f>
        <v>ACCT# 349887291</v>
      </c>
      <c r="H1688" s="2">
        <v>313.11</v>
      </c>
      <c r="I1688" t="str">
        <f>"payment"</f>
        <v>payment</v>
      </c>
    </row>
    <row r="1689" spans="1:9" x14ac:dyDescent="0.3">
      <c r="A1689" t="str">
        <f>""</f>
        <v/>
      </c>
      <c r="F1689" t="str">
        <f>"STI697"</f>
        <v>STI697</v>
      </c>
      <c r="G1689" t="str">
        <f>"Reference ID: STI697"</f>
        <v>Reference ID: STI697</v>
      </c>
      <c r="H1689" s="2">
        <v>22</v>
      </c>
      <c r="I1689" t="str">
        <f>"Reference ID: STI697"</f>
        <v>Reference ID: STI697</v>
      </c>
    </row>
    <row r="1690" spans="1:9" x14ac:dyDescent="0.3">
      <c r="A1690" t="str">
        <f>"001513"</f>
        <v>001513</v>
      </c>
      <c r="B1690" t="s">
        <v>566</v>
      </c>
      <c r="C1690">
        <v>74294</v>
      </c>
      <c r="D1690" s="2">
        <v>11000</v>
      </c>
      <c r="E1690" s="1">
        <v>43080</v>
      </c>
      <c r="F1690" t="str">
        <f>"TRAINING &amp; SERVICE"</f>
        <v>TRAINING &amp; SERVICE</v>
      </c>
      <c r="G1690" t="str">
        <f>"Ticket Writing Software"</f>
        <v>Ticket Writing Software</v>
      </c>
      <c r="H1690" s="2">
        <v>11000</v>
      </c>
      <c r="I1690" t="str">
        <f>"Training&amp;Services"</f>
        <v>Training&amp;Services</v>
      </c>
    </row>
    <row r="1691" spans="1:9" x14ac:dyDescent="0.3">
      <c r="A1691" t="str">
        <f>"TYLER"</f>
        <v>TYLER</v>
      </c>
      <c r="B1691" t="s">
        <v>567</v>
      </c>
      <c r="C1691">
        <v>999999</v>
      </c>
      <c r="D1691" s="2">
        <v>35481.120000000003</v>
      </c>
      <c r="E1691" s="1">
        <v>43081</v>
      </c>
      <c r="F1691" t="str">
        <f>"020-15634"</f>
        <v>020-15634</v>
      </c>
      <c r="G1691" t="str">
        <f>"CUST#42161/ORD#6228"</f>
        <v>CUST#42161/ORD#6228</v>
      </c>
      <c r="H1691" s="2">
        <v>34940.370000000003</v>
      </c>
      <c r="I1691" t="str">
        <f>"CUST#42161/ORD#6228"</f>
        <v>CUST#42161/ORD#6228</v>
      </c>
    </row>
    <row r="1692" spans="1:9" x14ac:dyDescent="0.3">
      <c r="A1692" t="str">
        <f>""</f>
        <v/>
      </c>
      <c r="F1692" t="str">
        <f>"020-15635"</f>
        <v>020-15635</v>
      </c>
      <c r="G1692" t="str">
        <f>"CUST#42161/ORD#6229"</f>
        <v>CUST#42161/ORD#6229</v>
      </c>
      <c r="H1692" s="2">
        <v>540.75</v>
      </c>
      <c r="I1692" t="str">
        <f>"CUST#42161/ORD#6229"</f>
        <v>CUST#42161/ORD#6229</v>
      </c>
    </row>
    <row r="1693" spans="1:9" x14ac:dyDescent="0.3">
      <c r="A1693" t="str">
        <f>"000599"</f>
        <v>000599</v>
      </c>
      <c r="B1693" t="s">
        <v>568</v>
      </c>
      <c r="C1693">
        <v>74490</v>
      </c>
      <c r="D1693" s="2">
        <v>1428.76</v>
      </c>
      <c r="E1693" s="1">
        <v>43096</v>
      </c>
      <c r="F1693" t="str">
        <f>"92934323"</f>
        <v>92934323</v>
      </c>
      <c r="G1693" t="str">
        <f>"Supplies_Uline_HHW Center"</f>
        <v>Supplies_Uline_HHW Center</v>
      </c>
      <c r="H1693" s="2">
        <v>676.6</v>
      </c>
      <c r="I1693" t="str">
        <f>"Liners 42x42x72"</f>
        <v>Liners 42x42x72</v>
      </c>
    </row>
    <row r="1694" spans="1:9" x14ac:dyDescent="0.3">
      <c r="A1694" t="str">
        <f>""</f>
        <v/>
      </c>
      <c r="F1694" t="str">
        <f>""</f>
        <v/>
      </c>
      <c r="G1694" t="str">
        <f>""</f>
        <v/>
      </c>
      <c r="I1694" t="str">
        <f>"Boxes/lids  36x36x36"</f>
        <v>Boxes/lids  36x36x36</v>
      </c>
    </row>
    <row r="1695" spans="1:9" x14ac:dyDescent="0.3">
      <c r="A1695" t="str">
        <f>""</f>
        <v/>
      </c>
      <c r="F1695" t="str">
        <f>""</f>
        <v/>
      </c>
      <c r="G1695" t="str">
        <f>""</f>
        <v/>
      </c>
      <c r="I1695" t="str">
        <f>"Poly Aprons"</f>
        <v>Poly Aprons</v>
      </c>
    </row>
    <row r="1696" spans="1:9" x14ac:dyDescent="0.3">
      <c r="A1696" t="str">
        <f>""</f>
        <v/>
      </c>
      <c r="F1696" t="str">
        <f>""</f>
        <v/>
      </c>
      <c r="G1696" t="str">
        <f>""</f>
        <v/>
      </c>
      <c r="I1696" t="str">
        <f>"Chemical Aprons"</f>
        <v>Chemical Aprons</v>
      </c>
    </row>
    <row r="1697" spans="1:10" x14ac:dyDescent="0.3">
      <c r="A1697" t="str">
        <f>""</f>
        <v/>
      </c>
      <c r="F1697" t="str">
        <f>""</f>
        <v/>
      </c>
      <c r="G1697" t="str">
        <f>""</f>
        <v/>
      </c>
      <c r="I1697" t="str">
        <f>" Latex Gloves XL"</f>
        <v xml:space="preserve"> Latex Gloves XL</v>
      </c>
    </row>
    <row r="1698" spans="1:10" x14ac:dyDescent="0.3">
      <c r="A1698" t="str">
        <f>""</f>
        <v/>
      </c>
      <c r="F1698" t="str">
        <f>""</f>
        <v/>
      </c>
      <c r="G1698" t="str">
        <f>""</f>
        <v/>
      </c>
      <c r="I1698" t="str">
        <f>"Latex Gloves M"</f>
        <v>Latex Gloves M</v>
      </c>
    </row>
    <row r="1699" spans="1:10" x14ac:dyDescent="0.3">
      <c r="A1699" t="str">
        <f>""</f>
        <v/>
      </c>
      <c r="F1699" t="str">
        <f>""</f>
        <v/>
      </c>
      <c r="G1699" t="str">
        <f>""</f>
        <v/>
      </c>
      <c r="I1699" t="str">
        <f>"Shipping"</f>
        <v>Shipping</v>
      </c>
    </row>
    <row r="1700" spans="1:10" x14ac:dyDescent="0.3">
      <c r="A1700" t="str">
        <f>""</f>
        <v/>
      </c>
      <c r="F1700" t="str">
        <f>"92980422"</f>
        <v>92980422</v>
      </c>
      <c r="G1700" t="str">
        <f>"Uline Supplies - 597"</f>
        <v>Uline Supplies - 597</v>
      </c>
      <c r="H1700" s="2">
        <v>752.16</v>
      </c>
      <c r="I1700" t="str">
        <f>"H-6130"</f>
        <v>H-6130</v>
      </c>
    </row>
    <row r="1701" spans="1:10" x14ac:dyDescent="0.3">
      <c r="A1701" t="str">
        <f>""</f>
        <v/>
      </c>
      <c r="F1701" t="str">
        <f>""</f>
        <v/>
      </c>
      <c r="G1701" t="str">
        <f>""</f>
        <v/>
      </c>
      <c r="I1701" t="str">
        <f>"H-5101"</f>
        <v>H-5101</v>
      </c>
    </row>
    <row r="1702" spans="1:10" x14ac:dyDescent="0.3">
      <c r="A1702" t="str">
        <f>""</f>
        <v/>
      </c>
      <c r="F1702" t="str">
        <f>""</f>
        <v/>
      </c>
      <c r="G1702" t="str">
        <f>""</f>
        <v/>
      </c>
      <c r="I1702" t="str">
        <f>"Shipping"</f>
        <v>Shipping</v>
      </c>
    </row>
    <row r="1703" spans="1:10" x14ac:dyDescent="0.3">
      <c r="A1703" t="str">
        <f>"001326"</f>
        <v>001326</v>
      </c>
      <c r="B1703" t="s">
        <v>569</v>
      </c>
      <c r="C1703">
        <v>74295</v>
      </c>
      <c r="D1703" s="2">
        <v>20</v>
      </c>
      <c r="E1703" s="1">
        <v>43080</v>
      </c>
      <c r="F1703" t="str">
        <f>"00747"</f>
        <v>00747</v>
      </c>
      <c r="G1703" t="str">
        <f>"MEMBERSHIP RENEWAL"</f>
        <v>MEMBERSHIP RENEWAL</v>
      </c>
      <c r="H1703" s="2">
        <v>20</v>
      </c>
      <c r="I1703" t="str">
        <f>"MEMBERSHIP RENEWAL"</f>
        <v>MEMBERSHIP RENEWAL</v>
      </c>
    </row>
    <row r="1704" spans="1:10" x14ac:dyDescent="0.3">
      <c r="A1704" t="str">
        <f>"005324"</f>
        <v>005324</v>
      </c>
      <c r="B1704" t="s">
        <v>570</v>
      </c>
      <c r="C1704">
        <v>74296</v>
      </c>
      <c r="D1704" s="2">
        <v>5</v>
      </c>
      <c r="E1704" s="1">
        <v>43080</v>
      </c>
      <c r="F1704" t="str">
        <f>"201711286816"</f>
        <v>201711286816</v>
      </c>
      <c r="G1704" t="str">
        <f>"FERAL HOGS"</f>
        <v>FERAL HOGS</v>
      </c>
      <c r="H1704" s="2">
        <v>5</v>
      </c>
      <c r="I1704" t="str">
        <f>"FERAL HOGS"</f>
        <v>FERAL HOGS</v>
      </c>
    </row>
    <row r="1705" spans="1:10" x14ac:dyDescent="0.3">
      <c r="A1705" t="str">
        <f>"VMC"</f>
        <v>VMC</v>
      </c>
      <c r="B1705" t="s">
        <v>571</v>
      </c>
      <c r="C1705">
        <v>74491</v>
      </c>
      <c r="D1705" s="2">
        <v>1664.41</v>
      </c>
      <c r="E1705" s="1">
        <v>43096</v>
      </c>
      <c r="F1705" t="str">
        <f>"61667318"</f>
        <v>61667318</v>
      </c>
      <c r="G1705" t="str">
        <f>"CUST#90285-209209/PCT#1"</f>
        <v>CUST#90285-209209/PCT#1</v>
      </c>
      <c r="H1705" s="2">
        <v>1664.41</v>
      </c>
      <c r="I1705" t="str">
        <f>"CUST#90285-209209/PCT#1"</f>
        <v>CUST#90285-209209/PCT#1</v>
      </c>
    </row>
    <row r="1706" spans="1:10" x14ac:dyDescent="0.3">
      <c r="A1706" t="str">
        <f>"005015"</f>
        <v>005015</v>
      </c>
      <c r="B1706" t="s">
        <v>572</v>
      </c>
      <c r="C1706">
        <v>74297</v>
      </c>
      <c r="D1706" s="2">
        <v>50</v>
      </c>
      <c r="E1706" s="1">
        <v>43080</v>
      </c>
      <c r="F1706" t="str">
        <f>"201711286818"</f>
        <v>201711286818</v>
      </c>
      <c r="G1706" t="str">
        <f>"FERAL HOGS"</f>
        <v>FERAL HOGS</v>
      </c>
      <c r="H1706" s="2">
        <v>40</v>
      </c>
      <c r="I1706" t="str">
        <f>"FERAL HOGS"</f>
        <v>FERAL HOGS</v>
      </c>
    </row>
    <row r="1707" spans="1:10" x14ac:dyDescent="0.3">
      <c r="A1707" t="str">
        <f>""</f>
        <v/>
      </c>
      <c r="F1707" t="str">
        <f>"201711286819"</f>
        <v>201711286819</v>
      </c>
      <c r="G1707" t="str">
        <f>"FERAL HOGS"</f>
        <v>FERAL HOGS</v>
      </c>
      <c r="H1707" s="2">
        <v>10</v>
      </c>
      <c r="I1707" t="str">
        <f>"FERAL HOGS"</f>
        <v>FERAL HOGS</v>
      </c>
    </row>
    <row r="1708" spans="1:10" x14ac:dyDescent="0.3">
      <c r="A1708" t="str">
        <f>"004767"</f>
        <v>004767</v>
      </c>
      <c r="B1708" t="s">
        <v>573</v>
      </c>
      <c r="C1708">
        <v>74298</v>
      </c>
      <c r="D1708" s="2">
        <v>65.75</v>
      </c>
      <c r="E1708" s="1">
        <v>43080</v>
      </c>
      <c r="F1708" t="str">
        <f>"1017-DR14926"</f>
        <v>1017-DR14926</v>
      </c>
      <c r="G1708" t="str">
        <f>"ID#CXD 14926/OCT'17/HR DEPT"</f>
        <v>ID#CXD 14926/OCT'17/HR DEPT</v>
      </c>
      <c r="H1708" s="2">
        <v>65.75</v>
      </c>
      <c r="I1708" t="str">
        <f>"ID#CXD 14926/OCT'17/HR DEPT"</f>
        <v>ID#CXD 14926/OCT'17/HR DEPT</v>
      </c>
    </row>
    <row r="1709" spans="1:10" x14ac:dyDescent="0.3">
      <c r="A1709" t="str">
        <f>"004767"</f>
        <v>004767</v>
      </c>
      <c r="B1709" t="s">
        <v>573</v>
      </c>
      <c r="C1709">
        <v>74492</v>
      </c>
      <c r="D1709" s="2">
        <v>157.15</v>
      </c>
      <c r="E1709" s="1">
        <v>43096</v>
      </c>
      <c r="F1709" t="str">
        <f>"1117-DR14926"</f>
        <v>1117-DR14926</v>
      </c>
      <c r="G1709" t="str">
        <f>"CLIENT#CXD 14926"</f>
        <v>CLIENT#CXD 14926</v>
      </c>
      <c r="H1709" s="2">
        <v>157.15</v>
      </c>
      <c r="I1709" t="str">
        <f>"CLIENT#CXD 14926"</f>
        <v>CLIENT#CXD 14926</v>
      </c>
    </row>
    <row r="1710" spans="1:10" x14ac:dyDescent="0.3">
      <c r="A1710" t="str">
        <f>"WMP"</f>
        <v>WMP</v>
      </c>
      <c r="B1710" t="s">
        <v>574</v>
      </c>
      <c r="C1710">
        <v>74299</v>
      </c>
      <c r="D1710" s="2">
        <v>68.88</v>
      </c>
      <c r="E1710" s="1">
        <v>43080</v>
      </c>
      <c r="F1710" t="s">
        <v>92</v>
      </c>
      <c r="G1710" t="s">
        <v>575</v>
      </c>
      <c r="H1710" s="2" t="str">
        <f>"RESTITUTION-R. WRIGHT"</f>
        <v>RESTITUTION-R. WRIGHT</v>
      </c>
      <c r="I1710" t="str">
        <f>"210-0000"</f>
        <v>210-0000</v>
      </c>
      <c r="J1710">
        <v>18.88</v>
      </c>
    </row>
    <row r="1711" spans="1:10" x14ac:dyDescent="0.3">
      <c r="A1711" t="str">
        <f>""</f>
        <v/>
      </c>
      <c r="F1711" t="s">
        <v>56</v>
      </c>
      <c r="G1711" t="s">
        <v>576</v>
      </c>
      <c r="H1711" s="2" t="str">
        <f>"RESTITUTION-A. VILLEGAS"</f>
        <v>RESTITUTION-A. VILLEGAS</v>
      </c>
      <c r="I1711" t="str">
        <f>"210-0000"</f>
        <v>210-0000</v>
      </c>
      <c r="J1711">
        <v>50</v>
      </c>
    </row>
    <row r="1712" spans="1:10" x14ac:dyDescent="0.3">
      <c r="A1712" t="str">
        <f>"003629"</f>
        <v>003629</v>
      </c>
      <c r="B1712" t="s">
        <v>577</v>
      </c>
      <c r="C1712">
        <v>999999</v>
      </c>
      <c r="D1712" s="2">
        <v>2637.58</v>
      </c>
      <c r="E1712" s="1">
        <v>43081</v>
      </c>
      <c r="F1712" t="str">
        <f>"13193"</f>
        <v>13193</v>
      </c>
      <c r="G1712" t="str">
        <f>"COLD MIX/PCT#1"</f>
        <v>COLD MIX/PCT#1</v>
      </c>
      <c r="H1712" s="2">
        <v>2637.58</v>
      </c>
      <c r="I1712" t="str">
        <f>"COLD MIX/PCT#1"</f>
        <v>COLD MIX/PCT#1</v>
      </c>
    </row>
    <row r="1713" spans="1:9" x14ac:dyDescent="0.3">
      <c r="A1713" t="str">
        <f>"003629"</f>
        <v>003629</v>
      </c>
      <c r="B1713" t="s">
        <v>577</v>
      </c>
      <c r="C1713">
        <v>999999</v>
      </c>
      <c r="D1713" s="2">
        <v>2551.23</v>
      </c>
      <c r="E1713" s="1">
        <v>43097</v>
      </c>
      <c r="F1713" t="str">
        <f>"13275"</f>
        <v>13275</v>
      </c>
      <c r="G1713" t="str">
        <f>"COLD MIX/PCT#4"</f>
        <v>COLD MIX/PCT#4</v>
      </c>
      <c r="H1713" s="2">
        <v>2551.23</v>
      </c>
      <c r="I1713" t="str">
        <f>"COLD MIX/PCT#4"</f>
        <v>COLD MIX/PCT#4</v>
      </c>
    </row>
    <row r="1714" spans="1:9" x14ac:dyDescent="0.3">
      <c r="A1714" t="str">
        <f>"WALMAR"</f>
        <v>WALMAR</v>
      </c>
      <c r="B1714" t="s">
        <v>578</v>
      </c>
      <c r="C1714">
        <v>74300</v>
      </c>
      <c r="D1714" s="2">
        <v>970.79</v>
      </c>
      <c r="E1714" s="1">
        <v>43080</v>
      </c>
      <c r="F1714" t="str">
        <f>"ACCT#6032202005312"</f>
        <v>ACCT#6032202005312</v>
      </c>
      <c r="G1714" t="str">
        <f>"Acct# 6032202005312476"</f>
        <v>Acct# 6032202005312476</v>
      </c>
      <c r="H1714" s="2">
        <v>970.79</v>
      </c>
      <c r="I1714" t="str">
        <f>"Inv# 006568"</f>
        <v>Inv# 006568</v>
      </c>
    </row>
    <row r="1715" spans="1:9" x14ac:dyDescent="0.3">
      <c r="A1715" t="str">
        <f>""</f>
        <v/>
      </c>
      <c r="F1715" t="str">
        <f>""</f>
        <v/>
      </c>
      <c r="G1715" t="str">
        <f>""</f>
        <v/>
      </c>
      <c r="I1715" t="str">
        <f>"Inv# 004606"</f>
        <v>Inv# 004606</v>
      </c>
    </row>
    <row r="1716" spans="1:9" x14ac:dyDescent="0.3">
      <c r="A1716" t="str">
        <f>""</f>
        <v/>
      </c>
      <c r="F1716" t="str">
        <f>""</f>
        <v/>
      </c>
      <c r="G1716" t="str">
        <f>""</f>
        <v/>
      </c>
      <c r="I1716" t="str">
        <f>"Inv# 007386"</f>
        <v>Inv# 007386</v>
      </c>
    </row>
    <row r="1717" spans="1:9" x14ac:dyDescent="0.3">
      <c r="A1717" t="str">
        <f>""</f>
        <v/>
      </c>
      <c r="F1717" t="str">
        <f>""</f>
        <v/>
      </c>
      <c r="G1717" t="str">
        <f>""</f>
        <v/>
      </c>
      <c r="I1717" t="str">
        <f>"Inv# 002613"</f>
        <v>Inv# 002613</v>
      </c>
    </row>
    <row r="1718" spans="1:9" x14ac:dyDescent="0.3">
      <c r="A1718" t="str">
        <f>""</f>
        <v/>
      </c>
      <c r="F1718" t="str">
        <f>""</f>
        <v/>
      </c>
      <c r="G1718" t="str">
        <f>""</f>
        <v/>
      </c>
      <c r="I1718" t="str">
        <f>"Inv# 002613"</f>
        <v>Inv# 002613</v>
      </c>
    </row>
    <row r="1719" spans="1:9" x14ac:dyDescent="0.3">
      <c r="A1719" t="str">
        <f>""</f>
        <v/>
      </c>
      <c r="F1719" t="str">
        <f>""</f>
        <v/>
      </c>
      <c r="G1719" t="str">
        <f>""</f>
        <v/>
      </c>
      <c r="I1719" t="str">
        <f>"Inv# 001871"</f>
        <v>Inv# 001871</v>
      </c>
    </row>
    <row r="1720" spans="1:9" x14ac:dyDescent="0.3">
      <c r="A1720" t="str">
        <f>""</f>
        <v/>
      </c>
      <c r="F1720" t="str">
        <f>""</f>
        <v/>
      </c>
      <c r="G1720" t="str">
        <f>""</f>
        <v/>
      </c>
      <c r="I1720" t="str">
        <f>"Inv# 004438"</f>
        <v>Inv# 004438</v>
      </c>
    </row>
    <row r="1721" spans="1:9" x14ac:dyDescent="0.3">
      <c r="A1721" t="str">
        <f>""</f>
        <v/>
      </c>
      <c r="F1721" t="str">
        <f>""</f>
        <v/>
      </c>
      <c r="G1721" t="str">
        <f>""</f>
        <v/>
      </c>
      <c r="I1721" t="str">
        <f>"Inv# 002639"</f>
        <v>Inv# 002639</v>
      </c>
    </row>
    <row r="1722" spans="1:9" x14ac:dyDescent="0.3">
      <c r="A1722" t="str">
        <f>""</f>
        <v/>
      </c>
      <c r="F1722" t="str">
        <f>""</f>
        <v/>
      </c>
      <c r="G1722" t="str">
        <f>""</f>
        <v/>
      </c>
      <c r="I1722" t="str">
        <f>"Inv# 002538"</f>
        <v>Inv# 002538</v>
      </c>
    </row>
    <row r="1723" spans="1:9" x14ac:dyDescent="0.3">
      <c r="A1723" t="str">
        <f>""</f>
        <v/>
      </c>
      <c r="F1723" t="str">
        <f>""</f>
        <v/>
      </c>
      <c r="G1723" t="str">
        <f>""</f>
        <v/>
      </c>
      <c r="I1723" t="str">
        <f>"Inv# 004606"</f>
        <v>Inv# 004606</v>
      </c>
    </row>
    <row r="1724" spans="1:9" x14ac:dyDescent="0.3">
      <c r="A1724" t="str">
        <f>""</f>
        <v/>
      </c>
      <c r="F1724" t="str">
        <f>""</f>
        <v/>
      </c>
      <c r="G1724" t="str">
        <f>""</f>
        <v/>
      </c>
      <c r="I1724" t="str">
        <f>"Inv# 009037"</f>
        <v>Inv# 009037</v>
      </c>
    </row>
    <row r="1725" spans="1:9" x14ac:dyDescent="0.3">
      <c r="A1725" t="str">
        <f>""</f>
        <v/>
      </c>
      <c r="F1725" t="str">
        <f>""</f>
        <v/>
      </c>
      <c r="G1725" t="str">
        <f>""</f>
        <v/>
      </c>
      <c r="I1725" t="str">
        <f>"Inv# 009976"</f>
        <v>Inv# 009976</v>
      </c>
    </row>
    <row r="1726" spans="1:9" x14ac:dyDescent="0.3">
      <c r="A1726" t="str">
        <f>""</f>
        <v/>
      </c>
      <c r="F1726" t="str">
        <f>""</f>
        <v/>
      </c>
      <c r="G1726" t="str">
        <f>""</f>
        <v/>
      </c>
      <c r="I1726" t="str">
        <f>"Inv# 000326"</f>
        <v>Inv# 000326</v>
      </c>
    </row>
    <row r="1727" spans="1:9" x14ac:dyDescent="0.3">
      <c r="A1727" t="str">
        <f>""</f>
        <v/>
      </c>
      <c r="F1727" t="str">
        <f>""</f>
        <v/>
      </c>
      <c r="G1727" t="str">
        <f>""</f>
        <v/>
      </c>
      <c r="I1727" t="str">
        <f>"Inv# 005064"</f>
        <v>Inv# 005064</v>
      </c>
    </row>
    <row r="1728" spans="1:9" x14ac:dyDescent="0.3">
      <c r="A1728" t="str">
        <f>""</f>
        <v/>
      </c>
      <c r="F1728" t="str">
        <f>""</f>
        <v/>
      </c>
      <c r="G1728" t="str">
        <f>""</f>
        <v/>
      </c>
      <c r="I1728" t="str">
        <f>"Inv# 009015"</f>
        <v>Inv# 009015</v>
      </c>
    </row>
    <row r="1729" spans="1:9" x14ac:dyDescent="0.3">
      <c r="A1729" t="str">
        <f>""</f>
        <v/>
      </c>
      <c r="F1729" t="str">
        <f>""</f>
        <v/>
      </c>
      <c r="G1729" t="str">
        <f>""</f>
        <v/>
      </c>
      <c r="I1729" t="str">
        <f>"Inv# 001872"</f>
        <v>Inv# 001872</v>
      </c>
    </row>
    <row r="1730" spans="1:9" x14ac:dyDescent="0.3">
      <c r="A1730" t="str">
        <f>""</f>
        <v/>
      </c>
      <c r="F1730" t="str">
        <f>""</f>
        <v/>
      </c>
      <c r="G1730" t="str">
        <f>""</f>
        <v/>
      </c>
      <c r="I1730" t="str">
        <f>"Inv# 002688"</f>
        <v>Inv# 002688</v>
      </c>
    </row>
    <row r="1731" spans="1:9" x14ac:dyDescent="0.3">
      <c r="A1731" t="str">
        <f>""</f>
        <v/>
      </c>
      <c r="F1731" t="str">
        <f>""</f>
        <v/>
      </c>
      <c r="G1731" t="str">
        <f>""</f>
        <v/>
      </c>
      <c r="I1731" t="str">
        <f>"Inv# 005338"</f>
        <v>Inv# 005338</v>
      </c>
    </row>
    <row r="1732" spans="1:9" x14ac:dyDescent="0.3">
      <c r="A1732" t="str">
        <f>"004310"</f>
        <v>004310</v>
      </c>
      <c r="B1732" t="s">
        <v>579</v>
      </c>
      <c r="C1732">
        <v>74493</v>
      </c>
      <c r="D1732" s="2">
        <v>95.62</v>
      </c>
      <c r="E1732" s="1">
        <v>43096</v>
      </c>
      <c r="F1732" t="str">
        <f>"0035432-2162-0"</f>
        <v>0035432-2162-0</v>
      </c>
      <c r="G1732" t="str">
        <f>"CUST#16-27603-83003/BCAS"</f>
        <v>CUST#16-27603-83003/BCAS</v>
      </c>
      <c r="H1732" s="2">
        <v>95.62</v>
      </c>
      <c r="I1732" t="str">
        <f>"CUST#16-27603-83003/BCAS"</f>
        <v>CUST#16-27603-83003/BCAS</v>
      </c>
    </row>
    <row r="1733" spans="1:9" x14ac:dyDescent="0.3">
      <c r="A1733" t="str">
        <f>"T13139"</f>
        <v>T13139</v>
      </c>
      <c r="B1733" t="s">
        <v>580</v>
      </c>
      <c r="C1733">
        <v>74494</v>
      </c>
      <c r="D1733" s="2">
        <v>6670</v>
      </c>
      <c r="E1733" s="1">
        <v>43096</v>
      </c>
      <c r="F1733" t="str">
        <f>"4REINV0006674"</f>
        <v>4REINV0006674</v>
      </c>
      <c r="G1733" t="str">
        <f>"Test and Installation"</f>
        <v>Test and Installation</v>
      </c>
      <c r="H1733" s="2">
        <v>6670</v>
      </c>
      <c r="I1733" t="str">
        <f>"VIS-EXT-WIF-BUN"</f>
        <v>VIS-EXT-WIF-BUN</v>
      </c>
    </row>
    <row r="1734" spans="1:9" x14ac:dyDescent="0.3">
      <c r="A1734" t="str">
        <f>""</f>
        <v/>
      </c>
      <c r="F1734" t="str">
        <f>""</f>
        <v/>
      </c>
      <c r="G1734" t="str">
        <f>""</f>
        <v/>
      </c>
      <c r="I1734" t="str">
        <f>"VIS-CHG-BS2-KIT"</f>
        <v>VIS-CHG-BS2-KIT</v>
      </c>
    </row>
    <row r="1735" spans="1:9" x14ac:dyDescent="0.3">
      <c r="A1735" t="str">
        <f>""</f>
        <v/>
      </c>
      <c r="F1735" t="str">
        <f>""</f>
        <v/>
      </c>
      <c r="G1735" t="str">
        <f>""</f>
        <v/>
      </c>
      <c r="I1735" t="str">
        <f>"KEY-EL4-DEV-004"</f>
        <v>KEY-EL4-DEV-004</v>
      </c>
    </row>
    <row r="1736" spans="1:9" x14ac:dyDescent="0.3">
      <c r="A1736" t="str">
        <f>""</f>
        <v/>
      </c>
      <c r="F1736" t="str">
        <f>""</f>
        <v/>
      </c>
      <c r="G1736" t="str">
        <f>""</f>
        <v/>
      </c>
      <c r="I1736" t="str">
        <f>"KEY-EL4-DEV-001"</f>
        <v>KEY-EL4-DEV-001</v>
      </c>
    </row>
    <row r="1737" spans="1:9" x14ac:dyDescent="0.3">
      <c r="A1737" t="str">
        <f>""</f>
        <v/>
      </c>
      <c r="F1737" t="str">
        <f>""</f>
        <v/>
      </c>
      <c r="G1737" t="str">
        <f>""</f>
        <v/>
      </c>
      <c r="I1737" t="str">
        <f>"CAM-4RE-PAN-NHD"</f>
        <v>CAM-4RE-PAN-NHD</v>
      </c>
    </row>
    <row r="1738" spans="1:9" x14ac:dyDescent="0.3">
      <c r="A1738" t="str">
        <f>""</f>
        <v/>
      </c>
      <c r="F1738" t="str">
        <f>""</f>
        <v/>
      </c>
      <c r="G1738" t="str">
        <f>""</f>
        <v/>
      </c>
      <c r="I1738" t="str">
        <f>"4RE-WRL-KIT-101"</f>
        <v>4RE-WRL-KIT-101</v>
      </c>
    </row>
    <row r="1739" spans="1:9" x14ac:dyDescent="0.3">
      <c r="A1739" t="str">
        <f>""</f>
        <v/>
      </c>
      <c r="F1739" t="str">
        <f>""</f>
        <v/>
      </c>
      <c r="G1739" t="str">
        <f>""</f>
        <v/>
      </c>
      <c r="I1739" t="str">
        <f>"SVC-4RE-INS-100"</f>
        <v>SVC-4RE-INS-100</v>
      </c>
    </row>
    <row r="1740" spans="1:9" x14ac:dyDescent="0.3">
      <c r="A1740" t="str">
        <f>""</f>
        <v/>
      </c>
      <c r="F1740" t="str">
        <f>""</f>
        <v/>
      </c>
      <c r="G1740" t="str">
        <f>""</f>
        <v/>
      </c>
      <c r="I1740" t="str">
        <f>"Freight"</f>
        <v>Freight</v>
      </c>
    </row>
    <row r="1741" spans="1:9" x14ac:dyDescent="0.3">
      <c r="A1741" t="str">
        <f>"005266"</f>
        <v>005266</v>
      </c>
      <c r="B1741" t="s">
        <v>581</v>
      </c>
      <c r="C1741">
        <v>74301</v>
      </c>
      <c r="D1741" s="2">
        <v>398.79</v>
      </c>
      <c r="E1741" s="1">
        <v>43080</v>
      </c>
      <c r="F1741" t="str">
        <f>"CNIV388403"</f>
        <v>CNIV388403</v>
      </c>
      <c r="G1741" t="str">
        <f>"ACCT#181021/SHERIFF'S OFFICE"</f>
        <v>ACCT#181021/SHERIFF'S OFFICE</v>
      </c>
      <c r="H1741" s="2">
        <v>398.79</v>
      </c>
      <c r="I1741" t="str">
        <f>"ACCT#181021/SHERIFF'S OFFICE"</f>
        <v>ACCT#181021/SHERIFF'S OFFICE</v>
      </c>
    </row>
    <row r="1742" spans="1:9" x14ac:dyDescent="0.3">
      <c r="A1742" t="str">
        <f>""</f>
        <v/>
      </c>
      <c r="F1742" t="str">
        <f>""</f>
        <v/>
      </c>
      <c r="G1742" t="str">
        <f>""</f>
        <v/>
      </c>
      <c r="I1742" t="str">
        <f>"ACCT#181021/SHERIFF'S OFFICE"</f>
        <v>ACCT#181021/SHERIFF'S OFFICE</v>
      </c>
    </row>
    <row r="1743" spans="1:9" x14ac:dyDescent="0.3">
      <c r="A1743" t="str">
        <f>"004877"</f>
        <v>004877</v>
      </c>
      <c r="B1743" t="s">
        <v>582</v>
      </c>
      <c r="C1743">
        <v>74302</v>
      </c>
      <c r="D1743" s="2">
        <v>2316.84</v>
      </c>
      <c r="E1743" s="1">
        <v>43080</v>
      </c>
      <c r="F1743" t="str">
        <f>"1701839718"</f>
        <v>1701839718</v>
      </c>
      <c r="G1743" t="str">
        <f>"ACCT#5150-005081765/PCT#2"</f>
        <v>ACCT#5150-005081765/PCT#2</v>
      </c>
      <c r="H1743" s="2">
        <v>2316.84</v>
      </c>
      <c r="I1743" t="str">
        <f>"ACCT#5150-005081765/PCT#2"</f>
        <v>ACCT#5150-005081765/PCT#2</v>
      </c>
    </row>
    <row r="1744" spans="1:9" x14ac:dyDescent="0.3">
      <c r="A1744" t="str">
        <f>"004877"</f>
        <v>004877</v>
      </c>
      <c r="B1744" t="s">
        <v>582</v>
      </c>
      <c r="C1744">
        <v>74323</v>
      </c>
      <c r="D1744" s="2">
        <v>15284.01</v>
      </c>
      <c r="E1744" s="1">
        <v>43081</v>
      </c>
      <c r="F1744" t="str">
        <f>"1701843055"</f>
        <v>1701843055</v>
      </c>
      <c r="G1744" t="str">
        <f>"ACCT#5151-005117630 / 11/30/17"</f>
        <v>ACCT#5151-005117630 / 11/30/17</v>
      </c>
      <c r="H1744" s="2">
        <v>226.82</v>
      </c>
      <c r="I1744" t="str">
        <f>"ACCT#5151-005117630 / 11/30/17"</f>
        <v>ACCT#5151-005117630 / 11/30/17</v>
      </c>
    </row>
    <row r="1745" spans="1:9" x14ac:dyDescent="0.3">
      <c r="A1745" t="str">
        <f>""</f>
        <v/>
      </c>
      <c r="F1745" t="str">
        <f>"1701843056"</f>
        <v>1701843056</v>
      </c>
      <c r="G1745" t="str">
        <f>"ACCT#5151-005117766 / 11/30/17"</f>
        <v>ACCT#5151-005117766 / 11/30/17</v>
      </c>
      <c r="H1745" s="2">
        <v>104.64</v>
      </c>
      <c r="I1745" t="str">
        <f>"ACCT#5151-005117766 / 11/30/17"</f>
        <v>ACCT#5151-005117766 / 11/30/17</v>
      </c>
    </row>
    <row r="1746" spans="1:9" x14ac:dyDescent="0.3">
      <c r="A1746" t="str">
        <f>""</f>
        <v/>
      </c>
      <c r="F1746" t="str">
        <f>"1701843057"</f>
        <v>1701843057</v>
      </c>
      <c r="G1746" t="str">
        <f>"ACCT# 5151-005117838/ 11/30/17"</f>
        <v>ACCT# 5151-005117838/ 11/30/17</v>
      </c>
      <c r="H1746" s="2">
        <v>96.85</v>
      </c>
      <c r="I1746" t="str">
        <f>"ACCT# 5151-005117838/ 11/30/17"</f>
        <v>ACCT# 5151-005117838/ 11/30/17</v>
      </c>
    </row>
    <row r="1747" spans="1:9" x14ac:dyDescent="0.3">
      <c r="A1747" t="str">
        <f>""</f>
        <v/>
      </c>
      <c r="F1747" t="str">
        <f>"1701843059"</f>
        <v>1701843059</v>
      </c>
      <c r="G1747" t="str">
        <f>"ACCT#5151005117882/ 11/30/17"</f>
        <v>ACCT#5151005117882/ 11/30/17</v>
      </c>
      <c r="H1747" s="2">
        <v>130.78</v>
      </c>
      <c r="I1747" t="str">
        <f>"ACCT#5151005117882/ 11/30/17"</f>
        <v>ACCT#5151005117882/ 11/30/17</v>
      </c>
    </row>
    <row r="1748" spans="1:9" x14ac:dyDescent="0.3">
      <c r="A1748" t="str">
        <f>""</f>
        <v/>
      </c>
      <c r="F1748" t="str">
        <f>"1701843061"</f>
        <v>1701843061</v>
      </c>
      <c r="G1748" t="str">
        <f>"ACCT#5151-005118183/ 11/30/17"</f>
        <v>ACCT#5151-005118183/ 11/30/17</v>
      </c>
      <c r="H1748" s="2">
        <v>561.41999999999996</v>
      </c>
      <c r="I1748" t="str">
        <f>"ACCT#5151-005118183/ 11/30/17"</f>
        <v>ACCT#5151-005118183/ 11/30/17</v>
      </c>
    </row>
    <row r="1749" spans="1:9" x14ac:dyDescent="0.3">
      <c r="A1749" t="str">
        <f>""</f>
        <v/>
      </c>
      <c r="F1749" t="str">
        <f>"1701843074"</f>
        <v>1701843074</v>
      </c>
      <c r="G1749" t="str">
        <f>"ACCT#5150-005129483 / 11/30/17"</f>
        <v>ACCT#5150-005129483 / 11/30/17</v>
      </c>
      <c r="H1749" s="2">
        <v>14163.5</v>
      </c>
      <c r="I1749" t="str">
        <f>"ACCT#5150-005129483 / 11/30/17"</f>
        <v>ACCT#5150-005129483 / 11/30/17</v>
      </c>
    </row>
    <row r="1750" spans="1:9" x14ac:dyDescent="0.3">
      <c r="A1750" t="str">
        <f>"004874"</f>
        <v>004874</v>
      </c>
      <c r="B1750" t="s">
        <v>583</v>
      </c>
      <c r="C1750">
        <v>74303</v>
      </c>
      <c r="D1750" s="2">
        <v>498</v>
      </c>
      <c r="E1750" s="1">
        <v>43080</v>
      </c>
      <c r="F1750" t="str">
        <f>"2226"</f>
        <v>2226</v>
      </c>
      <c r="G1750" t="str">
        <f>"SHIRTS/HEALTH &amp; SANITATION"</f>
        <v>SHIRTS/HEALTH &amp; SANITATION</v>
      </c>
      <c r="H1750" s="2">
        <v>498</v>
      </c>
      <c r="I1750" t="str">
        <f>"SHIRTS/HEALTH &amp; SANITATION"</f>
        <v>SHIRTS/HEALTH &amp; SANITATION</v>
      </c>
    </row>
    <row r="1751" spans="1:9" x14ac:dyDescent="0.3">
      <c r="A1751" t="str">
        <f>"003479"</f>
        <v>003479</v>
      </c>
      <c r="B1751" t="s">
        <v>584</v>
      </c>
      <c r="C1751">
        <v>74304</v>
      </c>
      <c r="D1751" s="2">
        <v>745.86</v>
      </c>
      <c r="E1751" s="1">
        <v>43080</v>
      </c>
      <c r="F1751" t="str">
        <f>"239819"</f>
        <v>239819</v>
      </c>
      <c r="G1751" t="str">
        <f>"RIVERSIDE/PCT#1"</f>
        <v>RIVERSIDE/PCT#1</v>
      </c>
      <c r="H1751" s="2">
        <v>384.2</v>
      </c>
      <c r="I1751" t="str">
        <f>"RIVERSIDE/PCT#1"</f>
        <v>RIVERSIDE/PCT#1</v>
      </c>
    </row>
    <row r="1752" spans="1:9" x14ac:dyDescent="0.3">
      <c r="A1752" t="str">
        <f>""</f>
        <v/>
      </c>
      <c r="F1752" t="str">
        <f>"242904"</f>
        <v>242904</v>
      </c>
      <c r="G1752" t="str">
        <f>"ITEM#0758-0014/PCT#1"</f>
        <v>ITEM#0758-0014/PCT#1</v>
      </c>
      <c r="H1752" s="2">
        <v>292.44</v>
      </c>
      <c r="I1752" t="str">
        <f>"ITEM#0758-0014/PCT#1"</f>
        <v>ITEM#0758-0014/PCT#1</v>
      </c>
    </row>
    <row r="1753" spans="1:9" x14ac:dyDescent="0.3">
      <c r="A1753" t="str">
        <f>""</f>
        <v/>
      </c>
      <c r="F1753" t="str">
        <f>"243373"</f>
        <v>243373</v>
      </c>
      <c r="G1753" t="str">
        <f>"EQUIP RENTAL/PCT#1"</f>
        <v>EQUIP RENTAL/PCT#1</v>
      </c>
      <c r="H1753" s="2">
        <v>69.22</v>
      </c>
      <c r="I1753" t="str">
        <f>"EQUIP RENTAL/PCT#1"</f>
        <v>EQUIP RENTAL/PCT#1</v>
      </c>
    </row>
    <row r="1754" spans="1:9" x14ac:dyDescent="0.3">
      <c r="A1754" t="str">
        <f>"003479"</f>
        <v>003479</v>
      </c>
      <c r="B1754" t="s">
        <v>584</v>
      </c>
      <c r="C1754">
        <v>74495</v>
      </c>
      <c r="D1754" s="2">
        <v>176.81</v>
      </c>
      <c r="E1754" s="1">
        <v>43096</v>
      </c>
      <c r="F1754" t="str">
        <f>"224500 243007"</f>
        <v>224500 243007</v>
      </c>
      <c r="G1754" t="str">
        <f>"BREAKER BACKHOE/INDIAN LAKE"</f>
        <v>BREAKER BACKHOE/INDIAN LAKE</v>
      </c>
      <c r="H1754" s="2">
        <v>176.81</v>
      </c>
      <c r="I1754" t="str">
        <f>"BREAKER BACKHOE/INDIAN LAKE"</f>
        <v>BREAKER BACKHOE/INDIAN LAKE</v>
      </c>
    </row>
    <row r="1755" spans="1:9" x14ac:dyDescent="0.3">
      <c r="A1755" t="str">
        <f>"LIN"</f>
        <v>LIN</v>
      </c>
      <c r="B1755" t="s">
        <v>585</v>
      </c>
      <c r="C1755">
        <v>999999</v>
      </c>
      <c r="D1755" s="2">
        <v>12500</v>
      </c>
      <c r="E1755" s="1">
        <v>43097</v>
      </c>
      <c r="F1755" t="str">
        <f>"201712157329"</f>
        <v>201712157329</v>
      </c>
      <c r="G1755" t="str">
        <f>"MEDICAL CONTRACT"</f>
        <v>MEDICAL CONTRACT</v>
      </c>
      <c r="H1755" s="2">
        <v>12500</v>
      </c>
      <c r="I1755" t="str">
        <f>"MEDICAL CONTRACT"</f>
        <v>MEDICAL CONTRACT</v>
      </c>
    </row>
    <row r="1756" spans="1:9" x14ac:dyDescent="0.3">
      <c r="A1756" t="str">
        <f>"WPC"</f>
        <v>WPC</v>
      </c>
      <c r="B1756" t="s">
        <v>586</v>
      </c>
      <c r="C1756">
        <v>74305</v>
      </c>
      <c r="D1756" s="2">
        <v>739.35</v>
      </c>
      <c r="E1756" s="1">
        <v>43080</v>
      </c>
      <c r="F1756" t="str">
        <f>"837085067-1"</f>
        <v>837085067-1</v>
      </c>
      <c r="G1756" t="str">
        <f>"ACCT#1000648597"</f>
        <v>ACCT#1000648597</v>
      </c>
      <c r="H1756" s="2">
        <v>520</v>
      </c>
      <c r="I1756" t="str">
        <f>"ACCT#1000648597"</f>
        <v>ACCT#1000648597</v>
      </c>
    </row>
    <row r="1757" spans="1:9" x14ac:dyDescent="0.3">
      <c r="A1757" t="str">
        <f>""</f>
        <v/>
      </c>
      <c r="F1757" t="str">
        <f>"837090761-1"</f>
        <v>837090761-1</v>
      </c>
      <c r="G1757" t="str">
        <f>"ACCT#1005022937/INFO CHARGES"</f>
        <v>ACCT#1005022937/INFO CHARGES</v>
      </c>
      <c r="H1757" s="2">
        <v>219.35</v>
      </c>
      <c r="I1757" t="str">
        <f>"ACCT#1005022937/INFO CHARGES"</f>
        <v>ACCT#1005022937/INFO CHARGES</v>
      </c>
    </row>
    <row r="1758" spans="1:9" x14ac:dyDescent="0.3">
      <c r="A1758" t="str">
        <f>"WPC"</f>
        <v>WPC</v>
      </c>
      <c r="B1758" t="s">
        <v>586</v>
      </c>
      <c r="C1758">
        <v>74496</v>
      </c>
      <c r="D1758" s="2">
        <v>701.86</v>
      </c>
      <c r="E1758" s="1">
        <v>43096</v>
      </c>
      <c r="F1758" t="str">
        <f>"6118703965"</f>
        <v>6118703965</v>
      </c>
      <c r="G1758" t="str">
        <f>"ORD#202439872/TX LOCAL GOVT CH"</f>
        <v>ORD#202439872/TX LOCAL GOVT CH</v>
      </c>
      <c r="H1758" s="2">
        <v>102.84</v>
      </c>
      <c r="I1758" t="str">
        <f>"ORD#202439872/TX LOCAL GOVT CH"</f>
        <v>ORD#202439872/TX LOCAL GOVT CH</v>
      </c>
    </row>
    <row r="1759" spans="1:9" x14ac:dyDescent="0.3">
      <c r="A1759" t="str">
        <f>""</f>
        <v/>
      </c>
      <c r="F1759" t="str">
        <f>"837263416"</f>
        <v>837263416</v>
      </c>
      <c r="G1759" t="str">
        <f>"ACCT#1000648597/INFO CHARGES"</f>
        <v>ACCT#1000648597/INFO CHARGES</v>
      </c>
      <c r="H1759" s="2">
        <v>520</v>
      </c>
      <c r="I1759" t="str">
        <f>"ACCT#1000648597/INFO CHARGES"</f>
        <v>ACCT#1000648597/INFO CHARGES</v>
      </c>
    </row>
    <row r="1760" spans="1:9" x14ac:dyDescent="0.3">
      <c r="A1760" t="str">
        <f>""</f>
        <v/>
      </c>
      <c r="F1760" t="str">
        <f>"837387046"</f>
        <v>837387046</v>
      </c>
      <c r="G1760" t="str">
        <f>"ACCT#1003836657/AUDITOR"</f>
        <v>ACCT#1003836657/AUDITOR</v>
      </c>
      <c r="H1760" s="2">
        <v>79.02</v>
      </c>
      <c r="I1760" t="str">
        <f>"ACCT#1003836657/AUDITOR"</f>
        <v>ACCT#1003836657/AUDITOR</v>
      </c>
    </row>
    <row r="1761" spans="1:10" x14ac:dyDescent="0.3">
      <c r="A1761" t="str">
        <f>"004074"</f>
        <v>004074</v>
      </c>
      <c r="B1761" t="s">
        <v>587</v>
      </c>
      <c r="C1761">
        <v>999999</v>
      </c>
      <c r="D1761" s="2">
        <v>17292.72</v>
      </c>
      <c r="E1761" s="1">
        <v>43097</v>
      </c>
      <c r="F1761" t="str">
        <f>"19407"</f>
        <v>19407</v>
      </c>
      <c r="G1761" t="str">
        <f>"INV 19407"</f>
        <v>INV 19407</v>
      </c>
      <c r="H1761" s="2">
        <v>17292.72</v>
      </c>
      <c r="I1761" t="str">
        <f>"INV 19407"</f>
        <v>INV 19407</v>
      </c>
    </row>
    <row r="1762" spans="1:10" x14ac:dyDescent="0.3">
      <c r="A1762" t="str">
        <f>"002552"</f>
        <v>002552</v>
      </c>
      <c r="B1762" t="s">
        <v>588</v>
      </c>
      <c r="C1762">
        <v>74306</v>
      </c>
      <c r="D1762" s="2">
        <v>70</v>
      </c>
      <c r="E1762" s="1">
        <v>43080</v>
      </c>
      <c r="F1762" t="str">
        <f>"11777"</f>
        <v>11777</v>
      </c>
      <c r="G1762" t="str">
        <f>"SERVICE"</f>
        <v>SERVICE</v>
      </c>
      <c r="H1762" s="2">
        <v>70</v>
      </c>
      <c r="I1762" t="str">
        <f>"SERVICE"</f>
        <v>SERVICE</v>
      </c>
    </row>
    <row r="1763" spans="1:10" x14ac:dyDescent="0.3">
      <c r="A1763" t="str">
        <f>"002445"</f>
        <v>002445</v>
      </c>
      <c r="B1763" t="s">
        <v>589</v>
      </c>
      <c r="C1763">
        <v>74307</v>
      </c>
      <c r="D1763" s="2">
        <v>70</v>
      </c>
      <c r="E1763" s="1">
        <v>43080</v>
      </c>
      <c r="F1763" t="s">
        <v>56</v>
      </c>
      <c r="G1763" t="s">
        <v>57</v>
      </c>
      <c r="H1763" s="2" t="str">
        <f>"SERVICE"</f>
        <v>SERVICE</v>
      </c>
      <c r="I1763" t="str">
        <f>"995-4110"</f>
        <v>995-4110</v>
      </c>
      <c r="J1763">
        <v>70</v>
      </c>
    </row>
    <row r="1764" spans="1:10" x14ac:dyDescent="0.3">
      <c r="A1764" t="str">
        <f>"003938"</f>
        <v>003938</v>
      </c>
      <c r="B1764" t="s">
        <v>590</v>
      </c>
      <c r="C1764">
        <v>74308</v>
      </c>
      <c r="D1764" s="2">
        <v>500</v>
      </c>
      <c r="E1764" s="1">
        <v>43080</v>
      </c>
      <c r="F1764" t="str">
        <f>"731"</f>
        <v>731</v>
      </c>
      <c r="G1764" t="str">
        <f>"TREE SVCS/JENKINS RD/PCT#3"</f>
        <v>TREE SVCS/JENKINS RD/PCT#3</v>
      </c>
      <c r="H1764" s="2">
        <v>500</v>
      </c>
      <c r="I1764" t="str">
        <f>"TREE SVCS/JENKINS RD/PCT#3"</f>
        <v>TREE SVCS/JENKINS RD/PCT#3</v>
      </c>
    </row>
    <row r="1765" spans="1:10" x14ac:dyDescent="0.3">
      <c r="A1765" t="str">
        <f>"004240"</f>
        <v>004240</v>
      </c>
      <c r="B1765" t="s">
        <v>591</v>
      </c>
      <c r="C1765">
        <v>74497</v>
      </c>
      <c r="D1765" s="2">
        <v>137481.71</v>
      </c>
      <c r="E1765" s="1">
        <v>43096</v>
      </c>
      <c r="F1765" t="str">
        <f>"1263"</f>
        <v>1263</v>
      </c>
      <c r="G1765" t="str">
        <f>"ROAD REPAIRS/OLD UPTON RD/P2"</f>
        <v>ROAD REPAIRS/OLD UPTON RD/P2</v>
      </c>
      <c r="H1765" s="2">
        <v>29526</v>
      </c>
      <c r="I1765" t="str">
        <f>"ROAD REPAIRS/OLD UPTON RD/P2"</f>
        <v>ROAD REPAIRS/OLD UPTON RD/P2</v>
      </c>
    </row>
    <row r="1766" spans="1:10" x14ac:dyDescent="0.3">
      <c r="A1766" t="str">
        <f>""</f>
        <v/>
      </c>
      <c r="F1766" t="str">
        <f>"1264"</f>
        <v>1264</v>
      </c>
      <c r="G1766" t="str">
        <f>"ROAD WORK/PCT#2"</f>
        <v>ROAD WORK/PCT#2</v>
      </c>
      <c r="H1766" s="2">
        <v>92006</v>
      </c>
      <c r="I1766" t="str">
        <f>"ROAD WORK/PCT#2"</f>
        <v>ROAD WORK/PCT#2</v>
      </c>
    </row>
    <row r="1767" spans="1:10" x14ac:dyDescent="0.3">
      <c r="A1767" t="str">
        <f>""</f>
        <v/>
      </c>
      <c r="F1767" t="str">
        <f>"BIG BOW SPILLWAY P"</f>
        <v>BIG BOW SPILLWAY P</v>
      </c>
      <c r="G1767" t="str">
        <f>"Big Bow Spillway Project"</f>
        <v>Big Bow Spillway Project</v>
      </c>
      <c r="H1767" s="2">
        <v>15949.71</v>
      </c>
      <c r="I1767" t="str">
        <f>"Big Bow Spillway Project"</f>
        <v>Big Bow Spillway Project</v>
      </c>
    </row>
    <row r="1768" spans="1:10" x14ac:dyDescent="0.3">
      <c r="A1768" t="str">
        <f>"004285"</f>
        <v>004285</v>
      </c>
      <c r="B1768" t="s">
        <v>592</v>
      </c>
      <c r="C1768">
        <v>74309</v>
      </c>
      <c r="D1768" s="2">
        <v>400</v>
      </c>
      <c r="E1768" s="1">
        <v>43080</v>
      </c>
      <c r="F1768" t="s">
        <v>174</v>
      </c>
      <c r="G1768" t="s">
        <v>593</v>
      </c>
      <c r="H1768" s="2" t="str">
        <f>"RESTITUTION-S. BAUMGARTNER"</f>
        <v>RESTITUTION-S. BAUMGARTNER</v>
      </c>
      <c r="I1768" t="str">
        <f>"210-0000"</f>
        <v>210-0000</v>
      </c>
      <c r="J1768">
        <v>100</v>
      </c>
    </row>
    <row r="1769" spans="1:10" x14ac:dyDescent="0.3">
      <c r="A1769" t="str">
        <f>""</f>
        <v/>
      </c>
      <c r="F1769" t="s">
        <v>23</v>
      </c>
      <c r="G1769" t="s">
        <v>594</v>
      </c>
      <c r="H1769" s="2" t="str">
        <f>"RESTITUTION-E. TREVINO"</f>
        <v>RESTITUTION-E. TREVINO</v>
      </c>
      <c r="I1769" t="str">
        <f>"210-0000"</f>
        <v>210-0000</v>
      </c>
      <c r="J1769">
        <v>300</v>
      </c>
    </row>
    <row r="1770" spans="1:10" x14ac:dyDescent="0.3">
      <c r="A1770" t="str">
        <f>"XEROXC"</f>
        <v>XEROXC</v>
      </c>
      <c r="B1770" t="s">
        <v>595</v>
      </c>
      <c r="C1770">
        <v>74498</v>
      </c>
      <c r="D1770" s="2">
        <v>397.34</v>
      </c>
      <c r="E1770" s="1">
        <v>43096</v>
      </c>
      <c r="F1770" t="str">
        <f>"091547788"</f>
        <v>091547788</v>
      </c>
      <c r="G1770" t="str">
        <f>"CUST#662445931/TAX OFFICE"</f>
        <v>CUST#662445931/TAX OFFICE</v>
      </c>
      <c r="H1770" s="2">
        <v>144.55000000000001</v>
      </c>
      <c r="I1770" t="str">
        <f>"CUST#662445931/TAX OFFICE"</f>
        <v>CUST#662445931/TAX OFFICE</v>
      </c>
    </row>
    <row r="1771" spans="1:10" x14ac:dyDescent="0.3">
      <c r="A1771" t="str">
        <f>""</f>
        <v/>
      </c>
      <c r="F1771" t="str">
        <f>"091547789"</f>
        <v>091547789</v>
      </c>
      <c r="G1771" t="str">
        <f>"CUST#662445931/TAX OFFICE"</f>
        <v>CUST#662445931/TAX OFFICE</v>
      </c>
      <c r="H1771" s="2">
        <v>181.25</v>
      </c>
      <c r="I1771" t="str">
        <f>"CUST#662445931/TAX OFFICE"</f>
        <v>CUST#662445931/TAX OFFICE</v>
      </c>
    </row>
    <row r="1772" spans="1:10" x14ac:dyDescent="0.3">
      <c r="A1772" t="str">
        <f>""</f>
        <v/>
      </c>
      <c r="F1772" t="str">
        <f>"091547790"</f>
        <v>091547790</v>
      </c>
      <c r="G1772" t="str">
        <f>"CUST#723230843/TAX OFFICE"</f>
        <v>CUST#723230843/TAX OFFICE</v>
      </c>
      <c r="H1772" s="2">
        <v>71.540000000000006</v>
      </c>
      <c r="I1772" t="str">
        <f>"CUST#723230843/TAX OFFICE"</f>
        <v>CUST#723230843/TAX OFFICE</v>
      </c>
    </row>
    <row r="1773" spans="1:10" x14ac:dyDescent="0.3">
      <c r="A1773" t="str">
        <f>"002817"</f>
        <v>002817</v>
      </c>
      <c r="B1773" t="s">
        <v>596</v>
      </c>
      <c r="C1773">
        <v>74310</v>
      </c>
      <c r="D1773" s="2">
        <v>1156</v>
      </c>
      <c r="E1773" s="1">
        <v>43080</v>
      </c>
      <c r="F1773" t="str">
        <f>"8412-103117"</f>
        <v>8412-103117</v>
      </c>
      <c r="G1773" t="str">
        <f>"INV 8412-103117"</f>
        <v>INV 8412-103117</v>
      </c>
      <c r="H1773" s="2">
        <v>1156</v>
      </c>
      <c r="I1773" t="str">
        <f>"INV 8412-103117"</f>
        <v>INV 8412-103117</v>
      </c>
    </row>
    <row r="1774" spans="1:10" x14ac:dyDescent="0.3">
      <c r="A1774" t="str">
        <f>"005225"</f>
        <v>005225</v>
      </c>
      <c r="B1774" t="s">
        <v>597</v>
      </c>
      <c r="C1774">
        <v>74499</v>
      </c>
      <c r="D1774" s="2">
        <v>1195</v>
      </c>
      <c r="E1774" s="1">
        <v>43096</v>
      </c>
      <c r="F1774" t="str">
        <f>"29451"</f>
        <v>29451</v>
      </c>
      <c r="G1774" t="str">
        <f>"INV 29451"</f>
        <v>INV 29451</v>
      </c>
      <c r="H1774" s="2">
        <v>745</v>
      </c>
      <c r="I1774" t="str">
        <f>"INV 29451"</f>
        <v>INV 29451</v>
      </c>
    </row>
    <row r="1775" spans="1:10" x14ac:dyDescent="0.3">
      <c r="A1775" t="str">
        <f>""</f>
        <v/>
      </c>
      <c r="F1775" t="str">
        <f>"29483"</f>
        <v>29483</v>
      </c>
      <c r="G1775" t="str">
        <f>"INV 29483"</f>
        <v>INV 29483</v>
      </c>
      <c r="H1775" s="2">
        <v>450</v>
      </c>
      <c r="I1775" t="str">
        <f>"INV 29483"</f>
        <v>INV 29483</v>
      </c>
    </row>
    <row r="1776" spans="1:10" x14ac:dyDescent="0.3">
      <c r="A1776" t="str">
        <f>"002955"</f>
        <v>002955</v>
      </c>
      <c r="B1776" t="s">
        <v>598</v>
      </c>
      <c r="C1776">
        <v>74500</v>
      </c>
      <c r="D1776" s="2">
        <v>731.79</v>
      </c>
      <c r="E1776" s="1">
        <v>43096</v>
      </c>
      <c r="F1776" t="str">
        <f>"I172550"</f>
        <v>I172550</v>
      </c>
      <c r="G1776" t="str">
        <f>"INV  I172550"</f>
        <v>INV  I172550</v>
      </c>
      <c r="H1776" s="2">
        <v>731.79</v>
      </c>
      <c r="I1776" t="str">
        <f>"INV  I172550"</f>
        <v>INV  I172550</v>
      </c>
    </row>
    <row r="1777" spans="1:9" x14ac:dyDescent="0.3">
      <c r="A1777" t="str">
        <f>"004928"</f>
        <v>004928</v>
      </c>
      <c r="B1777" t="s">
        <v>599</v>
      </c>
      <c r="C1777">
        <v>74501</v>
      </c>
      <c r="D1777" s="2">
        <v>301.45</v>
      </c>
      <c r="E1777" s="1">
        <v>43096</v>
      </c>
      <c r="F1777" t="str">
        <f>"INV3907226"</f>
        <v>INV3907226</v>
      </c>
      <c r="G1777" t="str">
        <f>"Telescopic Pole"</f>
        <v>Telescopic Pole</v>
      </c>
      <c r="H1777" s="2">
        <v>157.77000000000001</v>
      </c>
      <c r="I1777" t="str">
        <f>"Telescopic Pole"</f>
        <v>Telescopic Pole</v>
      </c>
    </row>
    <row r="1778" spans="1:9" x14ac:dyDescent="0.3">
      <c r="A1778" t="str">
        <f>""</f>
        <v/>
      </c>
      <c r="F1778" t="str">
        <f>"INV3907658"</f>
        <v>INV3907658</v>
      </c>
      <c r="G1778" t="str">
        <f>"Access Panel for Hot wate"</f>
        <v>Access Panel for Hot wate</v>
      </c>
      <c r="H1778" s="2">
        <v>143.68</v>
      </c>
      <c r="I1778" t="str">
        <f>"Item # 2VE74"</f>
        <v>Item # 2VE74</v>
      </c>
    </row>
    <row r="1779" spans="1:9" x14ac:dyDescent="0.3">
      <c r="A1779" t="str">
        <f>"AQUAB"</f>
        <v>AQUAB</v>
      </c>
      <c r="B1779" t="s">
        <v>38</v>
      </c>
      <c r="C1779">
        <v>74502</v>
      </c>
      <c r="D1779" s="2">
        <v>79.84</v>
      </c>
      <c r="E1779" s="1">
        <v>43096</v>
      </c>
      <c r="F1779" t="str">
        <f>"201712127288"</f>
        <v>201712127288</v>
      </c>
      <c r="G1779" t="str">
        <f>"ACCT#015397/JUVENILE BOOT CAMP"</f>
        <v>ACCT#015397/JUVENILE BOOT CAMP</v>
      </c>
      <c r="H1779" s="2">
        <v>79.84</v>
      </c>
      <c r="I1779" t="str">
        <f>"ACCT#015397/JUVENILE BOOT CAMP"</f>
        <v>ACCT#015397/JUVENILE BOOT CAMP</v>
      </c>
    </row>
    <row r="1780" spans="1:9" x14ac:dyDescent="0.3">
      <c r="A1780" t="str">
        <f>"B&amp;B"</f>
        <v>B&amp;B</v>
      </c>
      <c r="B1780" t="s">
        <v>50</v>
      </c>
      <c r="C1780">
        <v>74311</v>
      </c>
      <c r="D1780" s="2">
        <v>295.76</v>
      </c>
      <c r="E1780" s="1">
        <v>43080</v>
      </c>
      <c r="F1780" t="str">
        <f>"201712057188"</f>
        <v>201712057188</v>
      </c>
      <c r="G1780" t="str">
        <f>"CUST#1645/OEM"</f>
        <v>CUST#1645/OEM</v>
      </c>
      <c r="H1780" s="2">
        <v>295.76</v>
      </c>
      <c r="I1780" t="str">
        <f>"CUST#1645/OEM"</f>
        <v>CUST#1645/OEM</v>
      </c>
    </row>
    <row r="1781" spans="1:9" x14ac:dyDescent="0.3">
      <c r="A1781" t="str">
        <f>"BTW"</f>
        <v>BTW</v>
      </c>
      <c r="B1781" t="s">
        <v>51</v>
      </c>
      <c r="C1781">
        <v>74312</v>
      </c>
      <c r="D1781" s="2">
        <v>56.5</v>
      </c>
      <c r="E1781" s="1">
        <v>43080</v>
      </c>
      <c r="F1781" t="str">
        <f>"345652"</f>
        <v>345652</v>
      </c>
      <c r="G1781" t="str">
        <f>"LOOSE TRAILER TIRES/OEM"</f>
        <v>LOOSE TRAILER TIRES/OEM</v>
      </c>
      <c r="H1781" s="2">
        <v>56.5</v>
      </c>
      <c r="I1781" t="str">
        <f>"LOOSE TRAILER TIRES/OEM"</f>
        <v>LOOSE TRAILER TIRES/OEM</v>
      </c>
    </row>
    <row r="1782" spans="1:9" x14ac:dyDescent="0.3">
      <c r="A1782" t="str">
        <f>"000485"</f>
        <v>000485</v>
      </c>
      <c r="B1782" t="s">
        <v>64</v>
      </c>
      <c r="C1782">
        <v>74503</v>
      </c>
      <c r="D1782" s="2">
        <v>2700</v>
      </c>
      <c r="E1782" s="1">
        <v>43096</v>
      </c>
      <c r="F1782" t="str">
        <f>"4936R"</f>
        <v>4936R</v>
      </c>
      <c r="G1782" t="str">
        <f>"FORESTRY MULCHING OPERATIONS"</f>
        <v>FORESTRY MULCHING OPERATIONS</v>
      </c>
      <c r="H1782" s="2">
        <v>2700</v>
      </c>
    </row>
    <row r="1783" spans="1:9" x14ac:dyDescent="0.3">
      <c r="A1783" t="str">
        <f>"BEC"</f>
        <v>BEC</v>
      </c>
      <c r="B1783" t="s">
        <v>81</v>
      </c>
      <c r="C1783">
        <v>74324</v>
      </c>
      <c r="D1783" s="2">
        <v>113.61</v>
      </c>
      <c r="E1783" s="1">
        <v>43081</v>
      </c>
      <c r="F1783" t="str">
        <f>"201712127285"</f>
        <v>201712127285</v>
      </c>
      <c r="G1783" t="str">
        <f>"ACCT#5000057374 / 12/04/2017"</f>
        <v>ACCT#5000057374 / 12/04/2017</v>
      </c>
      <c r="H1783" s="2">
        <v>113.61</v>
      </c>
      <c r="I1783" t="str">
        <f>"ACCT#5000057374 / 12/04/2017"</f>
        <v>ACCT#5000057374 / 12/04/2017</v>
      </c>
    </row>
    <row r="1784" spans="1:9" x14ac:dyDescent="0.3">
      <c r="A1784" t="str">
        <f>"002469"</f>
        <v>002469</v>
      </c>
      <c r="B1784" t="s">
        <v>600</v>
      </c>
      <c r="C1784">
        <v>74504</v>
      </c>
      <c r="D1784" s="2">
        <v>2945.46</v>
      </c>
      <c r="E1784" s="1">
        <v>43096</v>
      </c>
      <c r="F1784" t="str">
        <f>"15901-25"</f>
        <v>15901-25</v>
      </c>
      <c r="G1784" t="str">
        <f>"PROJ#B15159.01/ER SVCS DIST 2"</f>
        <v>PROJ#B15159.01/ER SVCS DIST 2</v>
      </c>
      <c r="H1784" s="2">
        <v>2945.46</v>
      </c>
      <c r="I1784" t="str">
        <f>"PROJ#B15159.01/ER SVCS DIST 2"</f>
        <v>PROJ#B15159.01/ER SVCS DIST 2</v>
      </c>
    </row>
    <row r="1785" spans="1:9" x14ac:dyDescent="0.3">
      <c r="A1785" t="str">
        <f>"SCO"</f>
        <v>SCO</v>
      </c>
      <c r="B1785" t="s">
        <v>122</v>
      </c>
      <c r="C1785">
        <v>74313</v>
      </c>
      <c r="D1785" s="2">
        <v>836.4</v>
      </c>
      <c r="E1785" s="1">
        <v>43080</v>
      </c>
      <c r="F1785" t="str">
        <f>"SMITHVILLE 17"</f>
        <v>SMITHVILLE 17</v>
      </c>
      <c r="G1785" t="str">
        <f>"PROJ#15.659/SMITHVILLE COMM CT"</f>
        <v>PROJ#15.659/SMITHVILLE COMM CT</v>
      </c>
      <c r="H1785" s="2">
        <v>836.4</v>
      </c>
      <c r="I1785" t="str">
        <f>"PROJ#15.659/SMITHVILLE COMM CT"</f>
        <v>PROJ#15.659/SMITHVILLE COMM CT</v>
      </c>
    </row>
    <row r="1786" spans="1:9" x14ac:dyDescent="0.3">
      <c r="A1786" t="str">
        <f>"SCO"</f>
        <v>SCO</v>
      </c>
      <c r="B1786" t="s">
        <v>122</v>
      </c>
      <c r="C1786">
        <v>74505</v>
      </c>
      <c r="D1786" s="2">
        <v>19012.11</v>
      </c>
      <c r="E1786" s="1">
        <v>43096</v>
      </c>
      <c r="F1786" t="str">
        <f>"201712197364"</f>
        <v>201712197364</v>
      </c>
      <c r="G1786" t="str">
        <f>"GLO/HUD GRANT"</f>
        <v>GLO/HUD GRANT</v>
      </c>
      <c r="H1786" s="2">
        <v>19012.11</v>
      </c>
      <c r="I1786" t="str">
        <f>"GLO/HUD GRANT"</f>
        <v>GLO/HUD GRANT</v>
      </c>
    </row>
    <row r="1787" spans="1:9" x14ac:dyDescent="0.3">
      <c r="A1787" t="str">
        <f>"004691"</f>
        <v>004691</v>
      </c>
      <c r="B1787" t="s">
        <v>176</v>
      </c>
      <c r="C1787">
        <v>74506</v>
      </c>
      <c r="D1787" s="2">
        <v>117.69</v>
      </c>
      <c r="E1787" s="1">
        <v>43096</v>
      </c>
      <c r="F1787" t="str">
        <f>"NP52071641"</f>
        <v>NP52071641</v>
      </c>
      <c r="G1787" t="str">
        <f>"stmt# NP52071641"</f>
        <v>stmt# NP52071641</v>
      </c>
      <c r="H1787" s="2">
        <v>117.69</v>
      </c>
      <c r="I1787" t="str">
        <f>"OEM FUEL"</f>
        <v>OEM FUEL</v>
      </c>
    </row>
    <row r="1788" spans="1:9" x14ac:dyDescent="0.3">
      <c r="A1788" t="str">
        <f>"005119"</f>
        <v>005119</v>
      </c>
      <c r="B1788" t="s">
        <v>601</v>
      </c>
      <c r="C1788">
        <v>74507</v>
      </c>
      <c r="D1788" s="2">
        <v>43103.57</v>
      </c>
      <c r="E1788" s="1">
        <v>43096</v>
      </c>
      <c r="F1788" t="str">
        <f>"201711078"</f>
        <v>201711078</v>
      </c>
      <c r="G1788" t="str">
        <f>"PROJ#2017072/BASTROP CO 911/ER"</f>
        <v>PROJ#2017072/BASTROP CO 911/ER</v>
      </c>
      <c r="H1788" s="2">
        <v>43103.57</v>
      </c>
      <c r="I1788" t="str">
        <f>"PROJ#2017072/BASTROP CO 911/ER"</f>
        <v>PROJ#2017072/BASTROP CO 911/ER</v>
      </c>
    </row>
    <row r="1789" spans="1:9" x14ac:dyDescent="0.3">
      <c r="A1789" t="str">
        <f>"004401"</f>
        <v>004401</v>
      </c>
      <c r="B1789" t="s">
        <v>602</v>
      </c>
      <c r="C1789">
        <v>74314</v>
      </c>
      <c r="D1789" s="2">
        <v>5516.65</v>
      </c>
      <c r="E1789" s="1">
        <v>43080</v>
      </c>
      <c r="F1789" t="str">
        <f>"PART4491188"</f>
        <v>PART4491188</v>
      </c>
      <c r="G1789" t="str">
        <f>"DOC#50C267954A/CUST#1006635"</f>
        <v>DOC#50C267954A/CUST#1006635</v>
      </c>
      <c r="H1789" s="2">
        <v>425.76</v>
      </c>
      <c r="I1789" t="str">
        <f>"DOC#50C267954A/CUST#1006635"</f>
        <v>DOC#50C267954A/CUST#1006635</v>
      </c>
    </row>
    <row r="1790" spans="1:9" x14ac:dyDescent="0.3">
      <c r="A1790" t="str">
        <f>""</f>
        <v/>
      </c>
      <c r="F1790" t="str">
        <f>"PART4502676"</f>
        <v>PART4502676</v>
      </c>
      <c r="G1790" t="str">
        <f>"CUST#1006635/DOC#50C268785"</f>
        <v>CUST#1006635/DOC#50C268785</v>
      </c>
      <c r="H1790" s="2">
        <v>382.24</v>
      </c>
      <c r="I1790" t="str">
        <f>"CUST#1006635/DOC#50C268785"</f>
        <v>CUST#1006635/DOC#50C268785</v>
      </c>
    </row>
    <row r="1791" spans="1:9" x14ac:dyDescent="0.3">
      <c r="A1791" t="str">
        <f>""</f>
        <v/>
      </c>
      <c r="F1791" t="str">
        <f>"PART4504778"</f>
        <v>PART4504778</v>
      </c>
      <c r="G1791" t="str">
        <f>"DOC#50C269015/CUST#1006635"</f>
        <v>DOC#50C269015/CUST#1006635</v>
      </c>
      <c r="H1791" s="2">
        <v>477.8</v>
      </c>
      <c r="I1791" t="str">
        <f>"DOC#50C269015/CUST#1006635"</f>
        <v>DOC#50C269015/CUST#1006635</v>
      </c>
    </row>
    <row r="1792" spans="1:9" x14ac:dyDescent="0.3">
      <c r="A1792" t="str">
        <f>""</f>
        <v/>
      </c>
      <c r="F1792" t="str">
        <f>"PART4505926"</f>
        <v>PART4505926</v>
      </c>
      <c r="G1792" t="str">
        <f>"DOC#50C268981A/CUST#1006635"</f>
        <v>DOC#50C268981A/CUST#1006635</v>
      </c>
      <c r="H1792" s="2">
        <v>165.67</v>
      </c>
      <c r="I1792" t="str">
        <f>"DOC#50C268981A/CUST#1006635"</f>
        <v>DOC#50C268981A/CUST#1006635</v>
      </c>
    </row>
    <row r="1793" spans="1:9" x14ac:dyDescent="0.3">
      <c r="A1793" t="str">
        <f>""</f>
        <v/>
      </c>
      <c r="F1793" t="str">
        <f>"PART4505927"</f>
        <v>PART4505927</v>
      </c>
      <c r="G1793" t="str">
        <f>"DOC#50C269058/CUST#1006635"</f>
        <v>DOC#50C269058/CUST#1006635</v>
      </c>
      <c r="H1793" s="2">
        <v>30.46</v>
      </c>
      <c r="I1793" t="str">
        <f>"DOC#50C269058"</f>
        <v>DOC#50C269058</v>
      </c>
    </row>
    <row r="1794" spans="1:9" x14ac:dyDescent="0.3">
      <c r="A1794" t="str">
        <f>""</f>
        <v/>
      </c>
      <c r="F1794" t="str">
        <f>"PART4528977"</f>
        <v>PART4528977</v>
      </c>
      <c r="G1794" t="str">
        <f>"DOC#50C270446A/CUST#1006635"</f>
        <v>DOC#50C270446A/CUST#1006635</v>
      </c>
      <c r="H1794" s="2">
        <v>21.72</v>
      </c>
      <c r="I1794" t="str">
        <f>"DOC#50C270446A/CUST#1006635"</f>
        <v>DOC#50C270446A/CUST#1006635</v>
      </c>
    </row>
    <row r="1795" spans="1:9" x14ac:dyDescent="0.3">
      <c r="A1795" t="str">
        <f>""</f>
        <v/>
      </c>
      <c r="F1795" t="str">
        <f>"PART4536891"</f>
        <v>PART4536891</v>
      </c>
      <c r="G1795" t="str">
        <f>"DOC#50C271025/CUST#1006635"</f>
        <v>DOC#50C271025/CUST#1006635</v>
      </c>
      <c r="H1795" s="2">
        <v>110.97</v>
      </c>
      <c r="I1795" t="str">
        <f>"DOC#50C271025/CUST#1006635"</f>
        <v>DOC#50C271025/CUST#1006635</v>
      </c>
    </row>
    <row r="1796" spans="1:9" x14ac:dyDescent="0.3">
      <c r="A1796" t="str">
        <f>""</f>
        <v/>
      </c>
      <c r="F1796" t="str">
        <f>"PART4538853"</f>
        <v>PART4538853</v>
      </c>
      <c r="G1796" t="str">
        <f>"Skid Steer Tracks"</f>
        <v>Skid Steer Tracks</v>
      </c>
      <c r="H1796" s="2">
        <v>3453.06</v>
      </c>
      <c r="I1796" t="str">
        <f>"Skid Steer Tracks"</f>
        <v>Skid Steer Tracks</v>
      </c>
    </row>
    <row r="1797" spans="1:9" x14ac:dyDescent="0.3">
      <c r="A1797" t="str">
        <f>""</f>
        <v/>
      </c>
      <c r="F1797" t="str">
        <f>"PART4544344"</f>
        <v>PART4544344</v>
      </c>
      <c r="G1797" t="str">
        <f>"DOC#50C271508/CUST#1006635"</f>
        <v>DOC#50C271508/CUST#1006635</v>
      </c>
      <c r="H1797" s="2">
        <v>286.68</v>
      </c>
      <c r="I1797" t="str">
        <f>"DOC#50C271508/CUST#1006635"</f>
        <v>DOC#50C271508/CUST#1006635</v>
      </c>
    </row>
    <row r="1798" spans="1:9" x14ac:dyDescent="0.3">
      <c r="A1798" t="str">
        <f>""</f>
        <v/>
      </c>
      <c r="F1798" t="str">
        <f>"PART4548107"</f>
        <v>PART4548107</v>
      </c>
      <c r="G1798" t="str">
        <f>"DOC#50C271665A/CUST#1006635"</f>
        <v>DOC#50C271665A/CUST#1006635</v>
      </c>
      <c r="H1798" s="2">
        <v>138.31</v>
      </c>
      <c r="I1798" t="str">
        <f>"DOC#50C271665A/CUST#1006635"</f>
        <v>DOC#50C271665A/CUST#1006635</v>
      </c>
    </row>
    <row r="1799" spans="1:9" x14ac:dyDescent="0.3">
      <c r="A1799" t="str">
        <f>""</f>
        <v/>
      </c>
      <c r="F1799" t="str">
        <f>"PART4548108"</f>
        <v>PART4548108</v>
      </c>
      <c r="G1799" t="str">
        <f>"DOC#50C271739/CUST#1006635"</f>
        <v>DOC#50C271739/CUST#1006635</v>
      </c>
      <c r="H1799" s="2">
        <v>23.98</v>
      </c>
      <c r="I1799" t="str">
        <f>"DOC#50C271739/CUST#1006635"</f>
        <v>DOC#50C271739/CUST#1006635</v>
      </c>
    </row>
    <row r="1800" spans="1:9" x14ac:dyDescent="0.3">
      <c r="A1800" t="str">
        <f>"005140"</f>
        <v>005140</v>
      </c>
      <c r="B1800" t="s">
        <v>603</v>
      </c>
      <c r="C1800">
        <v>74315</v>
      </c>
      <c r="D1800" s="2">
        <v>35035</v>
      </c>
      <c r="E1800" s="1">
        <v>43080</v>
      </c>
      <c r="F1800" t="str">
        <f>"795"</f>
        <v>795</v>
      </c>
      <c r="G1800" t="str">
        <f>"PROJ#2017.008.00"</f>
        <v>PROJ#2017.008.00</v>
      </c>
      <c r="H1800" s="2">
        <v>24255</v>
      </c>
      <c r="I1800" t="str">
        <f>"PROJ#2017.008.00"</f>
        <v>PROJ#2017.008.00</v>
      </c>
    </row>
    <row r="1801" spans="1:9" x14ac:dyDescent="0.3">
      <c r="A1801" t="str">
        <f>""</f>
        <v/>
      </c>
      <c r="F1801" t="str">
        <f>"822"</f>
        <v>822</v>
      </c>
      <c r="G1801" t="str">
        <f>"PROJ#2017.008.00"</f>
        <v>PROJ#2017.008.00</v>
      </c>
      <c r="H1801" s="2">
        <v>10780</v>
      </c>
      <c r="I1801" t="str">
        <f>"PROJ#2017.008.00"</f>
        <v>PROJ#2017.008.00</v>
      </c>
    </row>
    <row r="1802" spans="1:9" x14ac:dyDescent="0.3">
      <c r="A1802" t="str">
        <f>"002092"</f>
        <v>002092</v>
      </c>
      <c r="B1802" t="s">
        <v>604</v>
      </c>
      <c r="C1802">
        <v>74316</v>
      </c>
      <c r="D1802" s="2">
        <v>714</v>
      </c>
      <c r="E1802" s="1">
        <v>43080</v>
      </c>
      <c r="F1802" t="str">
        <f>"625806"</f>
        <v>625806</v>
      </c>
      <c r="G1802" t="str">
        <f>"CUST#118663"</f>
        <v>CUST#118663</v>
      </c>
      <c r="H1802" s="2">
        <v>714</v>
      </c>
      <c r="I1802" t="str">
        <f>"CUST#118663"</f>
        <v>CUST#118663</v>
      </c>
    </row>
    <row r="1803" spans="1:9" x14ac:dyDescent="0.3">
      <c r="A1803" t="str">
        <f>"000374"</f>
        <v>000374</v>
      </c>
      <c r="B1803" t="s">
        <v>605</v>
      </c>
      <c r="C1803">
        <v>74317</v>
      </c>
      <c r="D1803" s="2">
        <v>159.99</v>
      </c>
      <c r="E1803" s="1">
        <v>43080</v>
      </c>
      <c r="F1803" t="str">
        <f>"I011504"</f>
        <v>I011504</v>
      </c>
      <c r="G1803" t="str">
        <f>"PART/LABOR"</f>
        <v>PART/LABOR</v>
      </c>
      <c r="H1803" s="2">
        <v>159.99</v>
      </c>
      <c r="I1803" t="str">
        <f>"PART/LABOR"</f>
        <v>PART/LABOR</v>
      </c>
    </row>
    <row r="1804" spans="1:9" x14ac:dyDescent="0.3">
      <c r="A1804" t="str">
        <f>"T6855"</f>
        <v>T6855</v>
      </c>
      <c r="B1804" t="s">
        <v>526</v>
      </c>
      <c r="C1804">
        <v>74318</v>
      </c>
      <c r="D1804" s="2">
        <v>2570.48</v>
      </c>
      <c r="E1804" s="1">
        <v>43080</v>
      </c>
      <c r="F1804" t="str">
        <f>"0699406-IN A"</f>
        <v>0699406-IN A</v>
      </c>
      <c r="G1804" t="str">
        <f>"ACCT#01-0112917/ORD#0699406"</f>
        <v>ACCT#01-0112917/ORD#0699406</v>
      </c>
      <c r="H1804" s="2">
        <v>2570.48</v>
      </c>
      <c r="I1804" t="str">
        <f>"ACCT#01-0112917/ORD#0699406"</f>
        <v>ACCT#01-0112917/ORD#0699406</v>
      </c>
    </row>
    <row r="1805" spans="1:9" x14ac:dyDescent="0.3">
      <c r="A1805" t="str">
        <f>"TAC1"</f>
        <v>TAC1</v>
      </c>
      <c r="B1805" t="s">
        <v>531</v>
      </c>
      <c r="C1805">
        <v>74512</v>
      </c>
      <c r="D1805" s="2">
        <v>2419.1999999999998</v>
      </c>
      <c r="E1805" s="1">
        <v>43097</v>
      </c>
      <c r="F1805" t="str">
        <f>"NRCN-20509-WC1"</f>
        <v>NRCN-20509-WC1</v>
      </c>
      <c r="G1805" t="str">
        <f>"2018 1ST QTR WORKERS COMP"</f>
        <v>2018 1ST QTR WORKERS COMP</v>
      </c>
      <c r="H1805" s="2">
        <v>2419.1999999999998</v>
      </c>
      <c r="I1805" t="str">
        <f>"2018 1ST QTR WORKERS COMP"</f>
        <v>2018 1ST QTR WORKERS COMP</v>
      </c>
    </row>
    <row r="1806" spans="1:9" x14ac:dyDescent="0.3">
      <c r="A1806" t="str">
        <f>""</f>
        <v/>
      </c>
      <c r="F1806" t="str">
        <f>""</f>
        <v/>
      </c>
      <c r="G1806" t="str">
        <f>""</f>
        <v/>
      </c>
      <c r="I1806" t="str">
        <f>"2018 1ST QTR WORKERS COMP"</f>
        <v>2018 1ST QTR WORKERS COMP</v>
      </c>
    </row>
    <row r="1807" spans="1:9" x14ac:dyDescent="0.3">
      <c r="A1807" t="str">
        <f>"003484"</f>
        <v>003484</v>
      </c>
      <c r="B1807" t="s">
        <v>606</v>
      </c>
      <c r="C1807">
        <v>74319</v>
      </c>
      <c r="D1807" s="2">
        <v>21518.18</v>
      </c>
      <c r="E1807" s="1">
        <v>43080</v>
      </c>
      <c r="F1807" t="str">
        <f>"9-1871"</f>
        <v>9-1871</v>
      </c>
      <c r="G1807" t="str">
        <f>"ACCT#8000002840/OLD PINEY TRL"</f>
        <v>ACCT#8000002840/OLD PINEY TRL</v>
      </c>
      <c r="H1807" s="2">
        <v>21518.18</v>
      </c>
      <c r="I1807" t="str">
        <f>"ACCT#8000002840/OLD PINEY TRL"</f>
        <v>ACCT#8000002840/OLD PINEY TRL</v>
      </c>
    </row>
    <row r="1808" spans="1:9" x14ac:dyDescent="0.3">
      <c r="A1808" t="str">
        <f>"003484"</f>
        <v>003484</v>
      </c>
      <c r="B1808" t="s">
        <v>606</v>
      </c>
      <c r="C1808">
        <v>74508</v>
      </c>
      <c r="D1808" s="2">
        <v>2603.1</v>
      </c>
      <c r="E1808" s="1">
        <v>43096</v>
      </c>
      <c r="F1808" t="str">
        <f>"9-1916"</f>
        <v>9-1916</v>
      </c>
      <c r="G1808" t="str">
        <f>"ACCT#8000002840/OLD PINEY TRL"</f>
        <v>ACCT#8000002840/OLD PINEY TRL</v>
      </c>
      <c r="H1808" s="2">
        <v>2603.1</v>
      </c>
      <c r="I1808" t="str">
        <f>"ACCT#8000002840/OLD PINEY TRL"</f>
        <v>ACCT#8000002840/OLD PINEY TRL</v>
      </c>
    </row>
    <row r="1809" spans="1:9" x14ac:dyDescent="0.3">
      <c r="A1809" t="str">
        <f>"003479"</f>
        <v>003479</v>
      </c>
      <c r="B1809" t="s">
        <v>584</v>
      </c>
      <c r="C1809">
        <v>74509</v>
      </c>
      <c r="D1809" s="2">
        <v>9.99</v>
      </c>
      <c r="E1809" s="1">
        <v>43096</v>
      </c>
      <c r="F1809" t="str">
        <f>"140915"</f>
        <v>140915</v>
      </c>
      <c r="G1809" t="str">
        <f>"CAMO MESH STIHL CAP/OEM"</f>
        <v>CAMO MESH STIHL CAP/OEM</v>
      </c>
      <c r="H1809" s="2">
        <v>9.99</v>
      </c>
      <c r="I1809" t="str">
        <f>"CAMO MESH STIHL CAP/OEM"</f>
        <v>CAMO MESH STIHL CAP/OEM</v>
      </c>
    </row>
    <row r="1810" spans="1:9" x14ac:dyDescent="0.3">
      <c r="A1810" t="str">
        <f>"ALLSTA"</f>
        <v>ALLSTA</v>
      </c>
      <c r="B1810" t="s">
        <v>607</v>
      </c>
      <c r="C1810">
        <v>0</v>
      </c>
      <c r="D1810" s="2">
        <v>8077.41</v>
      </c>
      <c r="E1810" s="1">
        <v>43091</v>
      </c>
      <c r="F1810" t="str">
        <f>"201712207499"</f>
        <v>201712207499</v>
      </c>
      <c r="G1810" t="str">
        <f>"ALLSTATE-AMERICAN HERITAGE LIF"</f>
        <v>ALLSTATE-AMERICAN HERITAGE LIF</v>
      </c>
      <c r="H1810" s="2">
        <v>0.05</v>
      </c>
      <c r="I1810" t="str">
        <f>"ALLSTATE-AMERICAN HERITAGE LIF"</f>
        <v>ALLSTATE-AMERICAN HERITAGE LIF</v>
      </c>
    </row>
    <row r="1811" spans="1:9" x14ac:dyDescent="0.3">
      <c r="A1811" t="str">
        <f>""</f>
        <v/>
      </c>
      <c r="F1811" t="str">
        <f>"AS 201711296859"</f>
        <v>AS 201711296859</v>
      </c>
      <c r="G1811" t="str">
        <f t="shared" ref="G1811:G1824" si="23">"ALLSTATE"</f>
        <v>ALLSTATE</v>
      </c>
      <c r="H1811" s="2">
        <v>783.27</v>
      </c>
      <c r="I1811" t="str">
        <f t="shared" ref="I1811:I1824" si="24">"ALLSTATE"</f>
        <v>ALLSTATE</v>
      </c>
    </row>
    <row r="1812" spans="1:9" x14ac:dyDescent="0.3">
      <c r="A1812" t="str">
        <f>""</f>
        <v/>
      </c>
      <c r="F1812" t="str">
        <f>"AS 201711296860"</f>
        <v>AS 201711296860</v>
      </c>
      <c r="G1812" t="str">
        <f t="shared" si="23"/>
        <v>ALLSTATE</v>
      </c>
      <c r="H1812" s="2">
        <v>36.14</v>
      </c>
      <c r="I1812" t="str">
        <f t="shared" si="24"/>
        <v>ALLSTATE</v>
      </c>
    </row>
    <row r="1813" spans="1:9" x14ac:dyDescent="0.3">
      <c r="A1813" t="str">
        <f>""</f>
        <v/>
      </c>
      <c r="F1813" t="str">
        <f>"AS 201712137295"</f>
        <v>AS 201712137295</v>
      </c>
      <c r="G1813" t="str">
        <f t="shared" si="23"/>
        <v>ALLSTATE</v>
      </c>
      <c r="H1813" s="2">
        <v>783.27</v>
      </c>
      <c r="I1813" t="str">
        <f t="shared" si="24"/>
        <v>ALLSTATE</v>
      </c>
    </row>
    <row r="1814" spans="1:9" x14ac:dyDescent="0.3">
      <c r="A1814" t="str">
        <f>""</f>
        <v/>
      </c>
      <c r="F1814" t="str">
        <f>"AS 201712137296"</f>
        <v>AS 201712137296</v>
      </c>
      <c r="G1814" t="str">
        <f t="shared" si="23"/>
        <v>ALLSTATE</v>
      </c>
      <c r="H1814" s="2">
        <v>36.14</v>
      </c>
      <c r="I1814" t="str">
        <f t="shared" si="24"/>
        <v>ALLSTATE</v>
      </c>
    </row>
    <row r="1815" spans="1:9" x14ac:dyDescent="0.3">
      <c r="A1815" t="str">
        <f>""</f>
        <v/>
      </c>
      <c r="F1815" t="str">
        <f>"ASD201711296859"</f>
        <v>ASD201711296859</v>
      </c>
      <c r="G1815" t="str">
        <f t="shared" si="23"/>
        <v>ALLSTATE</v>
      </c>
      <c r="H1815" s="2">
        <v>317.52</v>
      </c>
      <c r="I1815" t="str">
        <f t="shared" si="24"/>
        <v>ALLSTATE</v>
      </c>
    </row>
    <row r="1816" spans="1:9" x14ac:dyDescent="0.3">
      <c r="A1816" t="str">
        <f>""</f>
        <v/>
      </c>
      <c r="F1816" t="str">
        <f>"ASD201712137295"</f>
        <v>ASD201712137295</v>
      </c>
      <c r="G1816" t="str">
        <f t="shared" si="23"/>
        <v>ALLSTATE</v>
      </c>
      <c r="H1816" s="2">
        <v>317.52</v>
      </c>
      <c r="I1816" t="str">
        <f t="shared" si="24"/>
        <v>ALLSTATE</v>
      </c>
    </row>
    <row r="1817" spans="1:9" x14ac:dyDescent="0.3">
      <c r="A1817" t="str">
        <f>""</f>
        <v/>
      </c>
      <c r="F1817" t="str">
        <f>"ASI201711296859"</f>
        <v>ASI201711296859</v>
      </c>
      <c r="G1817" t="str">
        <f t="shared" si="23"/>
        <v>ALLSTATE</v>
      </c>
      <c r="H1817" s="2">
        <v>984.05</v>
      </c>
      <c r="I1817" t="str">
        <f t="shared" si="24"/>
        <v>ALLSTATE</v>
      </c>
    </row>
    <row r="1818" spans="1:9" x14ac:dyDescent="0.3">
      <c r="A1818" t="str">
        <f>""</f>
        <v/>
      </c>
      <c r="F1818" t="str">
        <f>"ASI201711296860"</f>
        <v>ASI201711296860</v>
      </c>
      <c r="G1818" t="str">
        <f t="shared" si="23"/>
        <v>ALLSTATE</v>
      </c>
      <c r="H1818" s="2">
        <v>100.63</v>
      </c>
      <c r="I1818" t="str">
        <f t="shared" si="24"/>
        <v>ALLSTATE</v>
      </c>
    </row>
    <row r="1819" spans="1:9" x14ac:dyDescent="0.3">
      <c r="A1819" t="str">
        <f>""</f>
        <v/>
      </c>
      <c r="F1819" t="str">
        <f>"ASI201712137295"</f>
        <v>ASI201712137295</v>
      </c>
      <c r="G1819" t="str">
        <f t="shared" si="23"/>
        <v>ALLSTATE</v>
      </c>
      <c r="H1819" s="2">
        <v>984.05</v>
      </c>
      <c r="I1819" t="str">
        <f t="shared" si="24"/>
        <v>ALLSTATE</v>
      </c>
    </row>
    <row r="1820" spans="1:9" x14ac:dyDescent="0.3">
      <c r="A1820" t="str">
        <f>""</f>
        <v/>
      </c>
      <c r="F1820" t="str">
        <f>"ASI201712137296"</f>
        <v>ASI201712137296</v>
      </c>
      <c r="G1820" t="str">
        <f t="shared" si="23"/>
        <v>ALLSTATE</v>
      </c>
      <c r="H1820" s="2">
        <v>100.63</v>
      </c>
      <c r="I1820" t="str">
        <f t="shared" si="24"/>
        <v>ALLSTATE</v>
      </c>
    </row>
    <row r="1821" spans="1:9" x14ac:dyDescent="0.3">
      <c r="A1821" t="str">
        <f>""</f>
        <v/>
      </c>
      <c r="F1821" t="str">
        <f>"AST201711296859"</f>
        <v>AST201711296859</v>
      </c>
      <c r="G1821" t="str">
        <f t="shared" si="23"/>
        <v>ALLSTATE</v>
      </c>
      <c r="H1821" s="2">
        <v>1763.24</v>
      </c>
      <c r="I1821" t="str">
        <f t="shared" si="24"/>
        <v>ALLSTATE</v>
      </c>
    </row>
    <row r="1822" spans="1:9" x14ac:dyDescent="0.3">
      <c r="A1822" t="str">
        <f>""</f>
        <v/>
      </c>
      <c r="F1822" t="str">
        <f>"AST201711296860"</f>
        <v>AST201711296860</v>
      </c>
      <c r="G1822" t="str">
        <f t="shared" si="23"/>
        <v>ALLSTATE</v>
      </c>
      <c r="H1822" s="2">
        <v>53.83</v>
      </c>
      <c r="I1822" t="str">
        <f t="shared" si="24"/>
        <v>ALLSTATE</v>
      </c>
    </row>
    <row r="1823" spans="1:9" x14ac:dyDescent="0.3">
      <c r="A1823" t="str">
        <f>""</f>
        <v/>
      </c>
      <c r="F1823" t="str">
        <f>"AST201712137295"</f>
        <v>AST201712137295</v>
      </c>
      <c r="G1823" t="str">
        <f t="shared" si="23"/>
        <v>ALLSTATE</v>
      </c>
      <c r="H1823" s="2">
        <v>1763.24</v>
      </c>
      <c r="I1823" t="str">
        <f t="shared" si="24"/>
        <v>ALLSTATE</v>
      </c>
    </row>
    <row r="1824" spans="1:9" x14ac:dyDescent="0.3">
      <c r="A1824" t="str">
        <f>""</f>
        <v/>
      </c>
      <c r="F1824" t="str">
        <f>"AST201712137296"</f>
        <v>AST201712137296</v>
      </c>
      <c r="G1824" t="str">
        <f t="shared" si="23"/>
        <v>ALLSTATE</v>
      </c>
      <c r="H1824" s="2">
        <v>53.83</v>
      </c>
      <c r="I1824" t="str">
        <f t="shared" si="24"/>
        <v>ALLSTATE</v>
      </c>
    </row>
    <row r="1825" spans="1:9" x14ac:dyDescent="0.3">
      <c r="A1825" t="str">
        <f>"002234"</f>
        <v>002234</v>
      </c>
      <c r="B1825" t="s">
        <v>608</v>
      </c>
      <c r="C1825">
        <v>0</v>
      </c>
      <c r="D1825" s="2">
        <v>1278</v>
      </c>
      <c r="E1825" s="1">
        <v>43091</v>
      </c>
      <c r="F1825" t="str">
        <f>"BAS201711296859"</f>
        <v>BAS201711296859</v>
      </c>
      <c r="G1825" t="str">
        <f>"B.A.S.E."</f>
        <v>B.A.S.E.</v>
      </c>
      <c r="H1825" s="2">
        <v>636</v>
      </c>
      <c r="I1825" t="str">
        <f>"B.A.S.E."</f>
        <v>B.A.S.E.</v>
      </c>
    </row>
    <row r="1826" spans="1:9" x14ac:dyDescent="0.3">
      <c r="A1826" t="str">
        <f>""</f>
        <v/>
      </c>
      <c r="F1826" t="str">
        <f>"BAS201712137295"</f>
        <v>BAS201712137295</v>
      </c>
      <c r="G1826" t="str">
        <f>"B.A.S.E."</f>
        <v>B.A.S.E.</v>
      </c>
      <c r="H1826" s="2">
        <v>642</v>
      </c>
      <c r="I1826" t="str">
        <f>"B.A.S.E."</f>
        <v>B.A.S.E.</v>
      </c>
    </row>
    <row r="1827" spans="1:9" x14ac:dyDescent="0.3">
      <c r="A1827" t="str">
        <f>"T12180"</f>
        <v>T12180</v>
      </c>
      <c r="B1827" t="s">
        <v>609</v>
      </c>
      <c r="C1827">
        <v>0</v>
      </c>
      <c r="D1827" s="2">
        <v>3151.47</v>
      </c>
      <c r="E1827" s="1">
        <v>43070</v>
      </c>
      <c r="F1827" t="str">
        <f>"DDP201711296861"</f>
        <v>DDP201711296861</v>
      </c>
      <c r="G1827" t="str">
        <f>"AP - TEXAS DISCOUNT DENTAL"</f>
        <v>AP - TEXAS DISCOUNT DENTAL</v>
      </c>
      <c r="H1827" s="2">
        <v>6.53</v>
      </c>
      <c r="I1827" t="str">
        <f>"AP - TEXAS DISCOUNT DENTAL"</f>
        <v>AP - TEXAS DISCOUNT DENTAL</v>
      </c>
    </row>
    <row r="1828" spans="1:9" x14ac:dyDescent="0.3">
      <c r="A1828" t="str">
        <f>""</f>
        <v/>
      </c>
      <c r="F1828" t="str">
        <f>"DHM201711296861"</f>
        <v>DHM201711296861</v>
      </c>
      <c r="G1828" t="str">
        <f>"AP - DENTAL HMO"</f>
        <v>AP - DENTAL HMO</v>
      </c>
      <c r="H1828" s="2">
        <v>30.7</v>
      </c>
      <c r="I1828" t="str">
        <f>"AP - DENTAL HMO"</f>
        <v>AP - DENTAL HMO</v>
      </c>
    </row>
    <row r="1829" spans="1:9" x14ac:dyDescent="0.3">
      <c r="A1829" t="str">
        <f>""</f>
        <v/>
      </c>
      <c r="F1829" t="str">
        <f>"DTX201711296861"</f>
        <v>DTX201711296861</v>
      </c>
      <c r="G1829" t="str">
        <f>"AP - TEXAS DENTAL"</f>
        <v>AP - TEXAS DENTAL</v>
      </c>
      <c r="H1829" s="2">
        <v>397.64</v>
      </c>
      <c r="I1829" t="str">
        <f>"AP - TEXAS DENTAL"</f>
        <v>AP - TEXAS DENTAL</v>
      </c>
    </row>
    <row r="1830" spans="1:9" x14ac:dyDescent="0.3">
      <c r="A1830" t="str">
        <f>""</f>
        <v/>
      </c>
      <c r="F1830" t="str">
        <f>"FD 201711296861"</f>
        <v>FD 201711296861</v>
      </c>
      <c r="G1830" t="str">
        <f>"AP - FT DEARBORN PRE-TAX"</f>
        <v>AP - FT DEARBORN PRE-TAX</v>
      </c>
      <c r="H1830" s="2">
        <v>221.68</v>
      </c>
      <c r="I1830" t="str">
        <f>"AP - FT DEARBORN PRE-TAX"</f>
        <v>AP - FT DEARBORN PRE-TAX</v>
      </c>
    </row>
    <row r="1831" spans="1:9" x14ac:dyDescent="0.3">
      <c r="A1831" t="str">
        <f>""</f>
        <v/>
      </c>
      <c r="F1831" t="str">
        <f>"FDT201711296861"</f>
        <v>FDT201711296861</v>
      </c>
      <c r="G1831" t="str">
        <f>"AP - FT DEARBORN AFTER TAX"</f>
        <v>AP - FT DEARBORN AFTER TAX</v>
      </c>
      <c r="H1831" s="2">
        <v>86.55</v>
      </c>
      <c r="I1831" t="str">
        <f>"AP - FT DEARBORN AFTER TAX"</f>
        <v>AP - FT DEARBORN AFTER TAX</v>
      </c>
    </row>
    <row r="1832" spans="1:9" x14ac:dyDescent="0.3">
      <c r="A1832" t="str">
        <f>""</f>
        <v/>
      </c>
      <c r="F1832" t="str">
        <f>"FLX201711296861"</f>
        <v>FLX201711296861</v>
      </c>
      <c r="G1832" t="str">
        <f>"AP - TEX FLEX"</f>
        <v>AP - TEX FLEX</v>
      </c>
      <c r="H1832" s="2">
        <v>312</v>
      </c>
      <c r="I1832" t="str">
        <f>"AP - TEX FLEX"</f>
        <v>AP - TEX FLEX</v>
      </c>
    </row>
    <row r="1833" spans="1:9" x14ac:dyDescent="0.3">
      <c r="A1833" t="str">
        <f>""</f>
        <v/>
      </c>
      <c r="F1833" t="str">
        <f>"MHS201711296861"</f>
        <v>MHS201711296861</v>
      </c>
      <c r="G1833" t="str">
        <f>"AP - HEALTH SELECT MEDICAL"</f>
        <v>AP - HEALTH SELECT MEDICAL</v>
      </c>
      <c r="H1833" s="2">
        <v>1787.8</v>
      </c>
      <c r="I1833" t="str">
        <f>"AP - HEALTH SELECT MEDICAL"</f>
        <v>AP - HEALTH SELECT MEDICAL</v>
      </c>
    </row>
    <row r="1834" spans="1:9" x14ac:dyDescent="0.3">
      <c r="A1834" t="str">
        <f>""</f>
        <v/>
      </c>
      <c r="F1834" t="str">
        <f>"MSW201711296861"</f>
        <v>MSW201711296861</v>
      </c>
      <c r="G1834" t="str">
        <f>"AP - SCOTT &amp; WHITE MEDICAL"</f>
        <v>AP - SCOTT &amp; WHITE MEDICAL</v>
      </c>
      <c r="H1834" s="2">
        <v>291.82</v>
      </c>
      <c r="I1834" t="str">
        <f>"AP - SCOTT &amp; WHITE MEDICAL"</f>
        <v>AP - SCOTT &amp; WHITE MEDICAL</v>
      </c>
    </row>
    <row r="1835" spans="1:9" x14ac:dyDescent="0.3">
      <c r="A1835" t="str">
        <f>""</f>
        <v/>
      </c>
      <c r="F1835" t="str">
        <f>"SPE201711296861"</f>
        <v>SPE201711296861</v>
      </c>
      <c r="G1835" t="str">
        <f>"AP - STATE VISION"</f>
        <v>AP - STATE VISION</v>
      </c>
      <c r="H1835" s="2">
        <v>16.75</v>
      </c>
      <c r="I1835" t="str">
        <f>"AP - STATE VISION"</f>
        <v>AP - STATE VISION</v>
      </c>
    </row>
    <row r="1836" spans="1:9" x14ac:dyDescent="0.3">
      <c r="A1836" t="str">
        <f>"T12180"</f>
        <v>T12180</v>
      </c>
      <c r="B1836" t="s">
        <v>609</v>
      </c>
      <c r="C1836">
        <v>0</v>
      </c>
      <c r="D1836" s="2">
        <v>3151.46</v>
      </c>
      <c r="E1836" s="1">
        <v>43084</v>
      </c>
      <c r="F1836" t="str">
        <f>"DDP201712137297"</f>
        <v>DDP201712137297</v>
      </c>
      <c r="G1836" t="str">
        <f>"AP - TEXAS DISCOUNT DENTAL"</f>
        <v>AP - TEXAS DISCOUNT DENTAL</v>
      </c>
      <c r="H1836" s="2">
        <v>6.53</v>
      </c>
      <c r="I1836" t="str">
        <f>"AP - TEXAS DISCOUNT DENTAL"</f>
        <v>AP - TEXAS DISCOUNT DENTAL</v>
      </c>
    </row>
    <row r="1837" spans="1:9" x14ac:dyDescent="0.3">
      <c r="A1837" t="str">
        <f>""</f>
        <v/>
      </c>
      <c r="F1837" t="str">
        <f>"DHM201712137297"</f>
        <v>DHM201712137297</v>
      </c>
      <c r="G1837" t="str">
        <f>"AP - DENTAL HMO"</f>
        <v>AP - DENTAL HMO</v>
      </c>
      <c r="H1837" s="2">
        <v>30.7</v>
      </c>
      <c r="I1837" t="str">
        <f>"AP - DENTAL HMO"</f>
        <v>AP - DENTAL HMO</v>
      </c>
    </row>
    <row r="1838" spans="1:9" x14ac:dyDescent="0.3">
      <c r="A1838" t="str">
        <f>""</f>
        <v/>
      </c>
      <c r="F1838" t="str">
        <f>"DTX201712137297"</f>
        <v>DTX201712137297</v>
      </c>
      <c r="G1838" t="str">
        <f>"AP - TEXAS DENTAL"</f>
        <v>AP - TEXAS DENTAL</v>
      </c>
      <c r="H1838" s="2">
        <v>397.64</v>
      </c>
      <c r="I1838" t="str">
        <f>"AP - TEXAS DENTAL"</f>
        <v>AP - TEXAS DENTAL</v>
      </c>
    </row>
    <row r="1839" spans="1:9" x14ac:dyDescent="0.3">
      <c r="A1839" t="str">
        <f>""</f>
        <v/>
      </c>
      <c r="F1839" t="str">
        <f>"FD 201712137297"</f>
        <v>FD 201712137297</v>
      </c>
      <c r="G1839" t="str">
        <f>"AP - FT DEARBORN PRE-TAX"</f>
        <v>AP - FT DEARBORN PRE-TAX</v>
      </c>
      <c r="H1839" s="2">
        <v>221.68</v>
      </c>
      <c r="I1839" t="str">
        <f>"AP - FT DEARBORN PRE-TAX"</f>
        <v>AP - FT DEARBORN PRE-TAX</v>
      </c>
    </row>
    <row r="1840" spans="1:9" x14ac:dyDescent="0.3">
      <c r="A1840" t="str">
        <f>""</f>
        <v/>
      </c>
      <c r="F1840" t="str">
        <f>"FDT201712137297"</f>
        <v>FDT201712137297</v>
      </c>
      <c r="G1840" t="str">
        <f>"AP - FT DEARBORN AFTER TAX"</f>
        <v>AP - FT DEARBORN AFTER TAX</v>
      </c>
      <c r="H1840" s="2">
        <v>86.54</v>
      </c>
      <c r="I1840" t="str">
        <f>"AP - FT DEARBORN AFTER TAX"</f>
        <v>AP - FT DEARBORN AFTER TAX</v>
      </c>
    </row>
    <row r="1841" spans="1:9" x14ac:dyDescent="0.3">
      <c r="A1841" t="str">
        <f>""</f>
        <v/>
      </c>
      <c r="F1841" t="str">
        <f>"FLX201712137297"</f>
        <v>FLX201712137297</v>
      </c>
      <c r="G1841" t="str">
        <f>"AP - TEX FLEX"</f>
        <v>AP - TEX FLEX</v>
      </c>
      <c r="H1841" s="2">
        <v>312</v>
      </c>
      <c r="I1841" t="str">
        <f>"AP - TEX FLEX"</f>
        <v>AP - TEX FLEX</v>
      </c>
    </row>
    <row r="1842" spans="1:9" x14ac:dyDescent="0.3">
      <c r="A1842" t="str">
        <f>""</f>
        <v/>
      </c>
      <c r="F1842" t="str">
        <f>"MHS201712137297"</f>
        <v>MHS201712137297</v>
      </c>
      <c r="G1842" t="str">
        <f>"AP - HEALTH SELECT MEDICAL"</f>
        <v>AP - HEALTH SELECT MEDICAL</v>
      </c>
      <c r="H1842" s="2">
        <v>1787.8</v>
      </c>
      <c r="I1842" t="str">
        <f>"AP - HEALTH SELECT MEDICAL"</f>
        <v>AP - HEALTH SELECT MEDICAL</v>
      </c>
    </row>
    <row r="1843" spans="1:9" x14ac:dyDescent="0.3">
      <c r="A1843" t="str">
        <f>""</f>
        <v/>
      </c>
      <c r="F1843" t="str">
        <f>"MSW201712137297"</f>
        <v>MSW201712137297</v>
      </c>
      <c r="G1843" t="str">
        <f>"AP - SCOTT &amp; WHITE MEDICAL"</f>
        <v>AP - SCOTT &amp; WHITE MEDICAL</v>
      </c>
      <c r="H1843" s="2">
        <v>291.82</v>
      </c>
      <c r="I1843" t="str">
        <f>"AP - SCOTT &amp; WHITE MEDICAL"</f>
        <v>AP - SCOTT &amp; WHITE MEDICAL</v>
      </c>
    </row>
    <row r="1844" spans="1:9" x14ac:dyDescent="0.3">
      <c r="A1844" t="str">
        <f>""</f>
        <v/>
      </c>
      <c r="F1844" t="str">
        <f>"SPE201712137297"</f>
        <v>SPE201712137297</v>
      </c>
      <c r="G1844" t="str">
        <f>"AP - STATE VISION"</f>
        <v>AP - STATE VISION</v>
      </c>
      <c r="H1844" s="2">
        <v>16.75</v>
      </c>
      <c r="I1844" t="str">
        <f>"AP - STATE VISION"</f>
        <v>AP - STATE VISION</v>
      </c>
    </row>
    <row r="1845" spans="1:9" x14ac:dyDescent="0.3">
      <c r="A1845" t="str">
        <f>"COLONI"</f>
        <v>COLONI</v>
      </c>
      <c r="B1845" t="s">
        <v>610</v>
      </c>
      <c r="C1845">
        <v>0</v>
      </c>
      <c r="D1845" s="2">
        <v>5495.64</v>
      </c>
      <c r="E1845" s="1">
        <v>43091</v>
      </c>
      <c r="F1845" t="str">
        <f>"201712207501"</f>
        <v>201712207501</v>
      </c>
      <c r="G1845" t="str">
        <f>"COLONIAL LIFE &amp; ACCIDENT INS."</f>
        <v>COLONIAL LIFE &amp; ACCIDENT INS.</v>
      </c>
      <c r="H1845" s="2">
        <v>-0.54</v>
      </c>
      <c r="I1845" t="str">
        <f>"COLONIAL LIFE &amp; ACCIDENT INS."</f>
        <v>COLONIAL LIFE &amp; ACCIDENT INS.</v>
      </c>
    </row>
    <row r="1846" spans="1:9" x14ac:dyDescent="0.3">
      <c r="A1846" t="str">
        <f>""</f>
        <v/>
      </c>
      <c r="F1846" t="str">
        <f>"201712207500"</f>
        <v>201712207500</v>
      </c>
      <c r="G1846" t="str">
        <f>"Kathy Foster Reimb"</f>
        <v>Kathy Foster Reimb</v>
      </c>
      <c r="H1846" s="2">
        <v>21.16</v>
      </c>
      <c r="I1846" t="str">
        <f>"Kathy Foster Reimb"</f>
        <v>Kathy Foster Reimb</v>
      </c>
    </row>
    <row r="1847" spans="1:9" x14ac:dyDescent="0.3">
      <c r="A1847" t="str">
        <f>""</f>
        <v/>
      </c>
      <c r="F1847" t="str">
        <f>"CL 201711296859"</f>
        <v>CL 201711296859</v>
      </c>
      <c r="G1847" t="str">
        <f t="shared" ref="G1847:G1868" si="25">"COLONIAL"</f>
        <v>COLONIAL</v>
      </c>
      <c r="H1847" s="2">
        <v>785.93</v>
      </c>
      <c r="I1847" t="str">
        <f t="shared" ref="I1847:I1868" si="26">"COLONIAL"</f>
        <v>COLONIAL</v>
      </c>
    </row>
    <row r="1848" spans="1:9" x14ac:dyDescent="0.3">
      <c r="A1848" t="str">
        <f>""</f>
        <v/>
      </c>
      <c r="F1848" t="str">
        <f>"CL 201711296860"</f>
        <v>CL 201711296860</v>
      </c>
      <c r="G1848" t="str">
        <f t="shared" si="25"/>
        <v>COLONIAL</v>
      </c>
      <c r="H1848" s="2">
        <v>14.49</v>
      </c>
      <c r="I1848" t="str">
        <f t="shared" si="26"/>
        <v>COLONIAL</v>
      </c>
    </row>
    <row r="1849" spans="1:9" x14ac:dyDescent="0.3">
      <c r="A1849" t="str">
        <f>""</f>
        <v/>
      </c>
      <c r="F1849" t="str">
        <f>"CL 201712137295"</f>
        <v>CL 201712137295</v>
      </c>
      <c r="G1849" t="str">
        <f t="shared" si="25"/>
        <v>COLONIAL</v>
      </c>
      <c r="H1849" s="2">
        <v>807.09</v>
      </c>
      <c r="I1849" t="str">
        <f t="shared" si="26"/>
        <v>COLONIAL</v>
      </c>
    </row>
    <row r="1850" spans="1:9" x14ac:dyDescent="0.3">
      <c r="A1850" t="str">
        <f>""</f>
        <v/>
      </c>
      <c r="F1850" t="str">
        <f>"CL 201712137296"</f>
        <v>CL 201712137296</v>
      </c>
      <c r="G1850" t="str">
        <f t="shared" si="25"/>
        <v>COLONIAL</v>
      </c>
      <c r="H1850" s="2">
        <v>14.49</v>
      </c>
      <c r="I1850" t="str">
        <f t="shared" si="26"/>
        <v>COLONIAL</v>
      </c>
    </row>
    <row r="1851" spans="1:9" x14ac:dyDescent="0.3">
      <c r="A1851" t="str">
        <f>""</f>
        <v/>
      </c>
      <c r="F1851" t="str">
        <f>"CLC201711296859"</f>
        <v>CLC201711296859</v>
      </c>
      <c r="G1851" t="str">
        <f t="shared" si="25"/>
        <v>COLONIAL</v>
      </c>
      <c r="H1851" s="2">
        <v>100.6</v>
      </c>
      <c r="I1851" t="str">
        <f t="shared" si="26"/>
        <v>COLONIAL</v>
      </c>
    </row>
    <row r="1852" spans="1:9" x14ac:dyDescent="0.3">
      <c r="A1852" t="str">
        <f>""</f>
        <v/>
      </c>
      <c r="F1852" t="str">
        <f>"CLC201712137295"</f>
        <v>CLC201712137295</v>
      </c>
      <c r="G1852" t="str">
        <f t="shared" si="25"/>
        <v>COLONIAL</v>
      </c>
      <c r="H1852" s="2">
        <v>100.6</v>
      </c>
      <c r="I1852" t="str">
        <f t="shared" si="26"/>
        <v>COLONIAL</v>
      </c>
    </row>
    <row r="1853" spans="1:9" x14ac:dyDescent="0.3">
      <c r="A1853" t="str">
        <f>""</f>
        <v/>
      </c>
      <c r="F1853" t="str">
        <f>"CLI201711296859"</f>
        <v>CLI201711296859</v>
      </c>
      <c r="G1853" t="str">
        <f t="shared" si="25"/>
        <v>COLONIAL</v>
      </c>
      <c r="H1853" s="2">
        <v>658.42</v>
      </c>
      <c r="I1853" t="str">
        <f t="shared" si="26"/>
        <v>COLONIAL</v>
      </c>
    </row>
    <row r="1854" spans="1:9" x14ac:dyDescent="0.3">
      <c r="A1854" t="str">
        <f>""</f>
        <v/>
      </c>
      <c r="F1854" t="str">
        <f>"CLI201711296860"</f>
        <v>CLI201711296860</v>
      </c>
      <c r="G1854" t="str">
        <f t="shared" si="25"/>
        <v>COLONIAL</v>
      </c>
      <c r="H1854" s="2">
        <v>17.53</v>
      </c>
      <c r="I1854" t="str">
        <f t="shared" si="26"/>
        <v>COLONIAL</v>
      </c>
    </row>
    <row r="1855" spans="1:9" x14ac:dyDescent="0.3">
      <c r="A1855" t="str">
        <f>""</f>
        <v/>
      </c>
      <c r="F1855" t="str">
        <f>"CLI201712137295"</f>
        <v>CLI201712137295</v>
      </c>
      <c r="G1855" t="str">
        <f t="shared" si="25"/>
        <v>COLONIAL</v>
      </c>
      <c r="H1855" s="2">
        <v>658.42</v>
      </c>
      <c r="I1855" t="str">
        <f t="shared" si="26"/>
        <v>COLONIAL</v>
      </c>
    </row>
    <row r="1856" spans="1:9" x14ac:dyDescent="0.3">
      <c r="A1856" t="str">
        <f>""</f>
        <v/>
      </c>
      <c r="F1856" t="str">
        <f>"CLI201712137296"</f>
        <v>CLI201712137296</v>
      </c>
      <c r="G1856" t="str">
        <f t="shared" si="25"/>
        <v>COLONIAL</v>
      </c>
      <c r="H1856" s="2">
        <v>17.53</v>
      </c>
      <c r="I1856" t="str">
        <f t="shared" si="26"/>
        <v>COLONIAL</v>
      </c>
    </row>
    <row r="1857" spans="1:9" x14ac:dyDescent="0.3">
      <c r="A1857" t="str">
        <f>""</f>
        <v/>
      </c>
      <c r="F1857" t="str">
        <f>"CLK201711296859"</f>
        <v>CLK201711296859</v>
      </c>
      <c r="G1857" t="str">
        <f t="shared" si="25"/>
        <v>COLONIAL</v>
      </c>
      <c r="H1857" s="2">
        <v>27.09</v>
      </c>
      <c r="I1857" t="str">
        <f t="shared" si="26"/>
        <v>COLONIAL</v>
      </c>
    </row>
    <row r="1858" spans="1:9" x14ac:dyDescent="0.3">
      <c r="A1858" t="str">
        <f>""</f>
        <v/>
      </c>
      <c r="F1858" t="str">
        <f>"CLK201712137295"</f>
        <v>CLK201712137295</v>
      </c>
      <c r="G1858" t="str">
        <f t="shared" si="25"/>
        <v>COLONIAL</v>
      </c>
      <c r="H1858" s="2">
        <v>27.09</v>
      </c>
      <c r="I1858" t="str">
        <f t="shared" si="26"/>
        <v>COLONIAL</v>
      </c>
    </row>
    <row r="1859" spans="1:9" x14ac:dyDescent="0.3">
      <c r="A1859" t="str">
        <f>""</f>
        <v/>
      </c>
      <c r="F1859" t="str">
        <f>"CLS201711296859"</f>
        <v>CLS201711296859</v>
      </c>
      <c r="G1859" t="str">
        <f t="shared" si="25"/>
        <v>COLONIAL</v>
      </c>
      <c r="H1859" s="2">
        <v>418.22</v>
      </c>
      <c r="I1859" t="str">
        <f t="shared" si="26"/>
        <v>COLONIAL</v>
      </c>
    </row>
    <row r="1860" spans="1:9" x14ac:dyDescent="0.3">
      <c r="A1860" t="str">
        <f>""</f>
        <v/>
      </c>
      <c r="F1860" t="str">
        <f>"CLS201711296860"</f>
        <v>CLS201711296860</v>
      </c>
      <c r="G1860" t="str">
        <f t="shared" si="25"/>
        <v>COLONIAL</v>
      </c>
      <c r="H1860" s="2">
        <v>12.84</v>
      </c>
      <c r="I1860" t="str">
        <f t="shared" si="26"/>
        <v>COLONIAL</v>
      </c>
    </row>
    <row r="1861" spans="1:9" x14ac:dyDescent="0.3">
      <c r="A1861" t="str">
        <f>""</f>
        <v/>
      </c>
      <c r="F1861" t="str">
        <f>"CLS201712137295"</f>
        <v>CLS201712137295</v>
      </c>
      <c r="G1861" t="str">
        <f t="shared" si="25"/>
        <v>COLONIAL</v>
      </c>
      <c r="H1861" s="2">
        <v>418.22</v>
      </c>
      <c r="I1861" t="str">
        <f t="shared" si="26"/>
        <v>COLONIAL</v>
      </c>
    </row>
    <row r="1862" spans="1:9" x14ac:dyDescent="0.3">
      <c r="A1862" t="str">
        <f>""</f>
        <v/>
      </c>
      <c r="F1862" t="str">
        <f>"CLS201712137296"</f>
        <v>CLS201712137296</v>
      </c>
      <c r="G1862" t="str">
        <f t="shared" si="25"/>
        <v>COLONIAL</v>
      </c>
      <c r="H1862" s="2">
        <v>12.84</v>
      </c>
      <c r="I1862" t="str">
        <f t="shared" si="26"/>
        <v>COLONIAL</v>
      </c>
    </row>
    <row r="1863" spans="1:9" x14ac:dyDescent="0.3">
      <c r="A1863" t="str">
        <f>""</f>
        <v/>
      </c>
      <c r="F1863" t="str">
        <f>"CLT201711296859"</f>
        <v>CLT201711296859</v>
      </c>
      <c r="G1863" t="str">
        <f t="shared" si="25"/>
        <v>COLONIAL</v>
      </c>
      <c r="H1863" s="2">
        <v>391.79</v>
      </c>
      <c r="I1863" t="str">
        <f t="shared" si="26"/>
        <v>COLONIAL</v>
      </c>
    </row>
    <row r="1864" spans="1:9" x14ac:dyDescent="0.3">
      <c r="A1864" t="str">
        <f>""</f>
        <v/>
      </c>
      <c r="F1864" t="str">
        <f>"CLT201712137295"</f>
        <v>CLT201712137295</v>
      </c>
      <c r="G1864" t="str">
        <f t="shared" si="25"/>
        <v>COLONIAL</v>
      </c>
      <c r="H1864" s="2">
        <v>391.79</v>
      </c>
      <c r="I1864" t="str">
        <f t="shared" si="26"/>
        <v>COLONIAL</v>
      </c>
    </row>
    <row r="1865" spans="1:9" x14ac:dyDescent="0.3">
      <c r="A1865" t="str">
        <f>""</f>
        <v/>
      </c>
      <c r="F1865" t="str">
        <f>"CLU201711296859"</f>
        <v>CLU201711296859</v>
      </c>
      <c r="G1865" t="str">
        <f t="shared" si="25"/>
        <v>COLONIAL</v>
      </c>
      <c r="H1865" s="2">
        <v>230.43</v>
      </c>
      <c r="I1865" t="str">
        <f t="shared" si="26"/>
        <v>COLONIAL</v>
      </c>
    </row>
    <row r="1866" spans="1:9" x14ac:dyDescent="0.3">
      <c r="A1866" t="str">
        <f>""</f>
        <v/>
      </c>
      <c r="F1866" t="str">
        <f>"CLU201712137295"</f>
        <v>CLU201712137295</v>
      </c>
      <c r="G1866" t="str">
        <f t="shared" si="25"/>
        <v>COLONIAL</v>
      </c>
      <c r="H1866" s="2">
        <v>230.43</v>
      </c>
      <c r="I1866" t="str">
        <f t="shared" si="26"/>
        <v>COLONIAL</v>
      </c>
    </row>
    <row r="1867" spans="1:9" x14ac:dyDescent="0.3">
      <c r="A1867" t="str">
        <f>""</f>
        <v/>
      </c>
      <c r="F1867" t="str">
        <f>"CLW201711296859"</f>
        <v>CLW201711296859</v>
      </c>
      <c r="G1867" t="str">
        <f t="shared" si="25"/>
        <v>COLONIAL</v>
      </c>
      <c r="H1867" s="2">
        <v>69.59</v>
      </c>
      <c r="I1867" t="str">
        <f t="shared" si="26"/>
        <v>COLONIAL</v>
      </c>
    </row>
    <row r="1868" spans="1:9" x14ac:dyDescent="0.3">
      <c r="A1868" t="str">
        <f>""</f>
        <v/>
      </c>
      <c r="F1868" t="str">
        <f>"CLW201712137295"</f>
        <v>CLW201712137295</v>
      </c>
      <c r="G1868" t="str">
        <f t="shared" si="25"/>
        <v>COLONIAL</v>
      </c>
      <c r="H1868" s="2">
        <v>69.59</v>
      </c>
      <c r="I1868" t="str">
        <f t="shared" si="26"/>
        <v>COLONIAL</v>
      </c>
    </row>
    <row r="1869" spans="1:9" x14ac:dyDescent="0.3">
      <c r="A1869" t="str">
        <f>"T14390"</f>
        <v>T14390</v>
      </c>
      <c r="B1869" t="s">
        <v>611</v>
      </c>
      <c r="C1869">
        <v>0</v>
      </c>
      <c r="D1869" s="2">
        <v>7537.56</v>
      </c>
      <c r="E1869" s="1">
        <v>43070</v>
      </c>
      <c r="F1869" t="str">
        <f>"CPI201711296859"</f>
        <v>CPI201711296859</v>
      </c>
      <c r="G1869" t="str">
        <f>"DEFERRED COMP 457B PAYABLE"</f>
        <v>DEFERRED COMP 457B PAYABLE</v>
      </c>
      <c r="H1869" s="2">
        <v>7430.06</v>
      </c>
      <c r="I1869" t="str">
        <f>"DEFERRED COMP 457B PAYABLE"</f>
        <v>DEFERRED COMP 457B PAYABLE</v>
      </c>
    </row>
    <row r="1870" spans="1:9" x14ac:dyDescent="0.3">
      <c r="A1870" t="str">
        <f>""</f>
        <v/>
      </c>
      <c r="F1870" t="str">
        <f>"CPI201711296860"</f>
        <v>CPI201711296860</v>
      </c>
      <c r="G1870" t="str">
        <f>"DEFERRED COMP 457B PAYABLE"</f>
        <v>DEFERRED COMP 457B PAYABLE</v>
      </c>
      <c r="H1870" s="2">
        <v>107.5</v>
      </c>
      <c r="I1870" t="str">
        <f>"DEFERRED COMP 457B PAYABLE"</f>
        <v>DEFERRED COMP 457B PAYABLE</v>
      </c>
    </row>
    <row r="1871" spans="1:9" x14ac:dyDescent="0.3">
      <c r="A1871" t="str">
        <f>"T14390"</f>
        <v>T14390</v>
      </c>
      <c r="B1871" t="s">
        <v>611</v>
      </c>
      <c r="C1871">
        <v>0</v>
      </c>
      <c r="D1871" s="2">
        <v>7492.6</v>
      </c>
      <c r="E1871" s="1">
        <v>43084</v>
      </c>
      <c r="F1871" t="str">
        <f>"CPI201712137295"</f>
        <v>CPI201712137295</v>
      </c>
      <c r="G1871" t="str">
        <f>"DEFERRED COMP 457B PAYABLE"</f>
        <v>DEFERRED COMP 457B PAYABLE</v>
      </c>
      <c r="H1871" s="2">
        <v>7385.1</v>
      </c>
      <c r="I1871" t="str">
        <f>"DEFERRED COMP 457B PAYABLE"</f>
        <v>DEFERRED COMP 457B PAYABLE</v>
      </c>
    </row>
    <row r="1872" spans="1:9" x14ac:dyDescent="0.3">
      <c r="A1872" t="str">
        <f>""</f>
        <v/>
      </c>
      <c r="F1872" t="str">
        <f>"CPI201712137296"</f>
        <v>CPI201712137296</v>
      </c>
      <c r="G1872" t="str">
        <f>"DEFERRED COMP 457B PAYABLE"</f>
        <v>DEFERRED COMP 457B PAYABLE</v>
      </c>
      <c r="H1872" s="2">
        <v>107.5</v>
      </c>
      <c r="I1872" t="str">
        <f>"DEFERRED COMP 457B PAYABLE"</f>
        <v>DEFERRED COMP 457B PAYABLE</v>
      </c>
    </row>
    <row r="1873" spans="1:9" x14ac:dyDescent="0.3">
      <c r="A1873" t="str">
        <f>"T10761"</f>
        <v>T10761</v>
      </c>
      <c r="B1873" t="s">
        <v>612</v>
      </c>
      <c r="C1873">
        <v>46038</v>
      </c>
      <c r="D1873" s="2">
        <v>1345.62</v>
      </c>
      <c r="E1873" s="1">
        <v>43070</v>
      </c>
      <c r="F1873" t="str">
        <f>"B13201711296859"</f>
        <v>B13201711296859</v>
      </c>
      <c r="G1873" t="str">
        <f>"Rosa Warren 15-10357-TMD"</f>
        <v>Rosa Warren 15-10357-TMD</v>
      </c>
      <c r="H1873" s="2">
        <v>853.85</v>
      </c>
      <c r="I1873" t="str">
        <f>"Rosa Warren 15-10357-TMD"</f>
        <v>Rosa Warren 15-10357-TMD</v>
      </c>
    </row>
    <row r="1874" spans="1:9" x14ac:dyDescent="0.3">
      <c r="A1874" t="str">
        <f>""</f>
        <v/>
      </c>
      <c r="F1874" t="str">
        <f>"BJL201711296859"</f>
        <v>BJL201711296859</v>
      </c>
      <c r="G1874" t="str">
        <f>"Julian Luna 14-10230-TMD"</f>
        <v>Julian Luna 14-10230-TMD</v>
      </c>
      <c r="H1874" s="2">
        <v>491.77</v>
      </c>
      <c r="I1874" t="str">
        <f>"Julian Luna 14-10230-TMD"</f>
        <v>Julian Luna 14-10230-TMD</v>
      </c>
    </row>
    <row r="1875" spans="1:9" x14ac:dyDescent="0.3">
      <c r="A1875" t="str">
        <f>"T10761"</f>
        <v>T10761</v>
      </c>
      <c r="B1875" t="s">
        <v>612</v>
      </c>
      <c r="C1875">
        <v>46058</v>
      </c>
      <c r="D1875" s="2">
        <v>1345.62</v>
      </c>
      <c r="E1875" s="1">
        <v>43084</v>
      </c>
      <c r="F1875" t="str">
        <f>"B13201712137295"</f>
        <v>B13201712137295</v>
      </c>
      <c r="G1875" t="str">
        <f>"Rosa Warren 15-10357-TMD"</f>
        <v>Rosa Warren 15-10357-TMD</v>
      </c>
      <c r="H1875" s="2">
        <v>853.85</v>
      </c>
      <c r="I1875" t="str">
        <f>"Rosa Warren 15-10357-TMD"</f>
        <v>Rosa Warren 15-10357-TMD</v>
      </c>
    </row>
    <row r="1876" spans="1:9" x14ac:dyDescent="0.3">
      <c r="A1876" t="str">
        <f>""</f>
        <v/>
      </c>
      <c r="F1876" t="str">
        <f>"BJL201712137295"</f>
        <v>BJL201712137295</v>
      </c>
      <c r="G1876" t="str">
        <f>"Julian Luna 14-10230-TMD"</f>
        <v>Julian Luna 14-10230-TMD</v>
      </c>
      <c r="H1876" s="2">
        <v>491.77</v>
      </c>
      <c r="I1876" t="str">
        <f>"Julian Luna 14-10230-TMD"</f>
        <v>Julian Luna 14-10230-TMD</v>
      </c>
    </row>
    <row r="1877" spans="1:9" x14ac:dyDescent="0.3">
      <c r="A1877" t="str">
        <f>"T10761"</f>
        <v>T10761</v>
      </c>
      <c r="B1877" t="s">
        <v>612</v>
      </c>
      <c r="C1877">
        <v>46084</v>
      </c>
      <c r="D1877" s="2">
        <v>1345.62</v>
      </c>
      <c r="E1877" s="1">
        <v>43098</v>
      </c>
      <c r="F1877" t="str">
        <f>"B13201712287505"</f>
        <v>B13201712287505</v>
      </c>
      <c r="G1877" t="str">
        <f>"Rosa Warren 15-10357-TMD"</f>
        <v>Rosa Warren 15-10357-TMD</v>
      </c>
      <c r="H1877" s="2">
        <v>853.85</v>
      </c>
      <c r="I1877" t="str">
        <f>"Rosa Warren 15-10357-TMD"</f>
        <v>Rosa Warren 15-10357-TMD</v>
      </c>
    </row>
    <row r="1878" spans="1:9" x14ac:dyDescent="0.3">
      <c r="A1878" t="str">
        <f>""</f>
        <v/>
      </c>
      <c r="F1878" t="str">
        <f>"BJL201712287505"</f>
        <v>BJL201712287505</v>
      </c>
      <c r="G1878" t="str">
        <f>"Julian Luna 14-10230-TMD"</f>
        <v>Julian Luna 14-10230-TMD</v>
      </c>
      <c r="H1878" s="2">
        <v>491.77</v>
      </c>
      <c r="I1878" t="str">
        <f>"Julian Luna 14-10230-TMD"</f>
        <v>Julian Luna 14-10230-TMD</v>
      </c>
    </row>
    <row r="1879" spans="1:9" x14ac:dyDescent="0.3">
      <c r="A1879" t="str">
        <f>"GUARD"</f>
        <v>GUARD</v>
      </c>
      <c r="B1879" t="s">
        <v>613</v>
      </c>
      <c r="C1879">
        <v>0</v>
      </c>
      <c r="D1879" s="2">
        <v>36993.31</v>
      </c>
      <c r="E1879" s="1">
        <v>43091</v>
      </c>
      <c r="F1879" t="str">
        <f>"201712207467"</f>
        <v>201712207467</v>
      </c>
      <c r="G1879" t="str">
        <f>"Dental Rounding Dec 2017"</f>
        <v>Dental Rounding Dec 2017</v>
      </c>
      <c r="H1879" s="2">
        <v>-5.8</v>
      </c>
      <c r="I1879" t="str">
        <f>"Dental Rounding Dec 2017"</f>
        <v>Dental Rounding Dec 2017</v>
      </c>
    </row>
    <row r="1880" spans="1:9" x14ac:dyDescent="0.3">
      <c r="A1880" t="str">
        <f>""</f>
        <v/>
      </c>
      <c r="F1880" t="str">
        <f>"201712207469"</f>
        <v>201712207469</v>
      </c>
      <c r="G1880" t="str">
        <f>"Life Ins Rounding Dec 2017"</f>
        <v>Life Ins Rounding Dec 2017</v>
      </c>
      <c r="H1880" s="2">
        <v>-0.28000000000000003</v>
      </c>
      <c r="I1880" t="str">
        <f>"Life Ins Rounding Dec 2017"</f>
        <v>Life Ins Rounding Dec 2017</v>
      </c>
    </row>
    <row r="1881" spans="1:9" x14ac:dyDescent="0.3">
      <c r="A1881" t="str">
        <f>""</f>
        <v/>
      </c>
      <c r="F1881" t="str">
        <f>"201712207470"</f>
        <v>201712207470</v>
      </c>
      <c r="G1881" t="str">
        <f>"LTD Rounding Dec 2017"</f>
        <v>LTD Rounding Dec 2017</v>
      </c>
      <c r="H1881" s="2">
        <v>-0.11</v>
      </c>
      <c r="I1881" t="str">
        <f>"LTD Rounding Dec 2017"</f>
        <v>LTD Rounding Dec 2017</v>
      </c>
    </row>
    <row r="1882" spans="1:9" x14ac:dyDescent="0.3">
      <c r="A1882" t="str">
        <f>""</f>
        <v/>
      </c>
      <c r="F1882" t="str">
        <f>"201712207465"</f>
        <v>201712207465</v>
      </c>
      <c r="G1882" t="str">
        <f>"Retiree Dental Dec 2017"</f>
        <v>Retiree Dental Dec 2017</v>
      </c>
      <c r="H1882" s="2">
        <v>2793.42</v>
      </c>
      <c r="I1882" t="str">
        <f>"Retiree Dental Dec 2017"</f>
        <v>Retiree Dental Dec 2017</v>
      </c>
    </row>
    <row r="1883" spans="1:9" x14ac:dyDescent="0.3">
      <c r="A1883" t="str">
        <f>""</f>
        <v/>
      </c>
      <c r="F1883" t="str">
        <f>"201712207466"</f>
        <v>201712207466</v>
      </c>
      <c r="G1883" t="str">
        <f>"COBRA Dec 2017"</f>
        <v>COBRA Dec 2017</v>
      </c>
      <c r="H1883" s="2">
        <v>171.25</v>
      </c>
      <c r="I1883" t="str">
        <f>"COBRA Dec 2017"</f>
        <v>COBRA Dec 2017</v>
      </c>
    </row>
    <row r="1884" spans="1:9" x14ac:dyDescent="0.3">
      <c r="A1884" t="str">
        <f>""</f>
        <v/>
      </c>
      <c r="F1884" t="str">
        <f>"201712207468"</f>
        <v>201712207468</v>
      </c>
      <c r="G1884" t="str">
        <f>"Reitree Life Coverage"</f>
        <v>Reitree Life Coverage</v>
      </c>
      <c r="H1884" s="2">
        <v>132.63</v>
      </c>
      <c r="I1884" t="str">
        <f>"Reitree Life Coverage"</f>
        <v>Reitree Life Coverage</v>
      </c>
    </row>
    <row r="1885" spans="1:9" x14ac:dyDescent="0.3">
      <c r="A1885" t="str">
        <f>""</f>
        <v/>
      </c>
      <c r="F1885" t="str">
        <f>"ADC201711296859"</f>
        <v>ADC201711296859</v>
      </c>
      <c r="G1885" t="str">
        <f t="shared" ref="G1885:G1897" si="27">"GUARDIAN"</f>
        <v>GUARDIAN</v>
      </c>
      <c r="H1885" s="2">
        <v>5.09</v>
      </c>
      <c r="I1885" t="str">
        <f t="shared" ref="I1885:I1948" si="28">"GUARDIAN"</f>
        <v>GUARDIAN</v>
      </c>
    </row>
    <row r="1886" spans="1:9" x14ac:dyDescent="0.3">
      <c r="A1886" t="str">
        <f>""</f>
        <v/>
      </c>
      <c r="F1886" t="str">
        <f>"ADC201711296860"</f>
        <v>ADC201711296860</v>
      </c>
      <c r="G1886" t="str">
        <f t="shared" si="27"/>
        <v>GUARDIAN</v>
      </c>
      <c r="H1886" s="2">
        <v>0.16</v>
      </c>
      <c r="I1886" t="str">
        <f t="shared" si="28"/>
        <v>GUARDIAN</v>
      </c>
    </row>
    <row r="1887" spans="1:9" x14ac:dyDescent="0.3">
      <c r="A1887" t="str">
        <f>""</f>
        <v/>
      </c>
      <c r="F1887" t="str">
        <f>"ADC201712137295"</f>
        <v>ADC201712137295</v>
      </c>
      <c r="G1887" t="str">
        <f t="shared" si="27"/>
        <v>GUARDIAN</v>
      </c>
      <c r="H1887" s="2">
        <v>5.09</v>
      </c>
      <c r="I1887" t="str">
        <f t="shared" si="28"/>
        <v>GUARDIAN</v>
      </c>
    </row>
    <row r="1888" spans="1:9" x14ac:dyDescent="0.3">
      <c r="A1888" t="str">
        <f>""</f>
        <v/>
      </c>
      <c r="F1888" t="str">
        <f>"ADC201712137296"</f>
        <v>ADC201712137296</v>
      </c>
      <c r="G1888" t="str">
        <f t="shared" si="27"/>
        <v>GUARDIAN</v>
      </c>
      <c r="H1888" s="2">
        <v>0.16</v>
      </c>
      <c r="I1888" t="str">
        <f t="shared" si="28"/>
        <v>GUARDIAN</v>
      </c>
    </row>
    <row r="1889" spans="1:9" x14ac:dyDescent="0.3">
      <c r="A1889" t="str">
        <f>""</f>
        <v/>
      </c>
      <c r="F1889" t="str">
        <f>"ADE201711296859"</f>
        <v>ADE201711296859</v>
      </c>
      <c r="G1889" t="str">
        <f t="shared" si="27"/>
        <v>GUARDIAN</v>
      </c>
      <c r="H1889" s="2">
        <v>200.52</v>
      </c>
      <c r="I1889" t="str">
        <f t="shared" si="28"/>
        <v>GUARDIAN</v>
      </c>
    </row>
    <row r="1890" spans="1:9" x14ac:dyDescent="0.3">
      <c r="A1890" t="str">
        <f>""</f>
        <v/>
      </c>
      <c r="F1890" t="str">
        <f>"ADE201711296860"</f>
        <v>ADE201711296860</v>
      </c>
      <c r="G1890" t="str">
        <f t="shared" si="27"/>
        <v>GUARDIAN</v>
      </c>
      <c r="H1890" s="2">
        <v>7.8</v>
      </c>
      <c r="I1890" t="str">
        <f t="shared" si="28"/>
        <v>GUARDIAN</v>
      </c>
    </row>
    <row r="1891" spans="1:9" x14ac:dyDescent="0.3">
      <c r="A1891" t="str">
        <f>""</f>
        <v/>
      </c>
      <c r="F1891" t="str">
        <f>"ADE201712137295"</f>
        <v>ADE201712137295</v>
      </c>
      <c r="G1891" t="str">
        <f t="shared" si="27"/>
        <v>GUARDIAN</v>
      </c>
      <c r="H1891" s="2">
        <v>200.52</v>
      </c>
      <c r="I1891" t="str">
        <f t="shared" si="28"/>
        <v>GUARDIAN</v>
      </c>
    </row>
    <row r="1892" spans="1:9" x14ac:dyDescent="0.3">
      <c r="A1892" t="str">
        <f>""</f>
        <v/>
      </c>
      <c r="F1892" t="str">
        <f>"ADE201712137296"</f>
        <v>ADE201712137296</v>
      </c>
      <c r="G1892" t="str">
        <f t="shared" si="27"/>
        <v>GUARDIAN</v>
      </c>
      <c r="H1892" s="2">
        <v>7.8</v>
      </c>
      <c r="I1892" t="str">
        <f t="shared" si="28"/>
        <v>GUARDIAN</v>
      </c>
    </row>
    <row r="1893" spans="1:9" x14ac:dyDescent="0.3">
      <c r="A1893" t="str">
        <f>""</f>
        <v/>
      </c>
      <c r="F1893" t="str">
        <f>"ADS201711296859"</f>
        <v>ADS201711296859</v>
      </c>
      <c r="G1893" t="str">
        <f t="shared" si="27"/>
        <v>GUARDIAN</v>
      </c>
      <c r="H1893" s="2">
        <v>31.78</v>
      </c>
      <c r="I1893" t="str">
        <f t="shared" si="28"/>
        <v>GUARDIAN</v>
      </c>
    </row>
    <row r="1894" spans="1:9" x14ac:dyDescent="0.3">
      <c r="A1894" t="str">
        <f>""</f>
        <v/>
      </c>
      <c r="F1894" t="str">
        <f>"ADS201711296860"</f>
        <v>ADS201711296860</v>
      </c>
      <c r="G1894" t="str">
        <f t="shared" si="27"/>
        <v>GUARDIAN</v>
      </c>
      <c r="H1894" s="2">
        <v>0.98</v>
      </c>
      <c r="I1894" t="str">
        <f t="shared" si="28"/>
        <v>GUARDIAN</v>
      </c>
    </row>
    <row r="1895" spans="1:9" x14ac:dyDescent="0.3">
      <c r="A1895" t="str">
        <f>""</f>
        <v/>
      </c>
      <c r="F1895" t="str">
        <f>"ADS201712137295"</f>
        <v>ADS201712137295</v>
      </c>
      <c r="G1895" t="str">
        <f t="shared" si="27"/>
        <v>GUARDIAN</v>
      </c>
      <c r="H1895" s="2">
        <v>31.78</v>
      </c>
      <c r="I1895" t="str">
        <f t="shared" si="28"/>
        <v>GUARDIAN</v>
      </c>
    </row>
    <row r="1896" spans="1:9" x14ac:dyDescent="0.3">
      <c r="A1896" t="str">
        <f>""</f>
        <v/>
      </c>
      <c r="F1896" t="str">
        <f>"ADS201712137296"</f>
        <v>ADS201712137296</v>
      </c>
      <c r="G1896" t="str">
        <f t="shared" si="27"/>
        <v>GUARDIAN</v>
      </c>
      <c r="H1896" s="2">
        <v>0.98</v>
      </c>
      <c r="I1896" t="str">
        <f t="shared" si="28"/>
        <v>GUARDIAN</v>
      </c>
    </row>
    <row r="1897" spans="1:9" x14ac:dyDescent="0.3">
      <c r="A1897" t="str">
        <f>""</f>
        <v/>
      </c>
      <c r="F1897" t="str">
        <f>"GDC201711296859"</f>
        <v>GDC201711296859</v>
      </c>
      <c r="G1897" t="str">
        <f t="shared" si="27"/>
        <v>GUARDIAN</v>
      </c>
      <c r="H1897" s="2">
        <v>2448.75</v>
      </c>
      <c r="I1897" t="str">
        <f t="shared" si="28"/>
        <v>GUARDIAN</v>
      </c>
    </row>
    <row r="1898" spans="1:9" x14ac:dyDescent="0.3">
      <c r="A1898" t="str">
        <f>""</f>
        <v/>
      </c>
      <c r="F1898" t="str">
        <f>""</f>
        <v/>
      </c>
      <c r="G1898" t="str">
        <f>""</f>
        <v/>
      </c>
      <c r="I1898" t="str">
        <f t="shared" si="28"/>
        <v>GUARDIAN</v>
      </c>
    </row>
    <row r="1899" spans="1:9" x14ac:dyDescent="0.3">
      <c r="A1899" t="str">
        <f>""</f>
        <v/>
      </c>
      <c r="F1899" t="str">
        <f>""</f>
        <v/>
      </c>
      <c r="G1899" t="str">
        <f>""</f>
        <v/>
      </c>
      <c r="I1899" t="str">
        <f t="shared" si="28"/>
        <v>GUARDIAN</v>
      </c>
    </row>
    <row r="1900" spans="1:9" x14ac:dyDescent="0.3">
      <c r="A1900" t="str">
        <f>""</f>
        <v/>
      </c>
      <c r="F1900" t="str">
        <f>""</f>
        <v/>
      </c>
      <c r="G1900" t="str">
        <f>""</f>
        <v/>
      </c>
      <c r="I1900" t="str">
        <f t="shared" si="28"/>
        <v>GUARDIAN</v>
      </c>
    </row>
    <row r="1901" spans="1:9" x14ac:dyDescent="0.3">
      <c r="A1901" t="str">
        <f>""</f>
        <v/>
      </c>
      <c r="F1901" t="str">
        <f>""</f>
        <v/>
      </c>
      <c r="G1901" t="str">
        <f>""</f>
        <v/>
      </c>
      <c r="I1901" t="str">
        <f t="shared" si="28"/>
        <v>GUARDIAN</v>
      </c>
    </row>
    <row r="1902" spans="1:9" x14ac:dyDescent="0.3">
      <c r="A1902" t="str">
        <f>""</f>
        <v/>
      </c>
      <c r="F1902" t="str">
        <f>""</f>
        <v/>
      </c>
      <c r="G1902" t="str">
        <f>""</f>
        <v/>
      </c>
      <c r="I1902" t="str">
        <f t="shared" si="28"/>
        <v>GUARDIAN</v>
      </c>
    </row>
    <row r="1903" spans="1:9" x14ac:dyDescent="0.3">
      <c r="A1903" t="str">
        <f>""</f>
        <v/>
      </c>
      <c r="F1903" t="str">
        <f>""</f>
        <v/>
      </c>
      <c r="G1903" t="str">
        <f>""</f>
        <v/>
      </c>
      <c r="I1903" t="str">
        <f t="shared" si="28"/>
        <v>GUARDIAN</v>
      </c>
    </row>
    <row r="1904" spans="1:9" x14ac:dyDescent="0.3">
      <c r="A1904" t="str">
        <f>""</f>
        <v/>
      </c>
      <c r="F1904" t="str">
        <f>""</f>
        <v/>
      </c>
      <c r="G1904" t="str">
        <f>""</f>
        <v/>
      </c>
      <c r="I1904" t="str">
        <f t="shared" si="28"/>
        <v>GUARDIAN</v>
      </c>
    </row>
    <row r="1905" spans="1:9" x14ac:dyDescent="0.3">
      <c r="A1905" t="str">
        <f>""</f>
        <v/>
      </c>
      <c r="F1905" t="str">
        <f>""</f>
        <v/>
      </c>
      <c r="G1905" t="str">
        <f>""</f>
        <v/>
      </c>
      <c r="I1905" t="str">
        <f t="shared" si="28"/>
        <v>GUARDIAN</v>
      </c>
    </row>
    <row r="1906" spans="1:9" x14ac:dyDescent="0.3">
      <c r="A1906" t="str">
        <f>""</f>
        <v/>
      </c>
      <c r="F1906" t="str">
        <f>""</f>
        <v/>
      </c>
      <c r="G1906" t="str">
        <f>""</f>
        <v/>
      </c>
      <c r="I1906" t="str">
        <f t="shared" si="28"/>
        <v>GUARDIAN</v>
      </c>
    </row>
    <row r="1907" spans="1:9" x14ac:dyDescent="0.3">
      <c r="A1907" t="str">
        <f>""</f>
        <v/>
      </c>
      <c r="F1907" t="str">
        <f>""</f>
        <v/>
      </c>
      <c r="G1907" t="str">
        <f>""</f>
        <v/>
      </c>
      <c r="I1907" t="str">
        <f t="shared" si="28"/>
        <v>GUARDIAN</v>
      </c>
    </row>
    <row r="1908" spans="1:9" x14ac:dyDescent="0.3">
      <c r="A1908" t="str">
        <f>""</f>
        <v/>
      </c>
      <c r="F1908" t="str">
        <f>""</f>
        <v/>
      </c>
      <c r="G1908" t="str">
        <f>""</f>
        <v/>
      </c>
      <c r="I1908" t="str">
        <f t="shared" si="28"/>
        <v>GUARDIAN</v>
      </c>
    </row>
    <row r="1909" spans="1:9" x14ac:dyDescent="0.3">
      <c r="A1909" t="str">
        <f>""</f>
        <v/>
      </c>
      <c r="F1909" t="str">
        <f>""</f>
        <v/>
      </c>
      <c r="G1909" t="str">
        <f>""</f>
        <v/>
      </c>
      <c r="I1909" t="str">
        <f t="shared" si="28"/>
        <v>GUARDIAN</v>
      </c>
    </row>
    <row r="1910" spans="1:9" x14ac:dyDescent="0.3">
      <c r="A1910" t="str">
        <f>""</f>
        <v/>
      </c>
      <c r="F1910" t="str">
        <f>""</f>
        <v/>
      </c>
      <c r="G1910" t="str">
        <f>""</f>
        <v/>
      </c>
      <c r="I1910" t="str">
        <f t="shared" si="28"/>
        <v>GUARDIAN</v>
      </c>
    </row>
    <row r="1911" spans="1:9" x14ac:dyDescent="0.3">
      <c r="A1911" t="str">
        <f>""</f>
        <v/>
      </c>
      <c r="F1911" t="str">
        <f>""</f>
        <v/>
      </c>
      <c r="G1911" t="str">
        <f>""</f>
        <v/>
      </c>
      <c r="I1911" t="str">
        <f t="shared" si="28"/>
        <v>GUARDIAN</v>
      </c>
    </row>
    <row r="1912" spans="1:9" x14ac:dyDescent="0.3">
      <c r="A1912" t="str">
        <f>""</f>
        <v/>
      </c>
      <c r="F1912" t="str">
        <f>""</f>
        <v/>
      </c>
      <c r="G1912" t="str">
        <f>""</f>
        <v/>
      </c>
      <c r="I1912" t="str">
        <f t="shared" si="28"/>
        <v>GUARDIAN</v>
      </c>
    </row>
    <row r="1913" spans="1:9" x14ac:dyDescent="0.3">
      <c r="A1913" t="str">
        <f>""</f>
        <v/>
      </c>
      <c r="F1913" t="str">
        <f>""</f>
        <v/>
      </c>
      <c r="G1913" t="str">
        <f>""</f>
        <v/>
      </c>
      <c r="I1913" t="str">
        <f t="shared" si="28"/>
        <v>GUARDIAN</v>
      </c>
    </row>
    <row r="1914" spans="1:9" x14ac:dyDescent="0.3">
      <c r="A1914" t="str">
        <f>""</f>
        <v/>
      </c>
      <c r="F1914" t="str">
        <f>""</f>
        <v/>
      </c>
      <c r="G1914" t="str">
        <f>""</f>
        <v/>
      </c>
      <c r="I1914" t="str">
        <f t="shared" si="28"/>
        <v>GUARDIAN</v>
      </c>
    </row>
    <row r="1915" spans="1:9" x14ac:dyDescent="0.3">
      <c r="A1915" t="str">
        <f>""</f>
        <v/>
      </c>
      <c r="F1915" t="str">
        <f>""</f>
        <v/>
      </c>
      <c r="G1915" t="str">
        <f>""</f>
        <v/>
      </c>
      <c r="I1915" t="str">
        <f t="shared" si="28"/>
        <v>GUARDIAN</v>
      </c>
    </row>
    <row r="1916" spans="1:9" x14ac:dyDescent="0.3">
      <c r="A1916" t="str">
        <f>""</f>
        <v/>
      </c>
      <c r="F1916" t="str">
        <f>""</f>
        <v/>
      </c>
      <c r="G1916" t="str">
        <f>""</f>
        <v/>
      </c>
      <c r="I1916" t="str">
        <f t="shared" si="28"/>
        <v>GUARDIAN</v>
      </c>
    </row>
    <row r="1917" spans="1:9" x14ac:dyDescent="0.3">
      <c r="A1917" t="str">
        <f>""</f>
        <v/>
      </c>
      <c r="F1917" t="str">
        <f>""</f>
        <v/>
      </c>
      <c r="G1917" t="str">
        <f>""</f>
        <v/>
      </c>
      <c r="I1917" t="str">
        <f t="shared" si="28"/>
        <v>GUARDIAN</v>
      </c>
    </row>
    <row r="1918" spans="1:9" x14ac:dyDescent="0.3">
      <c r="A1918" t="str">
        <f>""</f>
        <v/>
      </c>
      <c r="F1918" t="str">
        <f>""</f>
        <v/>
      </c>
      <c r="G1918" t="str">
        <f>""</f>
        <v/>
      </c>
      <c r="I1918" t="str">
        <f t="shared" si="28"/>
        <v>GUARDIAN</v>
      </c>
    </row>
    <row r="1919" spans="1:9" x14ac:dyDescent="0.3">
      <c r="A1919" t="str">
        <f>""</f>
        <v/>
      </c>
      <c r="F1919" t="str">
        <f>""</f>
        <v/>
      </c>
      <c r="G1919" t="str">
        <f>""</f>
        <v/>
      </c>
      <c r="I1919" t="str">
        <f t="shared" si="28"/>
        <v>GUARDIAN</v>
      </c>
    </row>
    <row r="1920" spans="1:9" x14ac:dyDescent="0.3">
      <c r="A1920" t="str">
        <f>""</f>
        <v/>
      </c>
      <c r="F1920" t="str">
        <f>""</f>
        <v/>
      </c>
      <c r="G1920" t="str">
        <f>""</f>
        <v/>
      </c>
      <c r="I1920" t="str">
        <f t="shared" si="28"/>
        <v>GUARDIAN</v>
      </c>
    </row>
    <row r="1921" spans="1:9" x14ac:dyDescent="0.3">
      <c r="A1921" t="str">
        <f>""</f>
        <v/>
      </c>
      <c r="F1921" t="str">
        <f>""</f>
        <v/>
      </c>
      <c r="G1921" t="str">
        <f>""</f>
        <v/>
      </c>
      <c r="I1921" t="str">
        <f t="shared" si="28"/>
        <v>GUARDIAN</v>
      </c>
    </row>
    <row r="1922" spans="1:9" x14ac:dyDescent="0.3">
      <c r="A1922" t="str">
        <f>""</f>
        <v/>
      </c>
      <c r="F1922" t="str">
        <f>""</f>
        <v/>
      </c>
      <c r="G1922" t="str">
        <f>""</f>
        <v/>
      </c>
      <c r="I1922" t="str">
        <f t="shared" si="28"/>
        <v>GUARDIAN</v>
      </c>
    </row>
    <row r="1923" spans="1:9" x14ac:dyDescent="0.3">
      <c r="A1923" t="str">
        <f>""</f>
        <v/>
      </c>
      <c r="F1923" t="str">
        <f>""</f>
        <v/>
      </c>
      <c r="G1923" t="str">
        <f>""</f>
        <v/>
      </c>
      <c r="I1923" t="str">
        <f t="shared" si="28"/>
        <v>GUARDIAN</v>
      </c>
    </row>
    <row r="1924" spans="1:9" x14ac:dyDescent="0.3">
      <c r="A1924" t="str">
        <f>""</f>
        <v/>
      </c>
      <c r="F1924" t="str">
        <f>""</f>
        <v/>
      </c>
      <c r="G1924" t="str">
        <f>""</f>
        <v/>
      </c>
      <c r="I1924" t="str">
        <f t="shared" si="28"/>
        <v>GUARDIAN</v>
      </c>
    </row>
    <row r="1925" spans="1:9" x14ac:dyDescent="0.3">
      <c r="A1925" t="str">
        <f>""</f>
        <v/>
      </c>
      <c r="F1925" t="str">
        <f>""</f>
        <v/>
      </c>
      <c r="G1925" t="str">
        <f>""</f>
        <v/>
      </c>
      <c r="I1925" t="str">
        <f t="shared" si="28"/>
        <v>GUARDIAN</v>
      </c>
    </row>
    <row r="1926" spans="1:9" x14ac:dyDescent="0.3">
      <c r="A1926" t="str">
        <f>""</f>
        <v/>
      </c>
      <c r="F1926" t="str">
        <f>""</f>
        <v/>
      </c>
      <c r="G1926" t="str">
        <f>""</f>
        <v/>
      </c>
      <c r="I1926" t="str">
        <f t="shared" si="28"/>
        <v>GUARDIAN</v>
      </c>
    </row>
    <row r="1927" spans="1:9" x14ac:dyDescent="0.3">
      <c r="A1927" t="str">
        <f>""</f>
        <v/>
      </c>
      <c r="F1927" t="str">
        <f>""</f>
        <v/>
      </c>
      <c r="G1927" t="str">
        <f>""</f>
        <v/>
      </c>
      <c r="I1927" t="str">
        <f t="shared" si="28"/>
        <v>GUARDIAN</v>
      </c>
    </row>
    <row r="1928" spans="1:9" x14ac:dyDescent="0.3">
      <c r="A1928" t="str">
        <f>""</f>
        <v/>
      </c>
      <c r="F1928" t="str">
        <f>"GDC201711296860"</f>
        <v>GDC201711296860</v>
      </c>
      <c r="G1928" t="str">
        <f>"GUARDIAN"</f>
        <v>GUARDIAN</v>
      </c>
      <c r="H1928" s="2">
        <v>97.95</v>
      </c>
      <c r="I1928" t="str">
        <f t="shared" si="28"/>
        <v>GUARDIAN</v>
      </c>
    </row>
    <row r="1929" spans="1:9" x14ac:dyDescent="0.3">
      <c r="A1929" t="str">
        <f>""</f>
        <v/>
      </c>
      <c r="F1929" t="str">
        <f>""</f>
        <v/>
      </c>
      <c r="G1929" t="str">
        <f>""</f>
        <v/>
      </c>
      <c r="I1929" t="str">
        <f t="shared" si="28"/>
        <v>GUARDIAN</v>
      </c>
    </row>
    <row r="1930" spans="1:9" x14ac:dyDescent="0.3">
      <c r="A1930" t="str">
        <f>""</f>
        <v/>
      </c>
      <c r="F1930" t="str">
        <f>"GDC201712137295"</f>
        <v>GDC201712137295</v>
      </c>
      <c r="G1930" t="str">
        <f>"GUARDIAN"</f>
        <v>GUARDIAN</v>
      </c>
      <c r="H1930" s="2">
        <v>2448.75</v>
      </c>
      <c r="I1930" t="str">
        <f t="shared" si="28"/>
        <v>GUARDIAN</v>
      </c>
    </row>
    <row r="1931" spans="1:9" x14ac:dyDescent="0.3">
      <c r="A1931" t="str">
        <f>""</f>
        <v/>
      </c>
      <c r="F1931" t="str">
        <f>""</f>
        <v/>
      </c>
      <c r="G1931" t="str">
        <f>""</f>
        <v/>
      </c>
      <c r="I1931" t="str">
        <f t="shared" si="28"/>
        <v>GUARDIAN</v>
      </c>
    </row>
    <row r="1932" spans="1:9" x14ac:dyDescent="0.3">
      <c r="A1932" t="str">
        <f>""</f>
        <v/>
      </c>
      <c r="F1932" t="str">
        <f>""</f>
        <v/>
      </c>
      <c r="G1932" t="str">
        <f>""</f>
        <v/>
      </c>
      <c r="I1932" t="str">
        <f t="shared" si="28"/>
        <v>GUARDIAN</v>
      </c>
    </row>
    <row r="1933" spans="1:9" x14ac:dyDescent="0.3">
      <c r="A1933" t="str">
        <f>""</f>
        <v/>
      </c>
      <c r="F1933" t="str">
        <f>""</f>
        <v/>
      </c>
      <c r="G1933" t="str">
        <f>""</f>
        <v/>
      </c>
      <c r="I1933" t="str">
        <f t="shared" si="28"/>
        <v>GUARDIAN</v>
      </c>
    </row>
    <row r="1934" spans="1:9" x14ac:dyDescent="0.3">
      <c r="A1934" t="str">
        <f>""</f>
        <v/>
      </c>
      <c r="F1934" t="str">
        <f>""</f>
        <v/>
      </c>
      <c r="G1934" t="str">
        <f>""</f>
        <v/>
      </c>
      <c r="I1934" t="str">
        <f t="shared" si="28"/>
        <v>GUARDIAN</v>
      </c>
    </row>
    <row r="1935" spans="1:9" x14ac:dyDescent="0.3">
      <c r="A1935" t="str">
        <f>""</f>
        <v/>
      </c>
      <c r="F1935" t="str">
        <f>""</f>
        <v/>
      </c>
      <c r="G1935" t="str">
        <f>""</f>
        <v/>
      </c>
      <c r="I1935" t="str">
        <f t="shared" si="28"/>
        <v>GUARDIAN</v>
      </c>
    </row>
    <row r="1936" spans="1:9" x14ac:dyDescent="0.3">
      <c r="A1936" t="str">
        <f>""</f>
        <v/>
      </c>
      <c r="F1936" t="str">
        <f>""</f>
        <v/>
      </c>
      <c r="G1936" t="str">
        <f>""</f>
        <v/>
      </c>
      <c r="I1936" t="str">
        <f t="shared" si="28"/>
        <v>GUARDIAN</v>
      </c>
    </row>
    <row r="1937" spans="1:9" x14ac:dyDescent="0.3">
      <c r="A1937" t="str">
        <f>""</f>
        <v/>
      </c>
      <c r="F1937" t="str">
        <f>""</f>
        <v/>
      </c>
      <c r="G1937" t="str">
        <f>""</f>
        <v/>
      </c>
      <c r="I1937" t="str">
        <f t="shared" si="28"/>
        <v>GUARDIAN</v>
      </c>
    </row>
    <row r="1938" spans="1:9" x14ac:dyDescent="0.3">
      <c r="A1938" t="str">
        <f>""</f>
        <v/>
      </c>
      <c r="F1938" t="str">
        <f>""</f>
        <v/>
      </c>
      <c r="G1938" t="str">
        <f>""</f>
        <v/>
      </c>
      <c r="I1938" t="str">
        <f t="shared" si="28"/>
        <v>GUARDIAN</v>
      </c>
    </row>
    <row r="1939" spans="1:9" x14ac:dyDescent="0.3">
      <c r="A1939" t="str">
        <f>""</f>
        <v/>
      </c>
      <c r="F1939" t="str">
        <f>""</f>
        <v/>
      </c>
      <c r="G1939" t="str">
        <f>""</f>
        <v/>
      </c>
      <c r="I1939" t="str">
        <f t="shared" si="28"/>
        <v>GUARDIAN</v>
      </c>
    </row>
    <row r="1940" spans="1:9" x14ac:dyDescent="0.3">
      <c r="A1940" t="str">
        <f>""</f>
        <v/>
      </c>
      <c r="F1940" t="str">
        <f>""</f>
        <v/>
      </c>
      <c r="G1940" t="str">
        <f>""</f>
        <v/>
      </c>
      <c r="I1940" t="str">
        <f t="shared" si="28"/>
        <v>GUARDIAN</v>
      </c>
    </row>
    <row r="1941" spans="1:9" x14ac:dyDescent="0.3">
      <c r="A1941" t="str">
        <f>""</f>
        <v/>
      </c>
      <c r="F1941" t="str">
        <f>""</f>
        <v/>
      </c>
      <c r="G1941" t="str">
        <f>""</f>
        <v/>
      </c>
      <c r="I1941" t="str">
        <f t="shared" si="28"/>
        <v>GUARDIAN</v>
      </c>
    </row>
    <row r="1942" spans="1:9" x14ac:dyDescent="0.3">
      <c r="A1942" t="str">
        <f>""</f>
        <v/>
      </c>
      <c r="F1942" t="str">
        <f>""</f>
        <v/>
      </c>
      <c r="G1942" t="str">
        <f>""</f>
        <v/>
      </c>
      <c r="I1942" t="str">
        <f t="shared" si="28"/>
        <v>GUARDIAN</v>
      </c>
    </row>
    <row r="1943" spans="1:9" x14ac:dyDescent="0.3">
      <c r="A1943" t="str">
        <f>""</f>
        <v/>
      </c>
      <c r="F1943" t="str">
        <f>""</f>
        <v/>
      </c>
      <c r="G1943" t="str">
        <f>""</f>
        <v/>
      </c>
      <c r="I1943" t="str">
        <f t="shared" si="28"/>
        <v>GUARDIAN</v>
      </c>
    </row>
    <row r="1944" spans="1:9" x14ac:dyDescent="0.3">
      <c r="A1944" t="str">
        <f>""</f>
        <v/>
      </c>
      <c r="F1944" t="str">
        <f>""</f>
        <v/>
      </c>
      <c r="G1944" t="str">
        <f>""</f>
        <v/>
      </c>
      <c r="I1944" t="str">
        <f t="shared" si="28"/>
        <v>GUARDIAN</v>
      </c>
    </row>
    <row r="1945" spans="1:9" x14ac:dyDescent="0.3">
      <c r="A1945" t="str">
        <f>""</f>
        <v/>
      </c>
      <c r="F1945" t="str">
        <f>""</f>
        <v/>
      </c>
      <c r="G1945" t="str">
        <f>""</f>
        <v/>
      </c>
      <c r="I1945" t="str">
        <f t="shared" si="28"/>
        <v>GUARDIAN</v>
      </c>
    </row>
    <row r="1946" spans="1:9" x14ac:dyDescent="0.3">
      <c r="A1946" t="str">
        <f>""</f>
        <v/>
      </c>
      <c r="F1946" t="str">
        <f>""</f>
        <v/>
      </c>
      <c r="G1946" t="str">
        <f>""</f>
        <v/>
      </c>
      <c r="I1946" t="str">
        <f t="shared" si="28"/>
        <v>GUARDIAN</v>
      </c>
    </row>
    <row r="1947" spans="1:9" x14ac:dyDescent="0.3">
      <c r="A1947" t="str">
        <f>""</f>
        <v/>
      </c>
      <c r="F1947" t="str">
        <f>""</f>
        <v/>
      </c>
      <c r="G1947" t="str">
        <f>""</f>
        <v/>
      </c>
      <c r="I1947" t="str">
        <f t="shared" si="28"/>
        <v>GUARDIAN</v>
      </c>
    </row>
    <row r="1948" spans="1:9" x14ac:dyDescent="0.3">
      <c r="A1948" t="str">
        <f>""</f>
        <v/>
      </c>
      <c r="F1948" t="str">
        <f>""</f>
        <v/>
      </c>
      <c r="G1948" t="str">
        <f>""</f>
        <v/>
      </c>
      <c r="I1948" t="str">
        <f t="shared" si="28"/>
        <v>GUARDIAN</v>
      </c>
    </row>
    <row r="1949" spans="1:9" x14ac:dyDescent="0.3">
      <c r="A1949" t="str">
        <f>""</f>
        <v/>
      </c>
      <c r="F1949" t="str">
        <f>""</f>
        <v/>
      </c>
      <c r="G1949" t="str">
        <f>""</f>
        <v/>
      </c>
      <c r="I1949" t="str">
        <f t="shared" ref="I1949:I2012" si="29">"GUARDIAN"</f>
        <v>GUARDIAN</v>
      </c>
    </row>
    <row r="1950" spans="1:9" x14ac:dyDescent="0.3">
      <c r="A1950" t="str">
        <f>""</f>
        <v/>
      </c>
      <c r="F1950" t="str">
        <f>""</f>
        <v/>
      </c>
      <c r="G1950" t="str">
        <f>""</f>
        <v/>
      </c>
      <c r="I1950" t="str">
        <f t="shared" si="29"/>
        <v>GUARDIAN</v>
      </c>
    </row>
    <row r="1951" spans="1:9" x14ac:dyDescent="0.3">
      <c r="A1951" t="str">
        <f>""</f>
        <v/>
      </c>
      <c r="F1951" t="str">
        <f>""</f>
        <v/>
      </c>
      <c r="G1951" t="str">
        <f>""</f>
        <v/>
      </c>
      <c r="I1951" t="str">
        <f t="shared" si="29"/>
        <v>GUARDIAN</v>
      </c>
    </row>
    <row r="1952" spans="1:9" x14ac:dyDescent="0.3">
      <c r="A1952" t="str">
        <f>""</f>
        <v/>
      </c>
      <c r="F1952" t="str">
        <f>""</f>
        <v/>
      </c>
      <c r="G1952" t="str">
        <f>""</f>
        <v/>
      </c>
      <c r="I1952" t="str">
        <f t="shared" si="29"/>
        <v>GUARDIAN</v>
      </c>
    </row>
    <row r="1953" spans="1:9" x14ac:dyDescent="0.3">
      <c r="A1953" t="str">
        <f>""</f>
        <v/>
      </c>
      <c r="F1953" t="str">
        <f>""</f>
        <v/>
      </c>
      <c r="G1953" t="str">
        <f>""</f>
        <v/>
      </c>
      <c r="I1953" t="str">
        <f t="shared" si="29"/>
        <v>GUARDIAN</v>
      </c>
    </row>
    <row r="1954" spans="1:9" x14ac:dyDescent="0.3">
      <c r="A1954" t="str">
        <f>""</f>
        <v/>
      </c>
      <c r="F1954" t="str">
        <f>""</f>
        <v/>
      </c>
      <c r="G1954" t="str">
        <f>""</f>
        <v/>
      </c>
      <c r="I1954" t="str">
        <f t="shared" si="29"/>
        <v>GUARDIAN</v>
      </c>
    </row>
    <row r="1955" spans="1:9" x14ac:dyDescent="0.3">
      <c r="A1955" t="str">
        <f>""</f>
        <v/>
      </c>
      <c r="F1955" t="str">
        <f>""</f>
        <v/>
      </c>
      <c r="G1955" t="str">
        <f>""</f>
        <v/>
      </c>
      <c r="I1955" t="str">
        <f t="shared" si="29"/>
        <v>GUARDIAN</v>
      </c>
    </row>
    <row r="1956" spans="1:9" x14ac:dyDescent="0.3">
      <c r="A1956" t="str">
        <f>""</f>
        <v/>
      </c>
      <c r="F1956" t="str">
        <f>""</f>
        <v/>
      </c>
      <c r="G1956" t="str">
        <f>""</f>
        <v/>
      </c>
      <c r="I1956" t="str">
        <f t="shared" si="29"/>
        <v>GUARDIAN</v>
      </c>
    </row>
    <row r="1957" spans="1:9" x14ac:dyDescent="0.3">
      <c r="A1957" t="str">
        <f>""</f>
        <v/>
      </c>
      <c r="F1957" t="str">
        <f>""</f>
        <v/>
      </c>
      <c r="G1957" t="str">
        <f>""</f>
        <v/>
      </c>
      <c r="I1957" t="str">
        <f t="shared" si="29"/>
        <v>GUARDIAN</v>
      </c>
    </row>
    <row r="1958" spans="1:9" x14ac:dyDescent="0.3">
      <c r="A1958" t="str">
        <f>""</f>
        <v/>
      </c>
      <c r="F1958" t="str">
        <f>""</f>
        <v/>
      </c>
      <c r="G1958" t="str">
        <f>""</f>
        <v/>
      </c>
      <c r="I1958" t="str">
        <f t="shared" si="29"/>
        <v>GUARDIAN</v>
      </c>
    </row>
    <row r="1959" spans="1:9" x14ac:dyDescent="0.3">
      <c r="A1959" t="str">
        <f>""</f>
        <v/>
      </c>
      <c r="F1959" t="str">
        <f>""</f>
        <v/>
      </c>
      <c r="G1959" t="str">
        <f>""</f>
        <v/>
      </c>
      <c r="I1959" t="str">
        <f t="shared" si="29"/>
        <v>GUARDIAN</v>
      </c>
    </row>
    <row r="1960" spans="1:9" x14ac:dyDescent="0.3">
      <c r="A1960" t="str">
        <f>""</f>
        <v/>
      </c>
      <c r="F1960" t="str">
        <f>""</f>
        <v/>
      </c>
      <c r="G1960" t="str">
        <f>""</f>
        <v/>
      </c>
      <c r="I1960" t="str">
        <f t="shared" si="29"/>
        <v>GUARDIAN</v>
      </c>
    </row>
    <row r="1961" spans="1:9" x14ac:dyDescent="0.3">
      <c r="A1961" t="str">
        <f>""</f>
        <v/>
      </c>
      <c r="F1961" t="str">
        <f>"GDC201712137296"</f>
        <v>GDC201712137296</v>
      </c>
      <c r="G1961" t="str">
        <f>"GUARDIAN"</f>
        <v>GUARDIAN</v>
      </c>
      <c r="H1961" s="2">
        <v>97.95</v>
      </c>
      <c r="I1961" t="str">
        <f t="shared" si="29"/>
        <v>GUARDIAN</v>
      </c>
    </row>
    <row r="1962" spans="1:9" x14ac:dyDescent="0.3">
      <c r="A1962" t="str">
        <f>""</f>
        <v/>
      </c>
      <c r="F1962" t="str">
        <f>""</f>
        <v/>
      </c>
      <c r="G1962" t="str">
        <f>""</f>
        <v/>
      </c>
      <c r="I1962" t="str">
        <f t="shared" si="29"/>
        <v>GUARDIAN</v>
      </c>
    </row>
    <row r="1963" spans="1:9" x14ac:dyDescent="0.3">
      <c r="A1963" t="str">
        <f>""</f>
        <v/>
      </c>
      <c r="F1963" t="str">
        <f>"GDE201711296859"</f>
        <v>GDE201711296859</v>
      </c>
      <c r="G1963" t="str">
        <f>"GUARDIAN"</f>
        <v>GUARDIAN</v>
      </c>
      <c r="H1963" s="2">
        <v>3759.2</v>
      </c>
      <c r="I1963" t="str">
        <f t="shared" si="29"/>
        <v>GUARDIAN</v>
      </c>
    </row>
    <row r="1964" spans="1:9" x14ac:dyDescent="0.3">
      <c r="A1964" t="str">
        <f>""</f>
        <v/>
      </c>
      <c r="F1964" t="str">
        <f>""</f>
        <v/>
      </c>
      <c r="G1964" t="str">
        <f>""</f>
        <v/>
      </c>
      <c r="I1964" t="str">
        <f t="shared" si="29"/>
        <v>GUARDIAN</v>
      </c>
    </row>
    <row r="1965" spans="1:9" x14ac:dyDescent="0.3">
      <c r="A1965" t="str">
        <f>""</f>
        <v/>
      </c>
      <c r="F1965" t="str">
        <f>""</f>
        <v/>
      </c>
      <c r="G1965" t="str">
        <f>""</f>
        <v/>
      </c>
      <c r="I1965" t="str">
        <f t="shared" si="29"/>
        <v>GUARDIAN</v>
      </c>
    </row>
    <row r="1966" spans="1:9" x14ac:dyDescent="0.3">
      <c r="A1966" t="str">
        <f>""</f>
        <v/>
      </c>
      <c r="F1966" t="str">
        <f>""</f>
        <v/>
      </c>
      <c r="G1966" t="str">
        <f>""</f>
        <v/>
      </c>
      <c r="I1966" t="str">
        <f t="shared" si="29"/>
        <v>GUARDIAN</v>
      </c>
    </row>
    <row r="1967" spans="1:9" x14ac:dyDescent="0.3">
      <c r="A1967" t="str">
        <f>""</f>
        <v/>
      </c>
      <c r="F1967" t="str">
        <f>""</f>
        <v/>
      </c>
      <c r="G1967" t="str">
        <f>""</f>
        <v/>
      </c>
      <c r="I1967" t="str">
        <f t="shared" si="29"/>
        <v>GUARDIAN</v>
      </c>
    </row>
    <row r="1968" spans="1:9" x14ac:dyDescent="0.3">
      <c r="A1968" t="str">
        <f>""</f>
        <v/>
      </c>
      <c r="F1968" t="str">
        <f>""</f>
        <v/>
      </c>
      <c r="G1968" t="str">
        <f>""</f>
        <v/>
      </c>
      <c r="I1968" t="str">
        <f t="shared" si="29"/>
        <v>GUARDIAN</v>
      </c>
    </row>
    <row r="1969" spans="1:9" x14ac:dyDescent="0.3">
      <c r="A1969" t="str">
        <f>""</f>
        <v/>
      </c>
      <c r="F1969" t="str">
        <f>""</f>
        <v/>
      </c>
      <c r="G1969" t="str">
        <f>""</f>
        <v/>
      </c>
      <c r="I1969" t="str">
        <f t="shared" si="29"/>
        <v>GUARDIAN</v>
      </c>
    </row>
    <row r="1970" spans="1:9" x14ac:dyDescent="0.3">
      <c r="A1970" t="str">
        <f>""</f>
        <v/>
      </c>
      <c r="F1970" t="str">
        <f>""</f>
        <v/>
      </c>
      <c r="G1970" t="str">
        <f>""</f>
        <v/>
      </c>
      <c r="I1970" t="str">
        <f t="shared" si="29"/>
        <v>GUARDIAN</v>
      </c>
    </row>
    <row r="1971" spans="1:9" x14ac:dyDescent="0.3">
      <c r="A1971" t="str">
        <f>""</f>
        <v/>
      </c>
      <c r="F1971" t="str">
        <f>""</f>
        <v/>
      </c>
      <c r="G1971" t="str">
        <f>""</f>
        <v/>
      </c>
      <c r="I1971" t="str">
        <f t="shared" si="29"/>
        <v>GUARDIAN</v>
      </c>
    </row>
    <row r="1972" spans="1:9" x14ac:dyDescent="0.3">
      <c r="A1972" t="str">
        <f>""</f>
        <v/>
      </c>
      <c r="F1972" t="str">
        <f>""</f>
        <v/>
      </c>
      <c r="G1972" t="str">
        <f>""</f>
        <v/>
      </c>
      <c r="I1972" t="str">
        <f t="shared" si="29"/>
        <v>GUARDIAN</v>
      </c>
    </row>
    <row r="1973" spans="1:9" x14ac:dyDescent="0.3">
      <c r="A1973" t="str">
        <f>""</f>
        <v/>
      </c>
      <c r="F1973" t="str">
        <f>""</f>
        <v/>
      </c>
      <c r="G1973" t="str">
        <f>""</f>
        <v/>
      </c>
      <c r="I1973" t="str">
        <f t="shared" si="29"/>
        <v>GUARDIAN</v>
      </c>
    </row>
    <row r="1974" spans="1:9" x14ac:dyDescent="0.3">
      <c r="A1974" t="str">
        <f>""</f>
        <v/>
      </c>
      <c r="F1974" t="str">
        <f>""</f>
        <v/>
      </c>
      <c r="G1974" t="str">
        <f>""</f>
        <v/>
      </c>
      <c r="I1974" t="str">
        <f t="shared" si="29"/>
        <v>GUARDIAN</v>
      </c>
    </row>
    <row r="1975" spans="1:9" x14ac:dyDescent="0.3">
      <c r="A1975" t="str">
        <f>""</f>
        <v/>
      </c>
      <c r="F1975" t="str">
        <f>""</f>
        <v/>
      </c>
      <c r="G1975" t="str">
        <f>""</f>
        <v/>
      </c>
      <c r="I1975" t="str">
        <f t="shared" si="29"/>
        <v>GUARDIAN</v>
      </c>
    </row>
    <row r="1976" spans="1:9" x14ac:dyDescent="0.3">
      <c r="A1976" t="str">
        <f>""</f>
        <v/>
      </c>
      <c r="F1976" t="str">
        <f>""</f>
        <v/>
      </c>
      <c r="G1976" t="str">
        <f>""</f>
        <v/>
      </c>
      <c r="I1976" t="str">
        <f t="shared" si="29"/>
        <v>GUARDIAN</v>
      </c>
    </row>
    <row r="1977" spans="1:9" x14ac:dyDescent="0.3">
      <c r="A1977" t="str">
        <f>""</f>
        <v/>
      </c>
      <c r="F1977" t="str">
        <f>""</f>
        <v/>
      </c>
      <c r="G1977" t="str">
        <f>""</f>
        <v/>
      </c>
      <c r="I1977" t="str">
        <f t="shared" si="29"/>
        <v>GUARDIAN</v>
      </c>
    </row>
    <row r="1978" spans="1:9" x14ac:dyDescent="0.3">
      <c r="A1978" t="str">
        <f>""</f>
        <v/>
      </c>
      <c r="F1978" t="str">
        <f>""</f>
        <v/>
      </c>
      <c r="G1978" t="str">
        <f>""</f>
        <v/>
      </c>
      <c r="I1978" t="str">
        <f t="shared" si="29"/>
        <v>GUARDIAN</v>
      </c>
    </row>
    <row r="1979" spans="1:9" x14ac:dyDescent="0.3">
      <c r="A1979" t="str">
        <f>""</f>
        <v/>
      </c>
      <c r="F1979" t="str">
        <f>""</f>
        <v/>
      </c>
      <c r="G1979" t="str">
        <f>""</f>
        <v/>
      </c>
      <c r="I1979" t="str">
        <f t="shared" si="29"/>
        <v>GUARDIAN</v>
      </c>
    </row>
    <row r="1980" spans="1:9" x14ac:dyDescent="0.3">
      <c r="A1980" t="str">
        <f>""</f>
        <v/>
      </c>
      <c r="F1980" t="str">
        <f>""</f>
        <v/>
      </c>
      <c r="G1980" t="str">
        <f>""</f>
        <v/>
      </c>
      <c r="I1980" t="str">
        <f t="shared" si="29"/>
        <v>GUARDIAN</v>
      </c>
    </row>
    <row r="1981" spans="1:9" x14ac:dyDescent="0.3">
      <c r="A1981" t="str">
        <f>""</f>
        <v/>
      </c>
      <c r="F1981" t="str">
        <f>""</f>
        <v/>
      </c>
      <c r="G1981" t="str">
        <f>""</f>
        <v/>
      </c>
      <c r="I1981" t="str">
        <f t="shared" si="29"/>
        <v>GUARDIAN</v>
      </c>
    </row>
    <row r="1982" spans="1:9" x14ac:dyDescent="0.3">
      <c r="A1982" t="str">
        <f>""</f>
        <v/>
      </c>
      <c r="F1982" t="str">
        <f>""</f>
        <v/>
      </c>
      <c r="G1982" t="str">
        <f>""</f>
        <v/>
      </c>
      <c r="I1982" t="str">
        <f t="shared" si="29"/>
        <v>GUARDIAN</v>
      </c>
    </row>
    <row r="1983" spans="1:9" x14ac:dyDescent="0.3">
      <c r="A1983" t="str">
        <f>""</f>
        <v/>
      </c>
      <c r="F1983" t="str">
        <f>""</f>
        <v/>
      </c>
      <c r="G1983" t="str">
        <f>""</f>
        <v/>
      </c>
      <c r="I1983" t="str">
        <f t="shared" si="29"/>
        <v>GUARDIAN</v>
      </c>
    </row>
    <row r="1984" spans="1:9" x14ac:dyDescent="0.3">
      <c r="A1984" t="str">
        <f>""</f>
        <v/>
      </c>
      <c r="F1984" t="str">
        <f>""</f>
        <v/>
      </c>
      <c r="G1984" t="str">
        <f>""</f>
        <v/>
      </c>
      <c r="I1984" t="str">
        <f t="shared" si="29"/>
        <v>GUARDIAN</v>
      </c>
    </row>
    <row r="1985" spans="1:9" x14ac:dyDescent="0.3">
      <c r="A1985" t="str">
        <f>""</f>
        <v/>
      </c>
      <c r="F1985" t="str">
        <f>""</f>
        <v/>
      </c>
      <c r="G1985" t="str">
        <f>""</f>
        <v/>
      </c>
      <c r="I1985" t="str">
        <f t="shared" si="29"/>
        <v>GUARDIAN</v>
      </c>
    </row>
    <row r="1986" spans="1:9" x14ac:dyDescent="0.3">
      <c r="A1986" t="str">
        <f>""</f>
        <v/>
      </c>
      <c r="F1986" t="str">
        <f>""</f>
        <v/>
      </c>
      <c r="G1986" t="str">
        <f>""</f>
        <v/>
      </c>
      <c r="I1986" t="str">
        <f t="shared" si="29"/>
        <v>GUARDIAN</v>
      </c>
    </row>
    <row r="1987" spans="1:9" x14ac:dyDescent="0.3">
      <c r="A1987" t="str">
        <f>""</f>
        <v/>
      </c>
      <c r="F1987" t="str">
        <f>""</f>
        <v/>
      </c>
      <c r="G1987" t="str">
        <f>""</f>
        <v/>
      </c>
      <c r="I1987" t="str">
        <f t="shared" si="29"/>
        <v>GUARDIAN</v>
      </c>
    </row>
    <row r="1988" spans="1:9" x14ac:dyDescent="0.3">
      <c r="A1988" t="str">
        <f>""</f>
        <v/>
      </c>
      <c r="F1988" t="str">
        <f>""</f>
        <v/>
      </c>
      <c r="G1988" t="str">
        <f>""</f>
        <v/>
      </c>
      <c r="I1988" t="str">
        <f t="shared" si="29"/>
        <v>GUARDIAN</v>
      </c>
    </row>
    <row r="1989" spans="1:9" x14ac:dyDescent="0.3">
      <c r="A1989" t="str">
        <f>""</f>
        <v/>
      </c>
      <c r="F1989" t="str">
        <f>""</f>
        <v/>
      </c>
      <c r="G1989" t="str">
        <f>""</f>
        <v/>
      </c>
      <c r="I1989" t="str">
        <f t="shared" si="29"/>
        <v>GUARDIAN</v>
      </c>
    </row>
    <row r="1990" spans="1:9" x14ac:dyDescent="0.3">
      <c r="A1990" t="str">
        <f>""</f>
        <v/>
      </c>
      <c r="F1990" t="str">
        <f>""</f>
        <v/>
      </c>
      <c r="G1990" t="str">
        <f>""</f>
        <v/>
      </c>
      <c r="I1990" t="str">
        <f t="shared" si="29"/>
        <v>GUARDIAN</v>
      </c>
    </row>
    <row r="1991" spans="1:9" x14ac:dyDescent="0.3">
      <c r="A1991" t="str">
        <f>""</f>
        <v/>
      </c>
      <c r="F1991" t="str">
        <f>""</f>
        <v/>
      </c>
      <c r="G1991" t="str">
        <f>""</f>
        <v/>
      </c>
      <c r="I1991" t="str">
        <f t="shared" si="29"/>
        <v>GUARDIAN</v>
      </c>
    </row>
    <row r="1992" spans="1:9" x14ac:dyDescent="0.3">
      <c r="A1992" t="str">
        <f>""</f>
        <v/>
      </c>
      <c r="F1992" t="str">
        <f>""</f>
        <v/>
      </c>
      <c r="G1992" t="str">
        <f>""</f>
        <v/>
      </c>
      <c r="I1992" t="str">
        <f t="shared" si="29"/>
        <v>GUARDIAN</v>
      </c>
    </row>
    <row r="1993" spans="1:9" x14ac:dyDescent="0.3">
      <c r="A1993" t="str">
        <f>""</f>
        <v/>
      </c>
      <c r="F1993" t="str">
        <f>""</f>
        <v/>
      </c>
      <c r="G1993" t="str">
        <f>""</f>
        <v/>
      </c>
      <c r="I1993" t="str">
        <f t="shared" si="29"/>
        <v>GUARDIAN</v>
      </c>
    </row>
    <row r="1994" spans="1:9" x14ac:dyDescent="0.3">
      <c r="A1994" t="str">
        <f>""</f>
        <v/>
      </c>
      <c r="F1994" t="str">
        <f>""</f>
        <v/>
      </c>
      <c r="G1994" t="str">
        <f>""</f>
        <v/>
      </c>
      <c r="I1994" t="str">
        <f t="shared" si="29"/>
        <v>GUARDIAN</v>
      </c>
    </row>
    <row r="1995" spans="1:9" x14ac:dyDescent="0.3">
      <c r="A1995" t="str">
        <f>""</f>
        <v/>
      </c>
      <c r="F1995" t="str">
        <f>""</f>
        <v/>
      </c>
      <c r="G1995" t="str">
        <f>""</f>
        <v/>
      </c>
      <c r="I1995" t="str">
        <f t="shared" si="29"/>
        <v>GUARDIAN</v>
      </c>
    </row>
    <row r="1996" spans="1:9" x14ac:dyDescent="0.3">
      <c r="A1996" t="str">
        <f>""</f>
        <v/>
      </c>
      <c r="F1996" t="str">
        <f>""</f>
        <v/>
      </c>
      <c r="G1996" t="str">
        <f>""</f>
        <v/>
      </c>
      <c r="I1996" t="str">
        <f t="shared" si="29"/>
        <v>GUARDIAN</v>
      </c>
    </row>
    <row r="1997" spans="1:9" x14ac:dyDescent="0.3">
      <c r="A1997" t="str">
        <f>""</f>
        <v/>
      </c>
      <c r="F1997" t="str">
        <f>""</f>
        <v/>
      </c>
      <c r="G1997" t="str">
        <f>""</f>
        <v/>
      </c>
      <c r="I1997" t="str">
        <f t="shared" si="29"/>
        <v>GUARDIAN</v>
      </c>
    </row>
    <row r="1998" spans="1:9" x14ac:dyDescent="0.3">
      <c r="A1998" t="str">
        <f>""</f>
        <v/>
      </c>
      <c r="F1998" t="str">
        <f>""</f>
        <v/>
      </c>
      <c r="G1998" t="str">
        <f>""</f>
        <v/>
      </c>
      <c r="I1998" t="str">
        <f t="shared" si="29"/>
        <v>GUARDIAN</v>
      </c>
    </row>
    <row r="1999" spans="1:9" x14ac:dyDescent="0.3">
      <c r="A1999" t="str">
        <f>""</f>
        <v/>
      </c>
      <c r="F1999" t="str">
        <f>""</f>
        <v/>
      </c>
      <c r="G1999" t="str">
        <f>""</f>
        <v/>
      </c>
      <c r="I1999" t="str">
        <f t="shared" si="29"/>
        <v>GUARDIAN</v>
      </c>
    </row>
    <row r="2000" spans="1:9" x14ac:dyDescent="0.3">
      <c r="A2000" t="str">
        <f>""</f>
        <v/>
      </c>
      <c r="F2000" t="str">
        <f>""</f>
        <v/>
      </c>
      <c r="G2000" t="str">
        <f>""</f>
        <v/>
      </c>
      <c r="I2000" t="str">
        <f t="shared" si="29"/>
        <v>GUARDIAN</v>
      </c>
    </row>
    <row r="2001" spans="1:9" x14ac:dyDescent="0.3">
      <c r="A2001" t="str">
        <f>""</f>
        <v/>
      </c>
      <c r="F2001" t="str">
        <f>""</f>
        <v/>
      </c>
      <c r="G2001" t="str">
        <f>""</f>
        <v/>
      </c>
      <c r="I2001" t="str">
        <f t="shared" si="29"/>
        <v>GUARDIAN</v>
      </c>
    </row>
    <row r="2002" spans="1:9" x14ac:dyDescent="0.3">
      <c r="A2002" t="str">
        <f>""</f>
        <v/>
      </c>
      <c r="F2002" t="str">
        <f>"GDE201711296860"</f>
        <v>GDE201711296860</v>
      </c>
      <c r="G2002" t="str">
        <f>"GUARDIAN"</f>
        <v>GUARDIAN</v>
      </c>
      <c r="H2002" s="2">
        <v>148</v>
      </c>
      <c r="I2002" t="str">
        <f t="shared" si="29"/>
        <v>GUARDIAN</v>
      </c>
    </row>
    <row r="2003" spans="1:9" x14ac:dyDescent="0.3">
      <c r="A2003" t="str">
        <f>""</f>
        <v/>
      </c>
      <c r="F2003" t="str">
        <f>"GDE201712137295"</f>
        <v>GDE201712137295</v>
      </c>
      <c r="G2003" t="str">
        <f>"GUARDIAN"</f>
        <v>GUARDIAN</v>
      </c>
      <c r="H2003" s="2">
        <v>3788.8</v>
      </c>
      <c r="I2003" t="str">
        <f t="shared" si="29"/>
        <v>GUARDIAN</v>
      </c>
    </row>
    <row r="2004" spans="1:9" x14ac:dyDescent="0.3">
      <c r="A2004" t="str">
        <f>""</f>
        <v/>
      </c>
      <c r="F2004" t="str">
        <f>""</f>
        <v/>
      </c>
      <c r="G2004" t="str">
        <f>""</f>
        <v/>
      </c>
      <c r="I2004" t="str">
        <f t="shared" si="29"/>
        <v>GUARDIAN</v>
      </c>
    </row>
    <row r="2005" spans="1:9" x14ac:dyDescent="0.3">
      <c r="A2005" t="str">
        <f>""</f>
        <v/>
      </c>
      <c r="F2005" t="str">
        <f>""</f>
        <v/>
      </c>
      <c r="G2005" t="str">
        <f>""</f>
        <v/>
      </c>
      <c r="I2005" t="str">
        <f t="shared" si="29"/>
        <v>GUARDIAN</v>
      </c>
    </row>
    <row r="2006" spans="1:9" x14ac:dyDescent="0.3">
      <c r="A2006" t="str">
        <f>""</f>
        <v/>
      </c>
      <c r="F2006" t="str">
        <f>""</f>
        <v/>
      </c>
      <c r="G2006" t="str">
        <f>""</f>
        <v/>
      </c>
      <c r="I2006" t="str">
        <f t="shared" si="29"/>
        <v>GUARDIAN</v>
      </c>
    </row>
    <row r="2007" spans="1:9" x14ac:dyDescent="0.3">
      <c r="A2007" t="str">
        <f>""</f>
        <v/>
      </c>
      <c r="F2007" t="str">
        <f>""</f>
        <v/>
      </c>
      <c r="G2007" t="str">
        <f>""</f>
        <v/>
      </c>
      <c r="I2007" t="str">
        <f t="shared" si="29"/>
        <v>GUARDIAN</v>
      </c>
    </row>
    <row r="2008" spans="1:9" x14ac:dyDescent="0.3">
      <c r="A2008" t="str">
        <f>""</f>
        <v/>
      </c>
      <c r="F2008" t="str">
        <f>""</f>
        <v/>
      </c>
      <c r="G2008" t="str">
        <f>""</f>
        <v/>
      </c>
      <c r="I2008" t="str">
        <f t="shared" si="29"/>
        <v>GUARDIAN</v>
      </c>
    </row>
    <row r="2009" spans="1:9" x14ac:dyDescent="0.3">
      <c r="A2009" t="str">
        <f>""</f>
        <v/>
      </c>
      <c r="F2009" t="str">
        <f>""</f>
        <v/>
      </c>
      <c r="G2009" t="str">
        <f>""</f>
        <v/>
      </c>
      <c r="I2009" t="str">
        <f t="shared" si="29"/>
        <v>GUARDIAN</v>
      </c>
    </row>
    <row r="2010" spans="1:9" x14ac:dyDescent="0.3">
      <c r="A2010" t="str">
        <f>""</f>
        <v/>
      </c>
      <c r="F2010" t="str">
        <f>""</f>
        <v/>
      </c>
      <c r="G2010" t="str">
        <f>""</f>
        <v/>
      </c>
      <c r="I2010" t="str">
        <f t="shared" si="29"/>
        <v>GUARDIAN</v>
      </c>
    </row>
    <row r="2011" spans="1:9" x14ac:dyDescent="0.3">
      <c r="A2011" t="str">
        <f>""</f>
        <v/>
      </c>
      <c r="F2011" t="str">
        <f>""</f>
        <v/>
      </c>
      <c r="G2011" t="str">
        <f>""</f>
        <v/>
      </c>
      <c r="I2011" t="str">
        <f t="shared" si="29"/>
        <v>GUARDIAN</v>
      </c>
    </row>
    <row r="2012" spans="1:9" x14ac:dyDescent="0.3">
      <c r="A2012" t="str">
        <f>""</f>
        <v/>
      </c>
      <c r="F2012" t="str">
        <f>""</f>
        <v/>
      </c>
      <c r="G2012" t="str">
        <f>""</f>
        <v/>
      </c>
      <c r="I2012" t="str">
        <f t="shared" si="29"/>
        <v>GUARDIAN</v>
      </c>
    </row>
    <row r="2013" spans="1:9" x14ac:dyDescent="0.3">
      <c r="A2013" t="str">
        <f>""</f>
        <v/>
      </c>
      <c r="F2013" t="str">
        <f>""</f>
        <v/>
      </c>
      <c r="G2013" t="str">
        <f>""</f>
        <v/>
      </c>
      <c r="I2013" t="str">
        <f t="shared" ref="I2013:I2076" si="30">"GUARDIAN"</f>
        <v>GUARDIAN</v>
      </c>
    </row>
    <row r="2014" spans="1:9" x14ac:dyDescent="0.3">
      <c r="A2014" t="str">
        <f>""</f>
        <v/>
      </c>
      <c r="F2014" t="str">
        <f>""</f>
        <v/>
      </c>
      <c r="G2014" t="str">
        <f>""</f>
        <v/>
      </c>
      <c r="I2014" t="str">
        <f t="shared" si="30"/>
        <v>GUARDIAN</v>
      </c>
    </row>
    <row r="2015" spans="1:9" x14ac:dyDescent="0.3">
      <c r="A2015" t="str">
        <f>""</f>
        <v/>
      </c>
      <c r="F2015" t="str">
        <f>""</f>
        <v/>
      </c>
      <c r="G2015" t="str">
        <f>""</f>
        <v/>
      </c>
      <c r="I2015" t="str">
        <f t="shared" si="30"/>
        <v>GUARDIAN</v>
      </c>
    </row>
    <row r="2016" spans="1:9" x14ac:dyDescent="0.3">
      <c r="A2016" t="str">
        <f>""</f>
        <v/>
      </c>
      <c r="F2016" t="str">
        <f>""</f>
        <v/>
      </c>
      <c r="G2016" t="str">
        <f>""</f>
        <v/>
      </c>
      <c r="I2016" t="str">
        <f t="shared" si="30"/>
        <v>GUARDIAN</v>
      </c>
    </row>
    <row r="2017" spans="1:9" x14ac:dyDescent="0.3">
      <c r="A2017" t="str">
        <f>""</f>
        <v/>
      </c>
      <c r="F2017" t="str">
        <f>""</f>
        <v/>
      </c>
      <c r="G2017" t="str">
        <f>""</f>
        <v/>
      </c>
      <c r="I2017" t="str">
        <f t="shared" si="30"/>
        <v>GUARDIAN</v>
      </c>
    </row>
    <row r="2018" spans="1:9" x14ac:dyDescent="0.3">
      <c r="A2018" t="str">
        <f>""</f>
        <v/>
      </c>
      <c r="F2018" t="str">
        <f>""</f>
        <v/>
      </c>
      <c r="G2018" t="str">
        <f>""</f>
        <v/>
      </c>
      <c r="I2018" t="str">
        <f t="shared" si="30"/>
        <v>GUARDIAN</v>
      </c>
    </row>
    <row r="2019" spans="1:9" x14ac:dyDescent="0.3">
      <c r="A2019" t="str">
        <f>""</f>
        <v/>
      </c>
      <c r="F2019" t="str">
        <f>""</f>
        <v/>
      </c>
      <c r="G2019" t="str">
        <f>""</f>
        <v/>
      </c>
      <c r="I2019" t="str">
        <f t="shared" si="30"/>
        <v>GUARDIAN</v>
      </c>
    </row>
    <row r="2020" spans="1:9" x14ac:dyDescent="0.3">
      <c r="A2020" t="str">
        <f>""</f>
        <v/>
      </c>
      <c r="F2020" t="str">
        <f>""</f>
        <v/>
      </c>
      <c r="G2020" t="str">
        <f>""</f>
        <v/>
      </c>
      <c r="I2020" t="str">
        <f t="shared" si="30"/>
        <v>GUARDIAN</v>
      </c>
    </row>
    <row r="2021" spans="1:9" x14ac:dyDescent="0.3">
      <c r="A2021" t="str">
        <f>""</f>
        <v/>
      </c>
      <c r="F2021" t="str">
        <f>""</f>
        <v/>
      </c>
      <c r="G2021" t="str">
        <f>""</f>
        <v/>
      </c>
      <c r="I2021" t="str">
        <f t="shared" si="30"/>
        <v>GUARDIAN</v>
      </c>
    </row>
    <row r="2022" spans="1:9" x14ac:dyDescent="0.3">
      <c r="A2022" t="str">
        <f>""</f>
        <v/>
      </c>
      <c r="F2022" t="str">
        <f>""</f>
        <v/>
      </c>
      <c r="G2022" t="str">
        <f>""</f>
        <v/>
      </c>
      <c r="I2022" t="str">
        <f t="shared" si="30"/>
        <v>GUARDIAN</v>
      </c>
    </row>
    <row r="2023" spans="1:9" x14ac:dyDescent="0.3">
      <c r="A2023" t="str">
        <f>""</f>
        <v/>
      </c>
      <c r="F2023" t="str">
        <f>""</f>
        <v/>
      </c>
      <c r="G2023" t="str">
        <f>""</f>
        <v/>
      </c>
      <c r="I2023" t="str">
        <f t="shared" si="30"/>
        <v>GUARDIAN</v>
      </c>
    </row>
    <row r="2024" spans="1:9" x14ac:dyDescent="0.3">
      <c r="A2024" t="str">
        <f>""</f>
        <v/>
      </c>
      <c r="F2024" t="str">
        <f>""</f>
        <v/>
      </c>
      <c r="G2024" t="str">
        <f>""</f>
        <v/>
      </c>
      <c r="I2024" t="str">
        <f t="shared" si="30"/>
        <v>GUARDIAN</v>
      </c>
    </row>
    <row r="2025" spans="1:9" x14ac:dyDescent="0.3">
      <c r="A2025" t="str">
        <f>""</f>
        <v/>
      </c>
      <c r="F2025" t="str">
        <f>""</f>
        <v/>
      </c>
      <c r="G2025" t="str">
        <f>""</f>
        <v/>
      </c>
      <c r="I2025" t="str">
        <f t="shared" si="30"/>
        <v>GUARDIAN</v>
      </c>
    </row>
    <row r="2026" spans="1:9" x14ac:dyDescent="0.3">
      <c r="A2026" t="str">
        <f>""</f>
        <v/>
      </c>
      <c r="F2026" t="str">
        <f>""</f>
        <v/>
      </c>
      <c r="G2026" t="str">
        <f>""</f>
        <v/>
      </c>
      <c r="I2026" t="str">
        <f t="shared" si="30"/>
        <v>GUARDIAN</v>
      </c>
    </row>
    <row r="2027" spans="1:9" x14ac:dyDescent="0.3">
      <c r="A2027" t="str">
        <f>""</f>
        <v/>
      </c>
      <c r="F2027" t="str">
        <f>""</f>
        <v/>
      </c>
      <c r="G2027" t="str">
        <f>""</f>
        <v/>
      </c>
      <c r="I2027" t="str">
        <f t="shared" si="30"/>
        <v>GUARDIAN</v>
      </c>
    </row>
    <row r="2028" spans="1:9" x14ac:dyDescent="0.3">
      <c r="A2028" t="str">
        <f>""</f>
        <v/>
      </c>
      <c r="F2028" t="str">
        <f>""</f>
        <v/>
      </c>
      <c r="G2028" t="str">
        <f>""</f>
        <v/>
      </c>
      <c r="I2028" t="str">
        <f t="shared" si="30"/>
        <v>GUARDIAN</v>
      </c>
    </row>
    <row r="2029" spans="1:9" x14ac:dyDescent="0.3">
      <c r="A2029" t="str">
        <f>""</f>
        <v/>
      </c>
      <c r="F2029" t="str">
        <f>""</f>
        <v/>
      </c>
      <c r="G2029" t="str">
        <f>""</f>
        <v/>
      </c>
      <c r="I2029" t="str">
        <f t="shared" si="30"/>
        <v>GUARDIAN</v>
      </c>
    </row>
    <row r="2030" spans="1:9" x14ac:dyDescent="0.3">
      <c r="A2030" t="str">
        <f>""</f>
        <v/>
      </c>
      <c r="F2030" t="str">
        <f>""</f>
        <v/>
      </c>
      <c r="G2030" t="str">
        <f>""</f>
        <v/>
      </c>
      <c r="I2030" t="str">
        <f t="shared" si="30"/>
        <v>GUARDIAN</v>
      </c>
    </row>
    <row r="2031" spans="1:9" x14ac:dyDescent="0.3">
      <c r="A2031" t="str">
        <f>""</f>
        <v/>
      </c>
      <c r="F2031" t="str">
        <f>""</f>
        <v/>
      </c>
      <c r="G2031" t="str">
        <f>""</f>
        <v/>
      </c>
      <c r="I2031" t="str">
        <f t="shared" si="30"/>
        <v>GUARDIAN</v>
      </c>
    </row>
    <row r="2032" spans="1:9" x14ac:dyDescent="0.3">
      <c r="A2032" t="str">
        <f>""</f>
        <v/>
      </c>
      <c r="F2032" t="str">
        <f>""</f>
        <v/>
      </c>
      <c r="G2032" t="str">
        <f>""</f>
        <v/>
      </c>
      <c r="I2032" t="str">
        <f t="shared" si="30"/>
        <v>GUARDIAN</v>
      </c>
    </row>
    <row r="2033" spans="1:9" x14ac:dyDescent="0.3">
      <c r="A2033" t="str">
        <f>""</f>
        <v/>
      </c>
      <c r="F2033" t="str">
        <f>""</f>
        <v/>
      </c>
      <c r="G2033" t="str">
        <f>""</f>
        <v/>
      </c>
      <c r="I2033" t="str">
        <f t="shared" si="30"/>
        <v>GUARDIAN</v>
      </c>
    </row>
    <row r="2034" spans="1:9" x14ac:dyDescent="0.3">
      <c r="A2034" t="str">
        <f>""</f>
        <v/>
      </c>
      <c r="F2034" t="str">
        <f>""</f>
        <v/>
      </c>
      <c r="G2034" t="str">
        <f>""</f>
        <v/>
      </c>
      <c r="I2034" t="str">
        <f t="shared" si="30"/>
        <v>GUARDIAN</v>
      </c>
    </row>
    <row r="2035" spans="1:9" x14ac:dyDescent="0.3">
      <c r="A2035" t="str">
        <f>""</f>
        <v/>
      </c>
      <c r="F2035" t="str">
        <f>""</f>
        <v/>
      </c>
      <c r="G2035" t="str">
        <f>""</f>
        <v/>
      </c>
      <c r="I2035" t="str">
        <f t="shared" si="30"/>
        <v>GUARDIAN</v>
      </c>
    </row>
    <row r="2036" spans="1:9" x14ac:dyDescent="0.3">
      <c r="A2036" t="str">
        <f>""</f>
        <v/>
      </c>
      <c r="F2036" t="str">
        <f>""</f>
        <v/>
      </c>
      <c r="G2036" t="str">
        <f>""</f>
        <v/>
      </c>
      <c r="I2036" t="str">
        <f t="shared" si="30"/>
        <v>GUARDIAN</v>
      </c>
    </row>
    <row r="2037" spans="1:9" x14ac:dyDescent="0.3">
      <c r="A2037" t="str">
        <f>""</f>
        <v/>
      </c>
      <c r="F2037" t="str">
        <f>""</f>
        <v/>
      </c>
      <c r="G2037" t="str">
        <f>""</f>
        <v/>
      </c>
      <c r="I2037" t="str">
        <f t="shared" si="30"/>
        <v>GUARDIAN</v>
      </c>
    </row>
    <row r="2038" spans="1:9" x14ac:dyDescent="0.3">
      <c r="A2038" t="str">
        <f>""</f>
        <v/>
      </c>
      <c r="F2038" t="str">
        <f>""</f>
        <v/>
      </c>
      <c r="G2038" t="str">
        <f>""</f>
        <v/>
      </c>
      <c r="I2038" t="str">
        <f t="shared" si="30"/>
        <v>GUARDIAN</v>
      </c>
    </row>
    <row r="2039" spans="1:9" x14ac:dyDescent="0.3">
      <c r="A2039" t="str">
        <f>""</f>
        <v/>
      </c>
      <c r="F2039" t="str">
        <f>""</f>
        <v/>
      </c>
      <c r="G2039" t="str">
        <f>""</f>
        <v/>
      </c>
      <c r="I2039" t="str">
        <f t="shared" si="30"/>
        <v>GUARDIAN</v>
      </c>
    </row>
    <row r="2040" spans="1:9" x14ac:dyDescent="0.3">
      <c r="A2040" t="str">
        <f>""</f>
        <v/>
      </c>
      <c r="F2040" t="str">
        <f>""</f>
        <v/>
      </c>
      <c r="G2040" t="str">
        <f>""</f>
        <v/>
      </c>
      <c r="I2040" t="str">
        <f t="shared" si="30"/>
        <v>GUARDIAN</v>
      </c>
    </row>
    <row r="2041" spans="1:9" x14ac:dyDescent="0.3">
      <c r="A2041" t="str">
        <f>""</f>
        <v/>
      </c>
      <c r="F2041" t="str">
        <f>""</f>
        <v/>
      </c>
      <c r="G2041" t="str">
        <f>""</f>
        <v/>
      </c>
      <c r="I2041" t="str">
        <f t="shared" si="30"/>
        <v>GUARDIAN</v>
      </c>
    </row>
    <row r="2042" spans="1:9" x14ac:dyDescent="0.3">
      <c r="A2042" t="str">
        <f>""</f>
        <v/>
      </c>
      <c r="F2042" t="str">
        <f>"GDE201712137296"</f>
        <v>GDE201712137296</v>
      </c>
      <c r="G2042" t="str">
        <f>"GUARDIAN"</f>
        <v>GUARDIAN</v>
      </c>
      <c r="H2042" s="2">
        <v>148</v>
      </c>
      <c r="I2042" t="str">
        <f t="shared" si="30"/>
        <v>GUARDIAN</v>
      </c>
    </row>
    <row r="2043" spans="1:9" x14ac:dyDescent="0.3">
      <c r="A2043" t="str">
        <f>""</f>
        <v/>
      </c>
      <c r="F2043" t="str">
        <f>"GDF201711296859"</f>
        <v>GDF201711296859</v>
      </c>
      <c r="G2043" t="str">
        <f>"GUARDIAN"</f>
        <v>GUARDIAN</v>
      </c>
      <c r="H2043" s="2">
        <v>2269.16</v>
      </c>
      <c r="I2043" t="str">
        <f t="shared" si="30"/>
        <v>GUARDIAN</v>
      </c>
    </row>
    <row r="2044" spans="1:9" x14ac:dyDescent="0.3">
      <c r="A2044" t="str">
        <f>""</f>
        <v/>
      </c>
      <c r="F2044" t="str">
        <f>""</f>
        <v/>
      </c>
      <c r="G2044" t="str">
        <f>""</f>
        <v/>
      </c>
      <c r="I2044" t="str">
        <f t="shared" si="30"/>
        <v>GUARDIAN</v>
      </c>
    </row>
    <row r="2045" spans="1:9" x14ac:dyDescent="0.3">
      <c r="A2045" t="str">
        <f>""</f>
        <v/>
      </c>
      <c r="F2045" t="str">
        <f>""</f>
        <v/>
      </c>
      <c r="G2045" t="str">
        <f>""</f>
        <v/>
      </c>
      <c r="I2045" t="str">
        <f t="shared" si="30"/>
        <v>GUARDIAN</v>
      </c>
    </row>
    <row r="2046" spans="1:9" x14ac:dyDescent="0.3">
      <c r="A2046" t="str">
        <f>""</f>
        <v/>
      </c>
      <c r="F2046" t="str">
        <f>""</f>
        <v/>
      </c>
      <c r="G2046" t="str">
        <f>""</f>
        <v/>
      </c>
      <c r="I2046" t="str">
        <f t="shared" si="30"/>
        <v>GUARDIAN</v>
      </c>
    </row>
    <row r="2047" spans="1:9" x14ac:dyDescent="0.3">
      <c r="A2047" t="str">
        <f>""</f>
        <v/>
      </c>
      <c r="F2047" t="str">
        <f>""</f>
        <v/>
      </c>
      <c r="G2047" t="str">
        <f>""</f>
        <v/>
      </c>
      <c r="I2047" t="str">
        <f t="shared" si="30"/>
        <v>GUARDIAN</v>
      </c>
    </row>
    <row r="2048" spans="1:9" x14ac:dyDescent="0.3">
      <c r="A2048" t="str">
        <f>""</f>
        <v/>
      </c>
      <c r="F2048" t="str">
        <f>""</f>
        <v/>
      </c>
      <c r="G2048" t="str">
        <f>""</f>
        <v/>
      </c>
      <c r="I2048" t="str">
        <f t="shared" si="30"/>
        <v>GUARDIAN</v>
      </c>
    </row>
    <row r="2049" spans="1:9" x14ac:dyDescent="0.3">
      <c r="A2049" t="str">
        <f>""</f>
        <v/>
      </c>
      <c r="F2049" t="str">
        <f>""</f>
        <v/>
      </c>
      <c r="G2049" t="str">
        <f>""</f>
        <v/>
      </c>
      <c r="I2049" t="str">
        <f t="shared" si="30"/>
        <v>GUARDIAN</v>
      </c>
    </row>
    <row r="2050" spans="1:9" x14ac:dyDescent="0.3">
      <c r="A2050" t="str">
        <f>""</f>
        <v/>
      </c>
      <c r="F2050" t="str">
        <f>""</f>
        <v/>
      </c>
      <c r="G2050" t="str">
        <f>""</f>
        <v/>
      </c>
      <c r="I2050" t="str">
        <f t="shared" si="30"/>
        <v>GUARDIAN</v>
      </c>
    </row>
    <row r="2051" spans="1:9" x14ac:dyDescent="0.3">
      <c r="A2051" t="str">
        <f>""</f>
        <v/>
      </c>
      <c r="F2051" t="str">
        <f>""</f>
        <v/>
      </c>
      <c r="G2051" t="str">
        <f>""</f>
        <v/>
      </c>
      <c r="I2051" t="str">
        <f t="shared" si="30"/>
        <v>GUARDIAN</v>
      </c>
    </row>
    <row r="2052" spans="1:9" x14ac:dyDescent="0.3">
      <c r="A2052" t="str">
        <f>""</f>
        <v/>
      </c>
      <c r="F2052" t="str">
        <f>""</f>
        <v/>
      </c>
      <c r="G2052" t="str">
        <f>""</f>
        <v/>
      </c>
      <c r="I2052" t="str">
        <f t="shared" si="30"/>
        <v>GUARDIAN</v>
      </c>
    </row>
    <row r="2053" spans="1:9" x14ac:dyDescent="0.3">
      <c r="A2053" t="str">
        <f>""</f>
        <v/>
      </c>
      <c r="F2053" t="str">
        <f>""</f>
        <v/>
      </c>
      <c r="G2053" t="str">
        <f>""</f>
        <v/>
      </c>
      <c r="I2053" t="str">
        <f t="shared" si="30"/>
        <v>GUARDIAN</v>
      </c>
    </row>
    <row r="2054" spans="1:9" x14ac:dyDescent="0.3">
      <c r="A2054" t="str">
        <f>""</f>
        <v/>
      </c>
      <c r="F2054" t="str">
        <f>""</f>
        <v/>
      </c>
      <c r="G2054" t="str">
        <f>""</f>
        <v/>
      </c>
      <c r="I2054" t="str">
        <f t="shared" si="30"/>
        <v>GUARDIAN</v>
      </c>
    </row>
    <row r="2055" spans="1:9" x14ac:dyDescent="0.3">
      <c r="A2055" t="str">
        <f>""</f>
        <v/>
      </c>
      <c r="F2055" t="str">
        <f>""</f>
        <v/>
      </c>
      <c r="G2055" t="str">
        <f>""</f>
        <v/>
      </c>
      <c r="I2055" t="str">
        <f t="shared" si="30"/>
        <v>GUARDIAN</v>
      </c>
    </row>
    <row r="2056" spans="1:9" x14ac:dyDescent="0.3">
      <c r="A2056" t="str">
        <f>""</f>
        <v/>
      </c>
      <c r="F2056" t="str">
        <f>""</f>
        <v/>
      </c>
      <c r="G2056" t="str">
        <f>""</f>
        <v/>
      </c>
      <c r="I2056" t="str">
        <f t="shared" si="30"/>
        <v>GUARDIAN</v>
      </c>
    </row>
    <row r="2057" spans="1:9" x14ac:dyDescent="0.3">
      <c r="A2057" t="str">
        <f>""</f>
        <v/>
      </c>
      <c r="F2057" t="str">
        <f>""</f>
        <v/>
      </c>
      <c r="G2057" t="str">
        <f>""</f>
        <v/>
      </c>
      <c r="I2057" t="str">
        <f t="shared" si="30"/>
        <v>GUARDIAN</v>
      </c>
    </row>
    <row r="2058" spans="1:9" x14ac:dyDescent="0.3">
      <c r="A2058" t="str">
        <f>""</f>
        <v/>
      </c>
      <c r="F2058" t="str">
        <f>""</f>
        <v/>
      </c>
      <c r="G2058" t="str">
        <f>""</f>
        <v/>
      </c>
      <c r="I2058" t="str">
        <f t="shared" si="30"/>
        <v>GUARDIAN</v>
      </c>
    </row>
    <row r="2059" spans="1:9" x14ac:dyDescent="0.3">
      <c r="A2059" t="str">
        <f>""</f>
        <v/>
      </c>
      <c r="F2059" t="str">
        <f>""</f>
        <v/>
      </c>
      <c r="G2059" t="str">
        <f>""</f>
        <v/>
      </c>
      <c r="I2059" t="str">
        <f t="shared" si="30"/>
        <v>GUARDIAN</v>
      </c>
    </row>
    <row r="2060" spans="1:9" x14ac:dyDescent="0.3">
      <c r="A2060" t="str">
        <f>""</f>
        <v/>
      </c>
      <c r="F2060" t="str">
        <f>""</f>
        <v/>
      </c>
      <c r="G2060" t="str">
        <f>""</f>
        <v/>
      </c>
      <c r="I2060" t="str">
        <f t="shared" si="30"/>
        <v>GUARDIAN</v>
      </c>
    </row>
    <row r="2061" spans="1:9" x14ac:dyDescent="0.3">
      <c r="A2061" t="str">
        <f>""</f>
        <v/>
      </c>
      <c r="F2061" t="str">
        <f>""</f>
        <v/>
      </c>
      <c r="G2061" t="str">
        <f>""</f>
        <v/>
      </c>
      <c r="I2061" t="str">
        <f t="shared" si="30"/>
        <v>GUARDIAN</v>
      </c>
    </row>
    <row r="2062" spans="1:9" x14ac:dyDescent="0.3">
      <c r="A2062" t="str">
        <f>""</f>
        <v/>
      </c>
      <c r="F2062" t="str">
        <f>""</f>
        <v/>
      </c>
      <c r="G2062" t="str">
        <f>""</f>
        <v/>
      </c>
      <c r="I2062" t="str">
        <f t="shared" si="30"/>
        <v>GUARDIAN</v>
      </c>
    </row>
    <row r="2063" spans="1:9" x14ac:dyDescent="0.3">
      <c r="A2063" t="str">
        <f>""</f>
        <v/>
      </c>
      <c r="F2063" t="str">
        <f>""</f>
        <v/>
      </c>
      <c r="G2063" t="str">
        <f>""</f>
        <v/>
      </c>
      <c r="I2063" t="str">
        <f t="shared" si="30"/>
        <v>GUARDIAN</v>
      </c>
    </row>
    <row r="2064" spans="1:9" x14ac:dyDescent="0.3">
      <c r="A2064" t="str">
        <f>""</f>
        <v/>
      </c>
      <c r="F2064" t="str">
        <f>""</f>
        <v/>
      </c>
      <c r="G2064" t="str">
        <f>""</f>
        <v/>
      </c>
      <c r="I2064" t="str">
        <f t="shared" si="30"/>
        <v>GUARDIAN</v>
      </c>
    </row>
    <row r="2065" spans="1:9" x14ac:dyDescent="0.3">
      <c r="A2065" t="str">
        <f>""</f>
        <v/>
      </c>
      <c r="F2065" t="str">
        <f>""</f>
        <v/>
      </c>
      <c r="G2065" t="str">
        <f>""</f>
        <v/>
      </c>
      <c r="I2065" t="str">
        <f t="shared" si="30"/>
        <v>GUARDIAN</v>
      </c>
    </row>
    <row r="2066" spans="1:9" x14ac:dyDescent="0.3">
      <c r="A2066" t="str">
        <f>""</f>
        <v/>
      </c>
      <c r="F2066" t="str">
        <f>""</f>
        <v/>
      </c>
      <c r="G2066" t="str">
        <f>""</f>
        <v/>
      </c>
      <c r="I2066" t="str">
        <f t="shared" si="30"/>
        <v>GUARDIAN</v>
      </c>
    </row>
    <row r="2067" spans="1:9" x14ac:dyDescent="0.3">
      <c r="A2067" t="str">
        <f>""</f>
        <v/>
      </c>
      <c r="F2067" t="str">
        <f>"GDF201711296860"</f>
        <v>GDF201711296860</v>
      </c>
      <c r="G2067" t="str">
        <f>"GUARDIAN"</f>
        <v>GUARDIAN</v>
      </c>
      <c r="H2067" s="2">
        <v>144.84</v>
      </c>
      <c r="I2067" t="str">
        <f t="shared" si="30"/>
        <v>GUARDIAN</v>
      </c>
    </row>
    <row r="2068" spans="1:9" x14ac:dyDescent="0.3">
      <c r="A2068" t="str">
        <f>""</f>
        <v/>
      </c>
      <c r="F2068" t="str">
        <f>""</f>
        <v/>
      </c>
      <c r="G2068" t="str">
        <f>""</f>
        <v/>
      </c>
      <c r="I2068" t="str">
        <f t="shared" si="30"/>
        <v>GUARDIAN</v>
      </c>
    </row>
    <row r="2069" spans="1:9" x14ac:dyDescent="0.3">
      <c r="A2069" t="str">
        <f>""</f>
        <v/>
      </c>
      <c r="F2069" t="str">
        <f>"GDF201712137295"</f>
        <v>GDF201712137295</v>
      </c>
      <c r="G2069" t="str">
        <f>"GUARDIAN"</f>
        <v>GUARDIAN</v>
      </c>
      <c r="H2069" s="2">
        <v>2269.16</v>
      </c>
      <c r="I2069" t="str">
        <f t="shared" si="30"/>
        <v>GUARDIAN</v>
      </c>
    </row>
    <row r="2070" spans="1:9" x14ac:dyDescent="0.3">
      <c r="A2070" t="str">
        <f>""</f>
        <v/>
      </c>
      <c r="F2070" t="str">
        <f>""</f>
        <v/>
      </c>
      <c r="G2070" t="str">
        <f>""</f>
        <v/>
      </c>
      <c r="I2070" t="str">
        <f t="shared" si="30"/>
        <v>GUARDIAN</v>
      </c>
    </row>
    <row r="2071" spans="1:9" x14ac:dyDescent="0.3">
      <c r="A2071" t="str">
        <f>""</f>
        <v/>
      </c>
      <c r="F2071" t="str">
        <f>""</f>
        <v/>
      </c>
      <c r="G2071" t="str">
        <f>""</f>
        <v/>
      </c>
      <c r="I2071" t="str">
        <f t="shared" si="30"/>
        <v>GUARDIAN</v>
      </c>
    </row>
    <row r="2072" spans="1:9" x14ac:dyDescent="0.3">
      <c r="A2072" t="str">
        <f>""</f>
        <v/>
      </c>
      <c r="F2072" t="str">
        <f>""</f>
        <v/>
      </c>
      <c r="G2072" t="str">
        <f>""</f>
        <v/>
      </c>
      <c r="I2072" t="str">
        <f t="shared" si="30"/>
        <v>GUARDIAN</v>
      </c>
    </row>
    <row r="2073" spans="1:9" x14ac:dyDescent="0.3">
      <c r="A2073" t="str">
        <f>""</f>
        <v/>
      </c>
      <c r="F2073" t="str">
        <f>""</f>
        <v/>
      </c>
      <c r="G2073" t="str">
        <f>""</f>
        <v/>
      </c>
      <c r="I2073" t="str">
        <f t="shared" si="30"/>
        <v>GUARDIAN</v>
      </c>
    </row>
    <row r="2074" spans="1:9" x14ac:dyDescent="0.3">
      <c r="A2074" t="str">
        <f>""</f>
        <v/>
      </c>
      <c r="F2074" t="str">
        <f>""</f>
        <v/>
      </c>
      <c r="G2074" t="str">
        <f>""</f>
        <v/>
      </c>
      <c r="I2074" t="str">
        <f t="shared" si="30"/>
        <v>GUARDIAN</v>
      </c>
    </row>
    <row r="2075" spans="1:9" x14ac:dyDescent="0.3">
      <c r="A2075" t="str">
        <f>""</f>
        <v/>
      </c>
      <c r="F2075" t="str">
        <f>""</f>
        <v/>
      </c>
      <c r="G2075" t="str">
        <f>""</f>
        <v/>
      </c>
      <c r="I2075" t="str">
        <f t="shared" si="30"/>
        <v>GUARDIAN</v>
      </c>
    </row>
    <row r="2076" spans="1:9" x14ac:dyDescent="0.3">
      <c r="A2076" t="str">
        <f>""</f>
        <v/>
      </c>
      <c r="F2076" t="str">
        <f>""</f>
        <v/>
      </c>
      <c r="G2076" t="str">
        <f>""</f>
        <v/>
      </c>
      <c r="I2076" t="str">
        <f t="shared" si="30"/>
        <v>GUARDIAN</v>
      </c>
    </row>
    <row r="2077" spans="1:9" x14ac:dyDescent="0.3">
      <c r="A2077" t="str">
        <f>""</f>
        <v/>
      </c>
      <c r="F2077" t="str">
        <f>""</f>
        <v/>
      </c>
      <c r="G2077" t="str">
        <f>""</f>
        <v/>
      </c>
      <c r="I2077" t="str">
        <f t="shared" ref="I2077:I2140" si="31">"GUARDIAN"</f>
        <v>GUARDIAN</v>
      </c>
    </row>
    <row r="2078" spans="1:9" x14ac:dyDescent="0.3">
      <c r="A2078" t="str">
        <f>""</f>
        <v/>
      </c>
      <c r="F2078" t="str">
        <f>""</f>
        <v/>
      </c>
      <c r="G2078" t="str">
        <f>""</f>
        <v/>
      </c>
      <c r="I2078" t="str">
        <f t="shared" si="31"/>
        <v>GUARDIAN</v>
      </c>
    </row>
    <row r="2079" spans="1:9" x14ac:dyDescent="0.3">
      <c r="A2079" t="str">
        <f>""</f>
        <v/>
      </c>
      <c r="F2079" t="str">
        <f>""</f>
        <v/>
      </c>
      <c r="G2079" t="str">
        <f>""</f>
        <v/>
      </c>
      <c r="I2079" t="str">
        <f t="shared" si="31"/>
        <v>GUARDIAN</v>
      </c>
    </row>
    <row r="2080" spans="1:9" x14ac:dyDescent="0.3">
      <c r="A2080" t="str">
        <f>""</f>
        <v/>
      </c>
      <c r="F2080" t="str">
        <f>""</f>
        <v/>
      </c>
      <c r="G2080" t="str">
        <f>""</f>
        <v/>
      </c>
      <c r="I2080" t="str">
        <f t="shared" si="31"/>
        <v>GUARDIAN</v>
      </c>
    </row>
    <row r="2081" spans="1:9" x14ac:dyDescent="0.3">
      <c r="A2081" t="str">
        <f>""</f>
        <v/>
      </c>
      <c r="F2081" t="str">
        <f>""</f>
        <v/>
      </c>
      <c r="G2081" t="str">
        <f>""</f>
        <v/>
      </c>
      <c r="I2081" t="str">
        <f t="shared" si="31"/>
        <v>GUARDIAN</v>
      </c>
    </row>
    <row r="2082" spans="1:9" x14ac:dyDescent="0.3">
      <c r="A2082" t="str">
        <f>""</f>
        <v/>
      </c>
      <c r="F2082" t="str">
        <f>""</f>
        <v/>
      </c>
      <c r="G2082" t="str">
        <f>""</f>
        <v/>
      </c>
      <c r="I2082" t="str">
        <f t="shared" si="31"/>
        <v>GUARDIAN</v>
      </c>
    </row>
    <row r="2083" spans="1:9" x14ac:dyDescent="0.3">
      <c r="A2083" t="str">
        <f>""</f>
        <v/>
      </c>
      <c r="F2083" t="str">
        <f>""</f>
        <v/>
      </c>
      <c r="G2083" t="str">
        <f>""</f>
        <v/>
      </c>
      <c r="I2083" t="str">
        <f t="shared" si="31"/>
        <v>GUARDIAN</v>
      </c>
    </row>
    <row r="2084" spans="1:9" x14ac:dyDescent="0.3">
      <c r="A2084" t="str">
        <f>""</f>
        <v/>
      </c>
      <c r="F2084" t="str">
        <f>""</f>
        <v/>
      </c>
      <c r="G2084" t="str">
        <f>""</f>
        <v/>
      </c>
      <c r="I2084" t="str">
        <f t="shared" si="31"/>
        <v>GUARDIAN</v>
      </c>
    </row>
    <row r="2085" spans="1:9" x14ac:dyDescent="0.3">
      <c r="A2085" t="str">
        <f>""</f>
        <v/>
      </c>
      <c r="F2085" t="str">
        <f>""</f>
        <v/>
      </c>
      <c r="G2085" t="str">
        <f>""</f>
        <v/>
      </c>
      <c r="I2085" t="str">
        <f t="shared" si="31"/>
        <v>GUARDIAN</v>
      </c>
    </row>
    <row r="2086" spans="1:9" x14ac:dyDescent="0.3">
      <c r="A2086" t="str">
        <f>""</f>
        <v/>
      </c>
      <c r="F2086" t="str">
        <f>""</f>
        <v/>
      </c>
      <c r="G2086" t="str">
        <f>""</f>
        <v/>
      </c>
      <c r="I2086" t="str">
        <f t="shared" si="31"/>
        <v>GUARDIAN</v>
      </c>
    </row>
    <row r="2087" spans="1:9" x14ac:dyDescent="0.3">
      <c r="A2087" t="str">
        <f>""</f>
        <v/>
      </c>
      <c r="F2087" t="str">
        <f>""</f>
        <v/>
      </c>
      <c r="G2087" t="str">
        <f>""</f>
        <v/>
      </c>
      <c r="I2087" t="str">
        <f t="shared" si="31"/>
        <v>GUARDIAN</v>
      </c>
    </row>
    <row r="2088" spans="1:9" x14ac:dyDescent="0.3">
      <c r="A2088" t="str">
        <f>""</f>
        <v/>
      </c>
      <c r="F2088" t="str">
        <f>""</f>
        <v/>
      </c>
      <c r="G2088" t="str">
        <f>""</f>
        <v/>
      </c>
      <c r="I2088" t="str">
        <f t="shared" si="31"/>
        <v>GUARDIAN</v>
      </c>
    </row>
    <row r="2089" spans="1:9" x14ac:dyDescent="0.3">
      <c r="A2089" t="str">
        <f>""</f>
        <v/>
      </c>
      <c r="F2089" t="str">
        <f>""</f>
        <v/>
      </c>
      <c r="G2089" t="str">
        <f>""</f>
        <v/>
      </c>
      <c r="I2089" t="str">
        <f t="shared" si="31"/>
        <v>GUARDIAN</v>
      </c>
    </row>
    <row r="2090" spans="1:9" x14ac:dyDescent="0.3">
      <c r="A2090" t="str">
        <f>""</f>
        <v/>
      </c>
      <c r="F2090" t="str">
        <f>""</f>
        <v/>
      </c>
      <c r="G2090" t="str">
        <f>""</f>
        <v/>
      </c>
      <c r="I2090" t="str">
        <f t="shared" si="31"/>
        <v>GUARDIAN</v>
      </c>
    </row>
    <row r="2091" spans="1:9" x14ac:dyDescent="0.3">
      <c r="A2091" t="str">
        <f>""</f>
        <v/>
      </c>
      <c r="F2091" t="str">
        <f>""</f>
        <v/>
      </c>
      <c r="G2091" t="str">
        <f>""</f>
        <v/>
      </c>
      <c r="I2091" t="str">
        <f t="shared" si="31"/>
        <v>GUARDIAN</v>
      </c>
    </row>
    <row r="2092" spans="1:9" x14ac:dyDescent="0.3">
      <c r="A2092" t="str">
        <f>""</f>
        <v/>
      </c>
      <c r="F2092" t="str">
        <f>""</f>
        <v/>
      </c>
      <c r="G2092" t="str">
        <f>""</f>
        <v/>
      </c>
      <c r="I2092" t="str">
        <f t="shared" si="31"/>
        <v>GUARDIAN</v>
      </c>
    </row>
    <row r="2093" spans="1:9" x14ac:dyDescent="0.3">
      <c r="A2093" t="str">
        <f>""</f>
        <v/>
      </c>
      <c r="F2093" t="str">
        <f>"GDF201712137296"</f>
        <v>GDF201712137296</v>
      </c>
      <c r="G2093" t="str">
        <f>"GUARDIAN"</f>
        <v>GUARDIAN</v>
      </c>
      <c r="H2093" s="2">
        <v>144.84</v>
      </c>
      <c r="I2093" t="str">
        <f t="shared" si="31"/>
        <v>GUARDIAN</v>
      </c>
    </row>
    <row r="2094" spans="1:9" x14ac:dyDescent="0.3">
      <c r="A2094" t="str">
        <f>""</f>
        <v/>
      </c>
      <c r="F2094" t="str">
        <f>""</f>
        <v/>
      </c>
      <c r="G2094" t="str">
        <f>""</f>
        <v/>
      </c>
      <c r="I2094" t="str">
        <f t="shared" si="31"/>
        <v>GUARDIAN</v>
      </c>
    </row>
    <row r="2095" spans="1:9" x14ac:dyDescent="0.3">
      <c r="A2095" t="str">
        <f>""</f>
        <v/>
      </c>
      <c r="F2095" t="str">
        <f>"GDS201711296859"</f>
        <v>GDS201711296859</v>
      </c>
      <c r="G2095" t="str">
        <f>"GUARDIAN"</f>
        <v>GUARDIAN</v>
      </c>
      <c r="H2095" s="2">
        <v>1729.56</v>
      </c>
      <c r="I2095" t="str">
        <f t="shared" si="31"/>
        <v>GUARDIAN</v>
      </c>
    </row>
    <row r="2096" spans="1:9" x14ac:dyDescent="0.3">
      <c r="A2096" t="str">
        <f>""</f>
        <v/>
      </c>
      <c r="F2096" t="str">
        <f>""</f>
        <v/>
      </c>
      <c r="G2096" t="str">
        <f>""</f>
        <v/>
      </c>
      <c r="I2096" t="str">
        <f t="shared" si="31"/>
        <v>GUARDIAN</v>
      </c>
    </row>
    <row r="2097" spans="1:9" x14ac:dyDescent="0.3">
      <c r="A2097" t="str">
        <f>""</f>
        <v/>
      </c>
      <c r="F2097" t="str">
        <f>""</f>
        <v/>
      </c>
      <c r="G2097" t="str">
        <f>""</f>
        <v/>
      </c>
      <c r="I2097" t="str">
        <f t="shared" si="31"/>
        <v>GUARDIAN</v>
      </c>
    </row>
    <row r="2098" spans="1:9" x14ac:dyDescent="0.3">
      <c r="A2098" t="str">
        <f>""</f>
        <v/>
      </c>
      <c r="F2098" t="str">
        <f>""</f>
        <v/>
      </c>
      <c r="G2098" t="str">
        <f>""</f>
        <v/>
      </c>
      <c r="I2098" t="str">
        <f t="shared" si="31"/>
        <v>GUARDIAN</v>
      </c>
    </row>
    <row r="2099" spans="1:9" x14ac:dyDescent="0.3">
      <c r="A2099" t="str">
        <f>""</f>
        <v/>
      </c>
      <c r="F2099" t="str">
        <f>""</f>
        <v/>
      </c>
      <c r="G2099" t="str">
        <f>""</f>
        <v/>
      </c>
      <c r="I2099" t="str">
        <f t="shared" si="31"/>
        <v>GUARDIAN</v>
      </c>
    </row>
    <row r="2100" spans="1:9" x14ac:dyDescent="0.3">
      <c r="A2100" t="str">
        <f>""</f>
        <v/>
      </c>
      <c r="F2100" t="str">
        <f>""</f>
        <v/>
      </c>
      <c r="G2100" t="str">
        <f>""</f>
        <v/>
      </c>
      <c r="I2100" t="str">
        <f t="shared" si="31"/>
        <v>GUARDIAN</v>
      </c>
    </row>
    <row r="2101" spans="1:9" x14ac:dyDescent="0.3">
      <c r="A2101" t="str">
        <f>""</f>
        <v/>
      </c>
      <c r="F2101" t="str">
        <f>""</f>
        <v/>
      </c>
      <c r="G2101" t="str">
        <f>""</f>
        <v/>
      </c>
      <c r="I2101" t="str">
        <f t="shared" si="31"/>
        <v>GUARDIAN</v>
      </c>
    </row>
    <row r="2102" spans="1:9" x14ac:dyDescent="0.3">
      <c r="A2102" t="str">
        <f>""</f>
        <v/>
      </c>
      <c r="F2102" t="str">
        <f>""</f>
        <v/>
      </c>
      <c r="G2102" t="str">
        <f>""</f>
        <v/>
      </c>
      <c r="I2102" t="str">
        <f t="shared" si="31"/>
        <v>GUARDIAN</v>
      </c>
    </row>
    <row r="2103" spans="1:9" x14ac:dyDescent="0.3">
      <c r="A2103" t="str">
        <f>""</f>
        <v/>
      </c>
      <c r="F2103" t="str">
        <f>""</f>
        <v/>
      </c>
      <c r="G2103" t="str">
        <f>""</f>
        <v/>
      </c>
      <c r="I2103" t="str">
        <f t="shared" si="31"/>
        <v>GUARDIAN</v>
      </c>
    </row>
    <row r="2104" spans="1:9" x14ac:dyDescent="0.3">
      <c r="A2104" t="str">
        <f>""</f>
        <v/>
      </c>
      <c r="F2104" t="str">
        <f>""</f>
        <v/>
      </c>
      <c r="G2104" t="str">
        <f>""</f>
        <v/>
      </c>
      <c r="I2104" t="str">
        <f t="shared" si="31"/>
        <v>GUARDIAN</v>
      </c>
    </row>
    <row r="2105" spans="1:9" x14ac:dyDescent="0.3">
      <c r="A2105" t="str">
        <f>""</f>
        <v/>
      </c>
      <c r="F2105" t="str">
        <f>""</f>
        <v/>
      </c>
      <c r="G2105" t="str">
        <f>""</f>
        <v/>
      </c>
      <c r="I2105" t="str">
        <f t="shared" si="31"/>
        <v>GUARDIAN</v>
      </c>
    </row>
    <row r="2106" spans="1:9" x14ac:dyDescent="0.3">
      <c r="A2106" t="str">
        <f>""</f>
        <v/>
      </c>
      <c r="F2106" t="str">
        <f>""</f>
        <v/>
      </c>
      <c r="G2106" t="str">
        <f>""</f>
        <v/>
      </c>
      <c r="I2106" t="str">
        <f t="shared" si="31"/>
        <v>GUARDIAN</v>
      </c>
    </row>
    <row r="2107" spans="1:9" x14ac:dyDescent="0.3">
      <c r="A2107" t="str">
        <f>""</f>
        <v/>
      </c>
      <c r="F2107" t="str">
        <f>""</f>
        <v/>
      </c>
      <c r="G2107" t="str">
        <f>""</f>
        <v/>
      </c>
      <c r="I2107" t="str">
        <f t="shared" si="31"/>
        <v>GUARDIAN</v>
      </c>
    </row>
    <row r="2108" spans="1:9" x14ac:dyDescent="0.3">
      <c r="A2108" t="str">
        <f>""</f>
        <v/>
      </c>
      <c r="F2108" t="str">
        <f>""</f>
        <v/>
      </c>
      <c r="G2108" t="str">
        <f>""</f>
        <v/>
      </c>
      <c r="I2108" t="str">
        <f t="shared" si="31"/>
        <v>GUARDIAN</v>
      </c>
    </row>
    <row r="2109" spans="1:9" x14ac:dyDescent="0.3">
      <c r="A2109" t="str">
        <f>""</f>
        <v/>
      </c>
      <c r="F2109" t="str">
        <f>""</f>
        <v/>
      </c>
      <c r="G2109" t="str">
        <f>""</f>
        <v/>
      </c>
      <c r="I2109" t="str">
        <f t="shared" si="31"/>
        <v>GUARDIAN</v>
      </c>
    </row>
    <row r="2110" spans="1:9" x14ac:dyDescent="0.3">
      <c r="A2110" t="str">
        <f>""</f>
        <v/>
      </c>
      <c r="F2110" t="str">
        <f>""</f>
        <v/>
      </c>
      <c r="G2110" t="str">
        <f>""</f>
        <v/>
      </c>
      <c r="I2110" t="str">
        <f t="shared" si="31"/>
        <v>GUARDIAN</v>
      </c>
    </row>
    <row r="2111" spans="1:9" x14ac:dyDescent="0.3">
      <c r="A2111" t="str">
        <f>""</f>
        <v/>
      </c>
      <c r="F2111" t="str">
        <f>""</f>
        <v/>
      </c>
      <c r="G2111" t="str">
        <f>""</f>
        <v/>
      </c>
      <c r="I2111" t="str">
        <f t="shared" si="31"/>
        <v>GUARDIAN</v>
      </c>
    </row>
    <row r="2112" spans="1:9" x14ac:dyDescent="0.3">
      <c r="A2112" t="str">
        <f>""</f>
        <v/>
      </c>
      <c r="F2112" t="str">
        <f>""</f>
        <v/>
      </c>
      <c r="G2112" t="str">
        <f>""</f>
        <v/>
      </c>
      <c r="I2112" t="str">
        <f t="shared" si="31"/>
        <v>GUARDIAN</v>
      </c>
    </row>
    <row r="2113" spans="1:9" x14ac:dyDescent="0.3">
      <c r="A2113" t="str">
        <f>""</f>
        <v/>
      </c>
      <c r="F2113" t="str">
        <f>""</f>
        <v/>
      </c>
      <c r="G2113" t="str">
        <f>""</f>
        <v/>
      </c>
      <c r="I2113" t="str">
        <f t="shared" si="31"/>
        <v>GUARDIAN</v>
      </c>
    </row>
    <row r="2114" spans="1:9" x14ac:dyDescent="0.3">
      <c r="A2114" t="str">
        <f>""</f>
        <v/>
      </c>
      <c r="F2114" t="str">
        <f>""</f>
        <v/>
      </c>
      <c r="G2114" t="str">
        <f>""</f>
        <v/>
      </c>
      <c r="I2114" t="str">
        <f t="shared" si="31"/>
        <v>GUARDIAN</v>
      </c>
    </row>
    <row r="2115" spans="1:9" x14ac:dyDescent="0.3">
      <c r="A2115" t="str">
        <f>""</f>
        <v/>
      </c>
      <c r="F2115" t="str">
        <f>""</f>
        <v/>
      </c>
      <c r="G2115" t="str">
        <f>""</f>
        <v/>
      </c>
      <c r="I2115" t="str">
        <f t="shared" si="31"/>
        <v>GUARDIAN</v>
      </c>
    </row>
    <row r="2116" spans="1:9" x14ac:dyDescent="0.3">
      <c r="A2116" t="str">
        <f>""</f>
        <v/>
      </c>
      <c r="F2116" t="str">
        <f>""</f>
        <v/>
      </c>
      <c r="G2116" t="str">
        <f>""</f>
        <v/>
      </c>
      <c r="I2116" t="str">
        <f t="shared" si="31"/>
        <v>GUARDIAN</v>
      </c>
    </row>
    <row r="2117" spans="1:9" x14ac:dyDescent="0.3">
      <c r="A2117" t="str">
        <f>""</f>
        <v/>
      </c>
      <c r="F2117" t="str">
        <f>""</f>
        <v/>
      </c>
      <c r="G2117" t="str">
        <f>""</f>
        <v/>
      </c>
      <c r="I2117" t="str">
        <f t="shared" si="31"/>
        <v>GUARDIAN</v>
      </c>
    </row>
    <row r="2118" spans="1:9" x14ac:dyDescent="0.3">
      <c r="A2118" t="str">
        <f>""</f>
        <v/>
      </c>
      <c r="F2118" t="str">
        <f>""</f>
        <v/>
      </c>
      <c r="G2118" t="str">
        <f>""</f>
        <v/>
      </c>
      <c r="I2118" t="str">
        <f t="shared" si="31"/>
        <v>GUARDIAN</v>
      </c>
    </row>
    <row r="2119" spans="1:9" x14ac:dyDescent="0.3">
      <c r="A2119" t="str">
        <f>""</f>
        <v/>
      </c>
      <c r="F2119" t="str">
        <f>""</f>
        <v/>
      </c>
      <c r="G2119" t="str">
        <f>""</f>
        <v/>
      </c>
      <c r="I2119" t="str">
        <f t="shared" si="31"/>
        <v>GUARDIAN</v>
      </c>
    </row>
    <row r="2120" spans="1:9" x14ac:dyDescent="0.3">
      <c r="A2120" t="str">
        <f>""</f>
        <v/>
      </c>
      <c r="F2120" t="str">
        <f>""</f>
        <v/>
      </c>
      <c r="G2120" t="str">
        <f>""</f>
        <v/>
      </c>
      <c r="I2120" t="str">
        <f t="shared" si="31"/>
        <v>GUARDIAN</v>
      </c>
    </row>
    <row r="2121" spans="1:9" x14ac:dyDescent="0.3">
      <c r="A2121" t="str">
        <f>""</f>
        <v/>
      </c>
      <c r="F2121" t="str">
        <f>""</f>
        <v/>
      </c>
      <c r="G2121" t="str">
        <f>""</f>
        <v/>
      </c>
      <c r="I2121" t="str">
        <f t="shared" si="31"/>
        <v>GUARDIAN</v>
      </c>
    </row>
    <row r="2122" spans="1:9" x14ac:dyDescent="0.3">
      <c r="A2122" t="str">
        <f>""</f>
        <v/>
      </c>
      <c r="F2122" t="str">
        <f>""</f>
        <v/>
      </c>
      <c r="G2122" t="str">
        <f>""</f>
        <v/>
      </c>
      <c r="I2122" t="str">
        <f t="shared" si="31"/>
        <v>GUARDIAN</v>
      </c>
    </row>
    <row r="2123" spans="1:9" x14ac:dyDescent="0.3">
      <c r="A2123" t="str">
        <f>""</f>
        <v/>
      </c>
      <c r="F2123" t="str">
        <f>"GDS201712137295"</f>
        <v>GDS201712137295</v>
      </c>
      <c r="G2123" t="str">
        <f>"GUARDIAN"</f>
        <v>GUARDIAN</v>
      </c>
      <c r="H2123" s="2">
        <v>1729.56</v>
      </c>
      <c r="I2123" t="str">
        <f t="shared" si="31"/>
        <v>GUARDIAN</v>
      </c>
    </row>
    <row r="2124" spans="1:9" x14ac:dyDescent="0.3">
      <c r="A2124" t="str">
        <f>""</f>
        <v/>
      </c>
      <c r="F2124" t="str">
        <f>""</f>
        <v/>
      </c>
      <c r="G2124" t="str">
        <f>""</f>
        <v/>
      </c>
      <c r="I2124" t="str">
        <f t="shared" si="31"/>
        <v>GUARDIAN</v>
      </c>
    </row>
    <row r="2125" spans="1:9" x14ac:dyDescent="0.3">
      <c r="A2125" t="str">
        <f>""</f>
        <v/>
      </c>
      <c r="F2125" t="str">
        <f>""</f>
        <v/>
      </c>
      <c r="G2125" t="str">
        <f>""</f>
        <v/>
      </c>
      <c r="I2125" t="str">
        <f t="shared" si="31"/>
        <v>GUARDIAN</v>
      </c>
    </row>
    <row r="2126" spans="1:9" x14ac:dyDescent="0.3">
      <c r="A2126" t="str">
        <f>""</f>
        <v/>
      </c>
      <c r="F2126" t="str">
        <f>""</f>
        <v/>
      </c>
      <c r="G2126" t="str">
        <f>""</f>
        <v/>
      </c>
      <c r="I2126" t="str">
        <f t="shared" si="31"/>
        <v>GUARDIAN</v>
      </c>
    </row>
    <row r="2127" spans="1:9" x14ac:dyDescent="0.3">
      <c r="A2127" t="str">
        <f>""</f>
        <v/>
      </c>
      <c r="F2127" t="str">
        <f>""</f>
        <v/>
      </c>
      <c r="G2127" t="str">
        <f>""</f>
        <v/>
      </c>
      <c r="I2127" t="str">
        <f t="shared" si="31"/>
        <v>GUARDIAN</v>
      </c>
    </row>
    <row r="2128" spans="1:9" x14ac:dyDescent="0.3">
      <c r="A2128" t="str">
        <f>""</f>
        <v/>
      </c>
      <c r="F2128" t="str">
        <f>""</f>
        <v/>
      </c>
      <c r="G2128" t="str">
        <f>""</f>
        <v/>
      </c>
      <c r="I2128" t="str">
        <f t="shared" si="31"/>
        <v>GUARDIAN</v>
      </c>
    </row>
    <row r="2129" spans="1:9" x14ac:dyDescent="0.3">
      <c r="A2129" t="str">
        <f>""</f>
        <v/>
      </c>
      <c r="F2129" t="str">
        <f>""</f>
        <v/>
      </c>
      <c r="G2129" t="str">
        <f>""</f>
        <v/>
      </c>
      <c r="I2129" t="str">
        <f t="shared" si="31"/>
        <v>GUARDIAN</v>
      </c>
    </row>
    <row r="2130" spans="1:9" x14ac:dyDescent="0.3">
      <c r="A2130" t="str">
        <f>""</f>
        <v/>
      </c>
      <c r="F2130" t="str">
        <f>""</f>
        <v/>
      </c>
      <c r="G2130" t="str">
        <f>""</f>
        <v/>
      </c>
      <c r="I2130" t="str">
        <f t="shared" si="31"/>
        <v>GUARDIAN</v>
      </c>
    </row>
    <row r="2131" spans="1:9" x14ac:dyDescent="0.3">
      <c r="A2131" t="str">
        <f>""</f>
        <v/>
      </c>
      <c r="F2131" t="str">
        <f>""</f>
        <v/>
      </c>
      <c r="G2131" t="str">
        <f>""</f>
        <v/>
      </c>
      <c r="I2131" t="str">
        <f t="shared" si="31"/>
        <v>GUARDIAN</v>
      </c>
    </row>
    <row r="2132" spans="1:9" x14ac:dyDescent="0.3">
      <c r="A2132" t="str">
        <f>""</f>
        <v/>
      </c>
      <c r="F2132" t="str">
        <f>""</f>
        <v/>
      </c>
      <c r="G2132" t="str">
        <f>""</f>
        <v/>
      </c>
      <c r="I2132" t="str">
        <f t="shared" si="31"/>
        <v>GUARDIAN</v>
      </c>
    </row>
    <row r="2133" spans="1:9" x14ac:dyDescent="0.3">
      <c r="A2133" t="str">
        <f>""</f>
        <v/>
      </c>
      <c r="F2133" t="str">
        <f>""</f>
        <v/>
      </c>
      <c r="G2133" t="str">
        <f>""</f>
        <v/>
      </c>
      <c r="I2133" t="str">
        <f t="shared" si="31"/>
        <v>GUARDIAN</v>
      </c>
    </row>
    <row r="2134" spans="1:9" x14ac:dyDescent="0.3">
      <c r="A2134" t="str">
        <f>""</f>
        <v/>
      </c>
      <c r="F2134" t="str">
        <f>""</f>
        <v/>
      </c>
      <c r="G2134" t="str">
        <f>""</f>
        <v/>
      </c>
      <c r="I2134" t="str">
        <f t="shared" si="31"/>
        <v>GUARDIAN</v>
      </c>
    </row>
    <row r="2135" spans="1:9" x14ac:dyDescent="0.3">
      <c r="A2135" t="str">
        <f>""</f>
        <v/>
      </c>
      <c r="F2135" t="str">
        <f>""</f>
        <v/>
      </c>
      <c r="G2135" t="str">
        <f>""</f>
        <v/>
      </c>
      <c r="I2135" t="str">
        <f t="shared" si="31"/>
        <v>GUARDIAN</v>
      </c>
    </row>
    <row r="2136" spans="1:9" x14ac:dyDescent="0.3">
      <c r="A2136" t="str">
        <f>""</f>
        <v/>
      </c>
      <c r="F2136" t="str">
        <f>""</f>
        <v/>
      </c>
      <c r="G2136" t="str">
        <f>""</f>
        <v/>
      </c>
      <c r="I2136" t="str">
        <f t="shared" si="31"/>
        <v>GUARDIAN</v>
      </c>
    </row>
    <row r="2137" spans="1:9" x14ac:dyDescent="0.3">
      <c r="A2137" t="str">
        <f>""</f>
        <v/>
      </c>
      <c r="F2137" t="str">
        <f>""</f>
        <v/>
      </c>
      <c r="G2137" t="str">
        <f>""</f>
        <v/>
      </c>
      <c r="I2137" t="str">
        <f t="shared" si="31"/>
        <v>GUARDIAN</v>
      </c>
    </row>
    <row r="2138" spans="1:9" x14ac:dyDescent="0.3">
      <c r="A2138" t="str">
        <f>""</f>
        <v/>
      </c>
      <c r="F2138" t="str">
        <f>""</f>
        <v/>
      </c>
      <c r="G2138" t="str">
        <f>""</f>
        <v/>
      </c>
      <c r="I2138" t="str">
        <f t="shared" si="31"/>
        <v>GUARDIAN</v>
      </c>
    </row>
    <row r="2139" spans="1:9" x14ac:dyDescent="0.3">
      <c r="A2139" t="str">
        <f>""</f>
        <v/>
      </c>
      <c r="F2139" t="str">
        <f>""</f>
        <v/>
      </c>
      <c r="G2139" t="str">
        <f>""</f>
        <v/>
      </c>
      <c r="I2139" t="str">
        <f t="shared" si="31"/>
        <v>GUARDIAN</v>
      </c>
    </row>
    <row r="2140" spans="1:9" x14ac:dyDescent="0.3">
      <c r="A2140" t="str">
        <f>""</f>
        <v/>
      </c>
      <c r="F2140" t="str">
        <f>""</f>
        <v/>
      </c>
      <c r="G2140" t="str">
        <f>""</f>
        <v/>
      </c>
      <c r="I2140" t="str">
        <f t="shared" si="31"/>
        <v>GUARDIAN</v>
      </c>
    </row>
    <row r="2141" spans="1:9" x14ac:dyDescent="0.3">
      <c r="A2141" t="str">
        <f>""</f>
        <v/>
      </c>
      <c r="F2141" t="str">
        <f>""</f>
        <v/>
      </c>
      <c r="G2141" t="str">
        <f>""</f>
        <v/>
      </c>
      <c r="I2141" t="str">
        <f t="shared" ref="I2141:I2150" si="32">"GUARDIAN"</f>
        <v>GUARDIAN</v>
      </c>
    </row>
    <row r="2142" spans="1:9" x14ac:dyDescent="0.3">
      <c r="A2142" t="str">
        <f>""</f>
        <v/>
      </c>
      <c r="F2142" t="str">
        <f>""</f>
        <v/>
      </c>
      <c r="G2142" t="str">
        <f>""</f>
        <v/>
      </c>
      <c r="I2142" t="str">
        <f t="shared" si="32"/>
        <v>GUARDIAN</v>
      </c>
    </row>
    <row r="2143" spans="1:9" x14ac:dyDescent="0.3">
      <c r="A2143" t="str">
        <f>""</f>
        <v/>
      </c>
      <c r="F2143" t="str">
        <f>""</f>
        <v/>
      </c>
      <c r="G2143" t="str">
        <f>""</f>
        <v/>
      </c>
      <c r="I2143" t="str">
        <f t="shared" si="32"/>
        <v>GUARDIAN</v>
      </c>
    </row>
    <row r="2144" spans="1:9" x14ac:dyDescent="0.3">
      <c r="A2144" t="str">
        <f>""</f>
        <v/>
      </c>
      <c r="F2144" t="str">
        <f>""</f>
        <v/>
      </c>
      <c r="G2144" t="str">
        <f>""</f>
        <v/>
      </c>
      <c r="I2144" t="str">
        <f t="shared" si="32"/>
        <v>GUARDIAN</v>
      </c>
    </row>
    <row r="2145" spans="1:9" x14ac:dyDescent="0.3">
      <c r="A2145" t="str">
        <f>""</f>
        <v/>
      </c>
      <c r="F2145" t="str">
        <f>""</f>
        <v/>
      </c>
      <c r="G2145" t="str">
        <f>""</f>
        <v/>
      </c>
      <c r="I2145" t="str">
        <f t="shared" si="32"/>
        <v>GUARDIAN</v>
      </c>
    </row>
    <row r="2146" spans="1:9" x14ac:dyDescent="0.3">
      <c r="A2146" t="str">
        <f>""</f>
        <v/>
      </c>
      <c r="F2146" t="str">
        <f>""</f>
        <v/>
      </c>
      <c r="G2146" t="str">
        <f>""</f>
        <v/>
      </c>
      <c r="I2146" t="str">
        <f t="shared" si="32"/>
        <v>GUARDIAN</v>
      </c>
    </row>
    <row r="2147" spans="1:9" x14ac:dyDescent="0.3">
      <c r="A2147" t="str">
        <f>""</f>
        <v/>
      </c>
      <c r="F2147" t="str">
        <f>""</f>
        <v/>
      </c>
      <c r="G2147" t="str">
        <f>""</f>
        <v/>
      </c>
      <c r="I2147" t="str">
        <f t="shared" si="32"/>
        <v>GUARDIAN</v>
      </c>
    </row>
    <row r="2148" spans="1:9" x14ac:dyDescent="0.3">
      <c r="A2148" t="str">
        <f>""</f>
        <v/>
      </c>
      <c r="F2148" t="str">
        <f>""</f>
        <v/>
      </c>
      <c r="G2148" t="str">
        <f>""</f>
        <v/>
      </c>
      <c r="I2148" t="str">
        <f t="shared" si="32"/>
        <v>GUARDIAN</v>
      </c>
    </row>
    <row r="2149" spans="1:9" x14ac:dyDescent="0.3">
      <c r="A2149" t="str">
        <f>""</f>
        <v/>
      </c>
      <c r="F2149" t="str">
        <f>""</f>
        <v/>
      </c>
      <c r="G2149" t="str">
        <f>""</f>
        <v/>
      </c>
      <c r="I2149" t="str">
        <f t="shared" si="32"/>
        <v>GUARDIAN</v>
      </c>
    </row>
    <row r="2150" spans="1:9" x14ac:dyDescent="0.3">
      <c r="A2150" t="str">
        <f>""</f>
        <v/>
      </c>
      <c r="F2150" t="str">
        <f>""</f>
        <v/>
      </c>
      <c r="G2150" t="str">
        <f>""</f>
        <v/>
      </c>
      <c r="I2150" t="str">
        <f t="shared" si="32"/>
        <v>GUARDIAN</v>
      </c>
    </row>
    <row r="2151" spans="1:9" x14ac:dyDescent="0.3">
      <c r="A2151" t="str">
        <f>""</f>
        <v/>
      </c>
      <c r="F2151" t="str">
        <f>"GV1201711296859"</f>
        <v>GV1201711296859</v>
      </c>
      <c r="G2151" t="str">
        <f>"GUARDIAN VISION"</f>
        <v>GUARDIAN VISION</v>
      </c>
      <c r="H2151" s="2">
        <v>375.2</v>
      </c>
      <c r="I2151" t="str">
        <f>"GUARDIAN VISION"</f>
        <v>GUARDIAN VISION</v>
      </c>
    </row>
    <row r="2152" spans="1:9" x14ac:dyDescent="0.3">
      <c r="A2152" t="str">
        <f>""</f>
        <v/>
      </c>
      <c r="F2152" t="str">
        <f>"GV1201712137295"</f>
        <v>GV1201712137295</v>
      </c>
      <c r="G2152" t="str">
        <f>"GUARDIAN VISION"</f>
        <v>GUARDIAN VISION</v>
      </c>
      <c r="H2152" s="2">
        <v>375.2</v>
      </c>
      <c r="I2152" t="str">
        <f>"GUARDIAN VISION"</f>
        <v>GUARDIAN VISION</v>
      </c>
    </row>
    <row r="2153" spans="1:9" x14ac:dyDescent="0.3">
      <c r="A2153" t="str">
        <f>""</f>
        <v/>
      </c>
      <c r="F2153" t="str">
        <f>"GVE201711296859"</f>
        <v>GVE201711296859</v>
      </c>
      <c r="G2153" t="str">
        <f>"GUARDIAN VISION VENDOR"</f>
        <v>GUARDIAN VISION VENDOR</v>
      </c>
      <c r="H2153" s="2">
        <v>512.91</v>
      </c>
      <c r="I2153" t="str">
        <f>"GUARDIAN VISION VENDOR"</f>
        <v>GUARDIAN VISION VENDOR</v>
      </c>
    </row>
    <row r="2154" spans="1:9" x14ac:dyDescent="0.3">
      <c r="A2154" t="str">
        <f>""</f>
        <v/>
      </c>
      <c r="F2154" t="str">
        <f>"GVE201711296860"</f>
        <v>GVE201711296860</v>
      </c>
      <c r="G2154" t="str">
        <f>"GUARDIAN VISION VENDOR"</f>
        <v>GUARDIAN VISION VENDOR</v>
      </c>
      <c r="H2154" s="2">
        <v>25.83</v>
      </c>
      <c r="I2154" t="str">
        <f>"GUARDIAN VISION VENDOR"</f>
        <v>GUARDIAN VISION VENDOR</v>
      </c>
    </row>
    <row r="2155" spans="1:9" x14ac:dyDescent="0.3">
      <c r="A2155" t="str">
        <f>""</f>
        <v/>
      </c>
      <c r="F2155" t="str">
        <f>"GVE201712137295"</f>
        <v>GVE201712137295</v>
      </c>
      <c r="G2155" t="str">
        <f>"GUARDIAN VISION VENDOR"</f>
        <v>GUARDIAN VISION VENDOR</v>
      </c>
      <c r="H2155" s="2">
        <v>520.29</v>
      </c>
      <c r="I2155" t="str">
        <f>"GUARDIAN VISION VENDOR"</f>
        <v>GUARDIAN VISION VENDOR</v>
      </c>
    </row>
    <row r="2156" spans="1:9" x14ac:dyDescent="0.3">
      <c r="A2156" t="str">
        <f>""</f>
        <v/>
      </c>
      <c r="F2156" t="str">
        <f>"GVE201712137296"</f>
        <v>GVE201712137296</v>
      </c>
      <c r="G2156" t="str">
        <f>"GUARDIAN VISION VENDOR"</f>
        <v>GUARDIAN VISION VENDOR</v>
      </c>
      <c r="H2156" s="2">
        <v>25.83</v>
      </c>
      <c r="I2156" t="str">
        <f>"GUARDIAN VISION VENDOR"</f>
        <v>GUARDIAN VISION VENDOR</v>
      </c>
    </row>
    <row r="2157" spans="1:9" x14ac:dyDescent="0.3">
      <c r="A2157" t="str">
        <f>""</f>
        <v/>
      </c>
      <c r="F2157" t="str">
        <f>"GVF201711296859"</f>
        <v>GVF201711296859</v>
      </c>
      <c r="G2157" t="str">
        <f>"GUARDIAN VISION"</f>
        <v>GUARDIAN VISION</v>
      </c>
      <c r="H2157" s="2">
        <v>472.8</v>
      </c>
      <c r="I2157" t="str">
        <f>"GUARDIAN VISION"</f>
        <v>GUARDIAN VISION</v>
      </c>
    </row>
    <row r="2158" spans="1:9" x14ac:dyDescent="0.3">
      <c r="A2158" t="str">
        <f>""</f>
        <v/>
      </c>
      <c r="F2158" t="str">
        <f>"GVF201711296860"</f>
        <v>GVF201711296860</v>
      </c>
      <c r="G2158" t="str">
        <f>"GUARDIAN VISION VENDOR"</f>
        <v>GUARDIAN VISION VENDOR</v>
      </c>
      <c r="H2158" s="2">
        <v>29.55</v>
      </c>
      <c r="I2158" t="str">
        <f>"GUARDIAN VISION VENDOR"</f>
        <v>GUARDIAN VISION VENDOR</v>
      </c>
    </row>
    <row r="2159" spans="1:9" x14ac:dyDescent="0.3">
      <c r="A2159" t="str">
        <f>""</f>
        <v/>
      </c>
      <c r="F2159" t="str">
        <f>"GVF201712137295"</f>
        <v>GVF201712137295</v>
      </c>
      <c r="G2159" t="str">
        <f>"GUARDIAN VISION"</f>
        <v>GUARDIAN VISION</v>
      </c>
      <c r="H2159" s="2">
        <v>472.8</v>
      </c>
      <c r="I2159" t="str">
        <f>"GUARDIAN VISION"</f>
        <v>GUARDIAN VISION</v>
      </c>
    </row>
    <row r="2160" spans="1:9" x14ac:dyDescent="0.3">
      <c r="A2160" t="str">
        <f>""</f>
        <v/>
      </c>
      <c r="F2160" t="str">
        <f>"GVF201712137296"</f>
        <v>GVF201712137296</v>
      </c>
      <c r="G2160" t="str">
        <f>"GUARDIAN VISION VENDOR"</f>
        <v>GUARDIAN VISION VENDOR</v>
      </c>
      <c r="H2160" s="2">
        <v>29.55</v>
      </c>
      <c r="I2160" t="str">
        <f>"GUARDIAN VISION VENDOR"</f>
        <v>GUARDIAN VISION VENDOR</v>
      </c>
    </row>
    <row r="2161" spans="1:9" x14ac:dyDescent="0.3">
      <c r="A2161" t="str">
        <f>""</f>
        <v/>
      </c>
      <c r="F2161" t="str">
        <f>"LIA201711296859"</f>
        <v>LIA201711296859</v>
      </c>
      <c r="G2161" t="str">
        <f>"GUARDIAN"</f>
        <v>GUARDIAN</v>
      </c>
      <c r="H2161" s="2">
        <v>131.51</v>
      </c>
      <c r="I2161" t="str">
        <f t="shared" ref="I2161:I2192" si="33">"GUARDIAN"</f>
        <v>GUARDIAN</v>
      </c>
    </row>
    <row r="2162" spans="1:9" x14ac:dyDescent="0.3">
      <c r="A2162" t="str">
        <f>""</f>
        <v/>
      </c>
      <c r="F2162" t="str">
        <f>""</f>
        <v/>
      </c>
      <c r="G2162" t="str">
        <f>""</f>
        <v/>
      </c>
      <c r="I2162" t="str">
        <f t="shared" si="33"/>
        <v>GUARDIAN</v>
      </c>
    </row>
    <row r="2163" spans="1:9" x14ac:dyDescent="0.3">
      <c r="A2163" t="str">
        <f>""</f>
        <v/>
      </c>
      <c r="F2163" t="str">
        <f>""</f>
        <v/>
      </c>
      <c r="G2163" t="str">
        <f>""</f>
        <v/>
      </c>
      <c r="I2163" t="str">
        <f t="shared" si="33"/>
        <v>GUARDIAN</v>
      </c>
    </row>
    <row r="2164" spans="1:9" x14ac:dyDescent="0.3">
      <c r="A2164" t="str">
        <f>""</f>
        <v/>
      </c>
      <c r="F2164" t="str">
        <f>""</f>
        <v/>
      </c>
      <c r="G2164" t="str">
        <f>""</f>
        <v/>
      </c>
      <c r="I2164" t="str">
        <f t="shared" si="33"/>
        <v>GUARDIAN</v>
      </c>
    </row>
    <row r="2165" spans="1:9" x14ac:dyDescent="0.3">
      <c r="A2165" t="str">
        <f>""</f>
        <v/>
      </c>
      <c r="F2165" t="str">
        <f>""</f>
        <v/>
      </c>
      <c r="G2165" t="str">
        <f>""</f>
        <v/>
      </c>
      <c r="I2165" t="str">
        <f t="shared" si="33"/>
        <v>GUARDIAN</v>
      </c>
    </row>
    <row r="2166" spans="1:9" x14ac:dyDescent="0.3">
      <c r="A2166" t="str">
        <f>""</f>
        <v/>
      </c>
      <c r="F2166" t="str">
        <f>""</f>
        <v/>
      </c>
      <c r="G2166" t="str">
        <f>""</f>
        <v/>
      </c>
      <c r="I2166" t="str">
        <f t="shared" si="33"/>
        <v>GUARDIAN</v>
      </c>
    </row>
    <row r="2167" spans="1:9" x14ac:dyDescent="0.3">
      <c r="A2167" t="str">
        <f>""</f>
        <v/>
      </c>
      <c r="F2167" t="str">
        <f>""</f>
        <v/>
      </c>
      <c r="G2167" t="str">
        <f>""</f>
        <v/>
      </c>
      <c r="I2167" t="str">
        <f t="shared" si="33"/>
        <v>GUARDIAN</v>
      </c>
    </row>
    <row r="2168" spans="1:9" x14ac:dyDescent="0.3">
      <c r="A2168" t="str">
        <f>""</f>
        <v/>
      </c>
      <c r="F2168" t="str">
        <f>""</f>
        <v/>
      </c>
      <c r="G2168" t="str">
        <f>""</f>
        <v/>
      </c>
      <c r="I2168" t="str">
        <f t="shared" si="33"/>
        <v>GUARDIAN</v>
      </c>
    </row>
    <row r="2169" spans="1:9" x14ac:dyDescent="0.3">
      <c r="A2169" t="str">
        <f>""</f>
        <v/>
      </c>
      <c r="F2169" t="str">
        <f>""</f>
        <v/>
      </c>
      <c r="G2169" t="str">
        <f>""</f>
        <v/>
      </c>
      <c r="I2169" t="str">
        <f t="shared" si="33"/>
        <v>GUARDIAN</v>
      </c>
    </row>
    <row r="2170" spans="1:9" x14ac:dyDescent="0.3">
      <c r="A2170" t="str">
        <f>""</f>
        <v/>
      </c>
      <c r="F2170" t="str">
        <f>""</f>
        <v/>
      </c>
      <c r="G2170" t="str">
        <f>""</f>
        <v/>
      </c>
      <c r="I2170" t="str">
        <f t="shared" si="33"/>
        <v>GUARDIAN</v>
      </c>
    </row>
    <row r="2171" spans="1:9" x14ac:dyDescent="0.3">
      <c r="A2171" t="str">
        <f>""</f>
        <v/>
      </c>
      <c r="F2171" t="str">
        <f>""</f>
        <v/>
      </c>
      <c r="G2171" t="str">
        <f>""</f>
        <v/>
      </c>
      <c r="I2171" t="str">
        <f t="shared" si="33"/>
        <v>GUARDIAN</v>
      </c>
    </row>
    <row r="2172" spans="1:9" x14ac:dyDescent="0.3">
      <c r="A2172" t="str">
        <f>""</f>
        <v/>
      </c>
      <c r="F2172" t="str">
        <f>""</f>
        <v/>
      </c>
      <c r="G2172" t="str">
        <f>""</f>
        <v/>
      </c>
      <c r="I2172" t="str">
        <f t="shared" si="33"/>
        <v>GUARDIAN</v>
      </c>
    </row>
    <row r="2173" spans="1:9" x14ac:dyDescent="0.3">
      <c r="A2173" t="str">
        <f>""</f>
        <v/>
      </c>
      <c r="F2173" t="str">
        <f>""</f>
        <v/>
      </c>
      <c r="G2173" t="str">
        <f>""</f>
        <v/>
      </c>
      <c r="I2173" t="str">
        <f t="shared" si="33"/>
        <v>GUARDIAN</v>
      </c>
    </row>
    <row r="2174" spans="1:9" x14ac:dyDescent="0.3">
      <c r="A2174" t="str">
        <f>""</f>
        <v/>
      </c>
      <c r="F2174" t="str">
        <f>""</f>
        <v/>
      </c>
      <c r="G2174" t="str">
        <f>""</f>
        <v/>
      </c>
      <c r="I2174" t="str">
        <f t="shared" si="33"/>
        <v>GUARDIAN</v>
      </c>
    </row>
    <row r="2175" spans="1:9" x14ac:dyDescent="0.3">
      <c r="A2175" t="str">
        <f>""</f>
        <v/>
      </c>
      <c r="F2175" t="str">
        <f>""</f>
        <v/>
      </c>
      <c r="G2175" t="str">
        <f>""</f>
        <v/>
      </c>
      <c r="I2175" t="str">
        <f t="shared" si="33"/>
        <v>GUARDIAN</v>
      </c>
    </row>
    <row r="2176" spans="1:9" x14ac:dyDescent="0.3">
      <c r="A2176" t="str">
        <f>""</f>
        <v/>
      </c>
      <c r="F2176" t="str">
        <f>""</f>
        <v/>
      </c>
      <c r="G2176" t="str">
        <f>""</f>
        <v/>
      </c>
      <c r="I2176" t="str">
        <f t="shared" si="33"/>
        <v>GUARDIAN</v>
      </c>
    </row>
    <row r="2177" spans="1:9" x14ac:dyDescent="0.3">
      <c r="A2177" t="str">
        <f>""</f>
        <v/>
      </c>
      <c r="F2177" t="str">
        <f>""</f>
        <v/>
      </c>
      <c r="G2177" t="str">
        <f>""</f>
        <v/>
      </c>
      <c r="I2177" t="str">
        <f t="shared" si="33"/>
        <v>GUARDIAN</v>
      </c>
    </row>
    <row r="2178" spans="1:9" x14ac:dyDescent="0.3">
      <c r="A2178" t="str">
        <f>""</f>
        <v/>
      </c>
      <c r="F2178" t="str">
        <f>""</f>
        <v/>
      </c>
      <c r="G2178" t="str">
        <f>""</f>
        <v/>
      </c>
      <c r="I2178" t="str">
        <f t="shared" si="33"/>
        <v>GUARDIAN</v>
      </c>
    </row>
    <row r="2179" spans="1:9" x14ac:dyDescent="0.3">
      <c r="A2179" t="str">
        <f>""</f>
        <v/>
      </c>
      <c r="F2179" t="str">
        <f>""</f>
        <v/>
      </c>
      <c r="G2179" t="str">
        <f>""</f>
        <v/>
      </c>
      <c r="I2179" t="str">
        <f t="shared" si="33"/>
        <v>GUARDIAN</v>
      </c>
    </row>
    <row r="2180" spans="1:9" x14ac:dyDescent="0.3">
      <c r="A2180" t="str">
        <f>""</f>
        <v/>
      </c>
      <c r="F2180" t="str">
        <f>""</f>
        <v/>
      </c>
      <c r="G2180" t="str">
        <f>""</f>
        <v/>
      </c>
      <c r="I2180" t="str">
        <f t="shared" si="33"/>
        <v>GUARDIAN</v>
      </c>
    </row>
    <row r="2181" spans="1:9" x14ac:dyDescent="0.3">
      <c r="A2181" t="str">
        <f>""</f>
        <v/>
      </c>
      <c r="F2181" t="str">
        <f>""</f>
        <v/>
      </c>
      <c r="G2181" t="str">
        <f>""</f>
        <v/>
      </c>
      <c r="I2181" t="str">
        <f t="shared" si="33"/>
        <v>GUARDIAN</v>
      </c>
    </row>
    <row r="2182" spans="1:9" x14ac:dyDescent="0.3">
      <c r="A2182" t="str">
        <f>""</f>
        <v/>
      </c>
      <c r="F2182" t="str">
        <f>""</f>
        <v/>
      </c>
      <c r="G2182" t="str">
        <f>""</f>
        <v/>
      </c>
      <c r="I2182" t="str">
        <f t="shared" si="33"/>
        <v>GUARDIAN</v>
      </c>
    </row>
    <row r="2183" spans="1:9" x14ac:dyDescent="0.3">
      <c r="A2183" t="str">
        <f>""</f>
        <v/>
      </c>
      <c r="F2183" t="str">
        <f>"LIA201712137295"</f>
        <v>LIA201712137295</v>
      </c>
      <c r="G2183" t="str">
        <f>"GUARDIAN"</f>
        <v>GUARDIAN</v>
      </c>
      <c r="H2183" s="2">
        <v>131.51</v>
      </c>
      <c r="I2183" t="str">
        <f t="shared" si="33"/>
        <v>GUARDIAN</v>
      </c>
    </row>
    <row r="2184" spans="1:9" x14ac:dyDescent="0.3">
      <c r="A2184" t="str">
        <f>""</f>
        <v/>
      </c>
      <c r="F2184" t="str">
        <f>""</f>
        <v/>
      </c>
      <c r="G2184" t="str">
        <f>""</f>
        <v/>
      </c>
      <c r="I2184" t="str">
        <f t="shared" si="33"/>
        <v>GUARDIAN</v>
      </c>
    </row>
    <row r="2185" spans="1:9" x14ac:dyDescent="0.3">
      <c r="A2185" t="str">
        <f>""</f>
        <v/>
      </c>
      <c r="F2185" t="str">
        <f>""</f>
        <v/>
      </c>
      <c r="G2185" t="str">
        <f>""</f>
        <v/>
      </c>
      <c r="I2185" t="str">
        <f t="shared" si="33"/>
        <v>GUARDIAN</v>
      </c>
    </row>
    <row r="2186" spans="1:9" x14ac:dyDescent="0.3">
      <c r="A2186" t="str">
        <f>""</f>
        <v/>
      </c>
      <c r="F2186" t="str">
        <f>""</f>
        <v/>
      </c>
      <c r="G2186" t="str">
        <f>""</f>
        <v/>
      </c>
      <c r="I2186" t="str">
        <f t="shared" si="33"/>
        <v>GUARDIAN</v>
      </c>
    </row>
    <row r="2187" spans="1:9" x14ac:dyDescent="0.3">
      <c r="A2187" t="str">
        <f>""</f>
        <v/>
      </c>
      <c r="F2187" t="str">
        <f>""</f>
        <v/>
      </c>
      <c r="G2187" t="str">
        <f>""</f>
        <v/>
      </c>
      <c r="I2187" t="str">
        <f t="shared" si="33"/>
        <v>GUARDIAN</v>
      </c>
    </row>
    <row r="2188" spans="1:9" x14ac:dyDescent="0.3">
      <c r="A2188" t="str">
        <f>""</f>
        <v/>
      </c>
      <c r="F2188" t="str">
        <f>""</f>
        <v/>
      </c>
      <c r="G2188" t="str">
        <f>""</f>
        <v/>
      </c>
      <c r="I2188" t="str">
        <f t="shared" si="33"/>
        <v>GUARDIAN</v>
      </c>
    </row>
    <row r="2189" spans="1:9" x14ac:dyDescent="0.3">
      <c r="A2189" t="str">
        <f>""</f>
        <v/>
      </c>
      <c r="F2189" t="str">
        <f>""</f>
        <v/>
      </c>
      <c r="G2189" t="str">
        <f>""</f>
        <v/>
      </c>
      <c r="I2189" t="str">
        <f t="shared" si="33"/>
        <v>GUARDIAN</v>
      </c>
    </row>
    <row r="2190" spans="1:9" x14ac:dyDescent="0.3">
      <c r="A2190" t="str">
        <f>""</f>
        <v/>
      </c>
      <c r="F2190" t="str">
        <f>""</f>
        <v/>
      </c>
      <c r="G2190" t="str">
        <f>""</f>
        <v/>
      </c>
      <c r="I2190" t="str">
        <f t="shared" si="33"/>
        <v>GUARDIAN</v>
      </c>
    </row>
    <row r="2191" spans="1:9" x14ac:dyDescent="0.3">
      <c r="A2191" t="str">
        <f>""</f>
        <v/>
      </c>
      <c r="F2191" t="str">
        <f>""</f>
        <v/>
      </c>
      <c r="G2191" t="str">
        <f>""</f>
        <v/>
      </c>
      <c r="I2191" t="str">
        <f t="shared" si="33"/>
        <v>GUARDIAN</v>
      </c>
    </row>
    <row r="2192" spans="1:9" x14ac:dyDescent="0.3">
      <c r="A2192" t="str">
        <f>""</f>
        <v/>
      </c>
      <c r="F2192" t="str">
        <f>""</f>
        <v/>
      </c>
      <c r="G2192" t="str">
        <f>""</f>
        <v/>
      </c>
      <c r="I2192" t="str">
        <f t="shared" si="33"/>
        <v>GUARDIAN</v>
      </c>
    </row>
    <row r="2193" spans="1:9" x14ac:dyDescent="0.3">
      <c r="A2193" t="str">
        <f>""</f>
        <v/>
      </c>
      <c r="F2193" t="str">
        <f>""</f>
        <v/>
      </c>
      <c r="G2193" t="str">
        <f>""</f>
        <v/>
      </c>
      <c r="I2193" t="str">
        <f t="shared" ref="I2193:I2224" si="34">"GUARDIAN"</f>
        <v>GUARDIAN</v>
      </c>
    </row>
    <row r="2194" spans="1:9" x14ac:dyDescent="0.3">
      <c r="A2194" t="str">
        <f>""</f>
        <v/>
      </c>
      <c r="F2194" t="str">
        <f>""</f>
        <v/>
      </c>
      <c r="G2194" t="str">
        <f>""</f>
        <v/>
      </c>
      <c r="I2194" t="str">
        <f t="shared" si="34"/>
        <v>GUARDIAN</v>
      </c>
    </row>
    <row r="2195" spans="1:9" x14ac:dyDescent="0.3">
      <c r="A2195" t="str">
        <f>""</f>
        <v/>
      </c>
      <c r="F2195" t="str">
        <f>""</f>
        <v/>
      </c>
      <c r="G2195" t="str">
        <f>""</f>
        <v/>
      </c>
      <c r="I2195" t="str">
        <f t="shared" si="34"/>
        <v>GUARDIAN</v>
      </c>
    </row>
    <row r="2196" spans="1:9" x14ac:dyDescent="0.3">
      <c r="A2196" t="str">
        <f>""</f>
        <v/>
      </c>
      <c r="F2196" t="str">
        <f>""</f>
        <v/>
      </c>
      <c r="G2196" t="str">
        <f>""</f>
        <v/>
      </c>
      <c r="I2196" t="str">
        <f t="shared" si="34"/>
        <v>GUARDIAN</v>
      </c>
    </row>
    <row r="2197" spans="1:9" x14ac:dyDescent="0.3">
      <c r="A2197" t="str">
        <f>""</f>
        <v/>
      </c>
      <c r="F2197" t="str">
        <f>""</f>
        <v/>
      </c>
      <c r="G2197" t="str">
        <f>""</f>
        <v/>
      </c>
      <c r="I2197" t="str">
        <f t="shared" si="34"/>
        <v>GUARDIAN</v>
      </c>
    </row>
    <row r="2198" spans="1:9" x14ac:dyDescent="0.3">
      <c r="A2198" t="str">
        <f>""</f>
        <v/>
      </c>
      <c r="F2198" t="str">
        <f>""</f>
        <v/>
      </c>
      <c r="G2198" t="str">
        <f>""</f>
        <v/>
      </c>
      <c r="I2198" t="str">
        <f t="shared" si="34"/>
        <v>GUARDIAN</v>
      </c>
    </row>
    <row r="2199" spans="1:9" x14ac:dyDescent="0.3">
      <c r="A2199" t="str">
        <f>""</f>
        <v/>
      </c>
      <c r="F2199" t="str">
        <f>""</f>
        <v/>
      </c>
      <c r="G2199" t="str">
        <f>""</f>
        <v/>
      </c>
      <c r="I2199" t="str">
        <f t="shared" si="34"/>
        <v>GUARDIAN</v>
      </c>
    </row>
    <row r="2200" spans="1:9" x14ac:dyDescent="0.3">
      <c r="A2200" t="str">
        <f>""</f>
        <v/>
      </c>
      <c r="F2200" t="str">
        <f>""</f>
        <v/>
      </c>
      <c r="G2200" t="str">
        <f>""</f>
        <v/>
      </c>
      <c r="I2200" t="str">
        <f t="shared" si="34"/>
        <v>GUARDIAN</v>
      </c>
    </row>
    <row r="2201" spans="1:9" x14ac:dyDescent="0.3">
      <c r="A2201" t="str">
        <f>""</f>
        <v/>
      </c>
      <c r="F2201" t="str">
        <f>""</f>
        <v/>
      </c>
      <c r="G2201" t="str">
        <f>""</f>
        <v/>
      </c>
      <c r="I2201" t="str">
        <f t="shared" si="34"/>
        <v>GUARDIAN</v>
      </c>
    </row>
    <row r="2202" spans="1:9" x14ac:dyDescent="0.3">
      <c r="A2202" t="str">
        <f>""</f>
        <v/>
      </c>
      <c r="F2202" t="str">
        <f>""</f>
        <v/>
      </c>
      <c r="G2202" t="str">
        <f>""</f>
        <v/>
      </c>
      <c r="I2202" t="str">
        <f t="shared" si="34"/>
        <v>GUARDIAN</v>
      </c>
    </row>
    <row r="2203" spans="1:9" x14ac:dyDescent="0.3">
      <c r="A2203" t="str">
        <f>""</f>
        <v/>
      </c>
      <c r="F2203" t="str">
        <f>""</f>
        <v/>
      </c>
      <c r="G2203" t="str">
        <f>""</f>
        <v/>
      </c>
      <c r="I2203" t="str">
        <f t="shared" si="34"/>
        <v>GUARDIAN</v>
      </c>
    </row>
    <row r="2204" spans="1:9" x14ac:dyDescent="0.3">
      <c r="A2204" t="str">
        <f>""</f>
        <v/>
      </c>
      <c r="F2204" t="str">
        <f>""</f>
        <v/>
      </c>
      <c r="G2204" t="str">
        <f>""</f>
        <v/>
      </c>
      <c r="I2204" t="str">
        <f t="shared" si="34"/>
        <v>GUARDIAN</v>
      </c>
    </row>
    <row r="2205" spans="1:9" x14ac:dyDescent="0.3">
      <c r="A2205" t="str">
        <f>""</f>
        <v/>
      </c>
      <c r="F2205" t="str">
        <f>"LIC201711296859"</f>
        <v>LIC201711296859</v>
      </c>
      <c r="G2205" t="str">
        <f>"GUARDIAN"</f>
        <v>GUARDIAN</v>
      </c>
      <c r="H2205" s="2">
        <v>36.07</v>
      </c>
      <c r="I2205" t="str">
        <f t="shared" si="34"/>
        <v>GUARDIAN</v>
      </c>
    </row>
    <row r="2206" spans="1:9" x14ac:dyDescent="0.3">
      <c r="A2206" t="str">
        <f>""</f>
        <v/>
      </c>
      <c r="F2206" t="str">
        <f>"LIC201711296860"</f>
        <v>LIC201711296860</v>
      </c>
      <c r="G2206" t="str">
        <f>"GUARDIAN"</f>
        <v>GUARDIAN</v>
      </c>
      <c r="H2206" s="2">
        <v>1.05</v>
      </c>
      <c r="I2206" t="str">
        <f t="shared" si="34"/>
        <v>GUARDIAN</v>
      </c>
    </row>
    <row r="2207" spans="1:9" x14ac:dyDescent="0.3">
      <c r="A2207" t="str">
        <f>""</f>
        <v/>
      </c>
      <c r="F2207" t="str">
        <f>"LIC201712137295"</f>
        <v>LIC201712137295</v>
      </c>
      <c r="G2207" t="str">
        <f>"GUARDIAN"</f>
        <v>GUARDIAN</v>
      </c>
      <c r="H2207" s="2">
        <v>36.07</v>
      </c>
      <c r="I2207" t="str">
        <f t="shared" si="34"/>
        <v>GUARDIAN</v>
      </c>
    </row>
    <row r="2208" spans="1:9" x14ac:dyDescent="0.3">
      <c r="A2208" t="str">
        <f>""</f>
        <v/>
      </c>
      <c r="F2208" t="str">
        <f>"LIC201712137296"</f>
        <v>LIC201712137296</v>
      </c>
      <c r="G2208" t="str">
        <f>"GUARDIAN"</f>
        <v>GUARDIAN</v>
      </c>
      <c r="H2208" s="2">
        <v>1.05</v>
      </c>
      <c r="I2208" t="str">
        <f t="shared" si="34"/>
        <v>GUARDIAN</v>
      </c>
    </row>
    <row r="2209" spans="1:9" x14ac:dyDescent="0.3">
      <c r="A2209" t="str">
        <f>""</f>
        <v/>
      </c>
      <c r="F2209" t="str">
        <f>"LIE201711296859"</f>
        <v>LIE201711296859</v>
      </c>
      <c r="G2209" t="str">
        <f>"GUARDIAN"</f>
        <v>GUARDIAN</v>
      </c>
      <c r="H2209" s="2">
        <v>3189.85</v>
      </c>
      <c r="I2209" t="str">
        <f t="shared" si="34"/>
        <v>GUARDIAN</v>
      </c>
    </row>
    <row r="2210" spans="1:9" x14ac:dyDescent="0.3">
      <c r="A2210" t="str">
        <f>""</f>
        <v/>
      </c>
      <c r="F2210" t="str">
        <f>""</f>
        <v/>
      </c>
      <c r="G2210" t="str">
        <f>""</f>
        <v/>
      </c>
      <c r="I2210" t="str">
        <f t="shared" si="34"/>
        <v>GUARDIAN</v>
      </c>
    </row>
    <row r="2211" spans="1:9" x14ac:dyDescent="0.3">
      <c r="A2211" t="str">
        <f>""</f>
        <v/>
      </c>
      <c r="F2211" t="str">
        <f>""</f>
        <v/>
      </c>
      <c r="G2211" t="str">
        <f>""</f>
        <v/>
      </c>
      <c r="I2211" t="str">
        <f t="shared" si="34"/>
        <v>GUARDIAN</v>
      </c>
    </row>
    <row r="2212" spans="1:9" x14ac:dyDescent="0.3">
      <c r="A2212" t="str">
        <f>""</f>
        <v/>
      </c>
      <c r="F2212" t="str">
        <f>""</f>
        <v/>
      </c>
      <c r="G2212" t="str">
        <f>""</f>
        <v/>
      </c>
      <c r="I2212" t="str">
        <f t="shared" si="34"/>
        <v>GUARDIAN</v>
      </c>
    </row>
    <row r="2213" spans="1:9" x14ac:dyDescent="0.3">
      <c r="A2213" t="str">
        <f>""</f>
        <v/>
      </c>
      <c r="F2213" t="str">
        <f>""</f>
        <v/>
      </c>
      <c r="G2213" t="str">
        <f>""</f>
        <v/>
      </c>
      <c r="I2213" t="str">
        <f t="shared" si="34"/>
        <v>GUARDIAN</v>
      </c>
    </row>
    <row r="2214" spans="1:9" x14ac:dyDescent="0.3">
      <c r="A2214" t="str">
        <f>""</f>
        <v/>
      </c>
      <c r="F2214" t="str">
        <f>""</f>
        <v/>
      </c>
      <c r="G2214" t="str">
        <f>""</f>
        <v/>
      </c>
      <c r="I2214" t="str">
        <f t="shared" si="34"/>
        <v>GUARDIAN</v>
      </c>
    </row>
    <row r="2215" spans="1:9" x14ac:dyDescent="0.3">
      <c r="A2215" t="str">
        <f>""</f>
        <v/>
      </c>
      <c r="F2215" t="str">
        <f>""</f>
        <v/>
      </c>
      <c r="G2215" t="str">
        <f>""</f>
        <v/>
      </c>
      <c r="I2215" t="str">
        <f t="shared" si="34"/>
        <v>GUARDIAN</v>
      </c>
    </row>
    <row r="2216" spans="1:9" x14ac:dyDescent="0.3">
      <c r="A2216" t="str">
        <f>""</f>
        <v/>
      </c>
      <c r="F2216" t="str">
        <f>""</f>
        <v/>
      </c>
      <c r="G2216" t="str">
        <f>""</f>
        <v/>
      </c>
      <c r="I2216" t="str">
        <f t="shared" si="34"/>
        <v>GUARDIAN</v>
      </c>
    </row>
    <row r="2217" spans="1:9" x14ac:dyDescent="0.3">
      <c r="A2217" t="str">
        <f>""</f>
        <v/>
      </c>
      <c r="F2217" t="str">
        <f>""</f>
        <v/>
      </c>
      <c r="G2217" t="str">
        <f>""</f>
        <v/>
      </c>
      <c r="I2217" t="str">
        <f t="shared" si="34"/>
        <v>GUARDIAN</v>
      </c>
    </row>
    <row r="2218" spans="1:9" x14ac:dyDescent="0.3">
      <c r="A2218" t="str">
        <f>""</f>
        <v/>
      </c>
      <c r="F2218" t="str">
        <f>""</f>
        <v/>
      </c>
      <c r="G2218" t="str">
        <f>""</f>
        <v/>
      </c>
      <c r="I2218" t="str">
        <f t="shared" si="34"/>
        <v>GUARDIAN</v>
      </c>
    </row>
    <row r="2219" spans="1:9" x14ac:dyDescent="0.3">
      <c r="A2219" t="str">
        <f>""</f>
        <v/>
      </c>
      <c r="F2219" t="str">
        <f>""</f>
        <v/>
      </c>
      <c r="G2219" t="str">
        <f>""</f>
        <v/>
      </c>
      <c r="I2219" t="str">
        <f t="shared" si="34"/>
        <v>GUARDIAN</v>
      </c>
    </row>
    <row r="2220" spans="1:9" x14ac:dyDescent="0.3">
      <c r="A2220" t="str">
        <f>""</f>
        <v/>
      </c>
      <c r="F2220" t="str">
        <f>""</f>
        <v/>
      </c>
      <c r="G2220" t="str">
        <f>""</f>
        <v/>
      </c>
      <c r="I2220" t="str">
        <f t="shared" si="34"/>
        <v>GUARDIAN</v>
      </c>
    </row>
    <row r="2221" spans="1:9" x14ac:dyDescent="0.3">
      <c r="A2221" t="str">
        <f>""</f>
        <v/>
      </c>
      <c r="F2221" t="str">
        <f>""</f>
        <v/>
      </c>
      <c r="G2221" t="str">
        <f>""</f>
        <v/>
      </c>
      <c r="I2221" t="str">
        <f t="shared" si="34"/>
        <v>GUARDIAN</v>
      </c>
    </row>
    <row r="2222" spans="1:9" x14ac:dyDescent="0.3">
      <c r="A2222" t="str">
        <f>""</f>
        <v/>
      </c>
      <c r="F2222" t="str">
        <f>""</f>
        <v/>
      </c>
      <c r="G2222" t="str">
        <f>""</f>
        <v/>
      </c>
      <c r="I2222" t="str">
        <f t="shared" si="34"/>
        <v>GUARDIAN</v>
      </c>
    </row>
    <row r="2223" spans="1:9" x14ac:dyDescent="0.3">
      <c r="A2223" t="str">
        <f>""</f>
        <v/>
      </c>
      <c r="F2223" t="str">
        <f>""</f>
        <v/>
      </c>
      <c r="G2223" t="str">
        <f>""</f>
        <v/>
      </c>
      <c r="I2223" t="str">
        <f t="shared" si="34"/>
        <v>GUARDIAN</v>
      </c>
    </row>
    <row r="2224" spans="1:9" x14ac:dyDescent="0.3">
      <c r="A2224" t="str">
        <f>""</f>
        <v/>
      </c>
      <c r="F2224" t="str">
        <f>""</f>
        <v/>
      </c>
      <c r="G2224" t="str">
        <f>""</f>
        <v/>
      </c>
      <c r="I2224" t="str">
        <f t="shared" si="34"/>
        <v>GUARDIAN</v>
      </c>
    </row>
    <row r="2225" spans="1:9" x14ac:dyDescent="0.3">
      <c r="A2225" t="str">
        <f>""</f>
        <v/>
      </c>
      <c r="F2225" t="str">
        <f>""</f>
        <v/>
      </c>
      <c r="G2225" t="str">
        <f>""</f>
        <v/>
      </c>
      <c r="I2225" t="str">
        <f t="shared" ref="I2225:I2256" si="35">"GUARDIAN"</f>
        <v>GUARDIAN</v>
      </c>
    </row>
    <row r="2226" spans="1:9" x14ac:dyDescent="0.3">
      <c r="A2226" t="str">
        <f>""</f>
        <v/>
      </c>
      <c r="F2226" t="str">
        <f>""</f>
        <v/>
      </c>
      <c r="G2226" t="str">
        <f>""</f>
        <v/>
      </c>
      <c r="I2226" t="str">
        <f t="shared" si="35"/>
        <v>GUARDIAN</v>
      </c>
    </row>
    <row r="2227" spans="1:9" x14ac:dyDescent="0.3">
      <c r="A2227" t="str">
        <f>""</f>
        <v/>
      </c>
      <c r="F2227" t="str">
        <f>""</f>
        <v/>
      </c>
      <c r="G2227" t="str">
        <f>""</f>
        <v/>
      </c>
      <c r="I2227" t="str">
        <f t="shared" si="35"/>
        <v>GUARDIAN</v>
      </c>
    </row>
    <row r="2228" spans="1:9" x14ac:dyDescent="0.3">
      <c r="A2228" t="str">
        <f>""</f>
        <v/>
      </c>
      <c r="F2228" t="str">
        <f>""</f>
        <v/>
      </c>
      <c r="G2228" t="str">
        <f>""</f>
        <v/>
      </c>
      <c r="I2228" t="str">
        <f t="shared" si="35"/>
        <v>GUARDIAN</v>
      </c>
    </row>
    <row r="2229" spans="1:9" x14ac:dyDescent="0.3">
      <c r="A2229" t="str">
        <f>""</f>
        <v/>
      </c>
      <c r="F2229" t="str">
        <f>""</f>
        <v/>
      </c>
      <c r="G2229" t="str">
        <f>""</f>
        <v/>
      </c>
      <c r="I2229" t="str">
        <f t="shared" si="35"/>
        <v>GUARDIAN</v>
      </c>
    </row>
    <row r="2230" spans="1:9" x14ac:dyDescent="0.3">
      <c r="A2230" t="str">
        <f>""</f>
        <v/>
      </c>
      <c r="F2230" t="str">
        <f>""</f>
        <v/>
      </c>
      <c r="G2230" t="str">
        <f>""</f>
        <v/>
      </c>
      <c r="I2230" t="str">
        <f t="shared" si="35"/>
        <v>GUARDIAN</v>
      </c>
    </row>
    <row r="2231" spans="1:9" x14ac:dyDescent="0.3">
      <c r="A2231" t="str">
        <f>""</f>
        <v/>
      </c>
      <c r="F2231" t="str">
        <f>""</f>
        <v/>
      </c>
      <c r="G2231" t="str">
        <f>""</f>
        <v/>
      </c>
      <c r="I2231" t="str">
        <f t="shared" si="35"/>
        <v>GUARDIAN</v>
      </c>
    </row>
    <row r="2232" spans="1:9" x14ac:dyDescent="0.3">
      <c r="A2232" t="str">
        <f>""</f>
        <v/>
      </c>
      <c r="F2232" t="str">
        <f>""</f>
        <v/>
      </c>
      <c r="G2232" t="str">
        <f>""</f>
        <v/>
      </c>
      <c r="I2232" t="str">
        <f t="shared" si="35"/>
        <v>GUARDIAN</v>
      </c>
    </row>
    <row r="2233" spans="1:9" x14ac:dyDescent="0.3">
      <c r="A2233" t="str">
        <f>""</f>
        <v/>
      </c>
      <c r="F2233" t="str">
        <f>""</f>
        <v/>
      </c>
      <c r="G2233" t="str">
        <f>""</f>
        <v/>
      </c>
      <c r="I2233" t="str">
        <f t="shared" si="35"/>
        <v>GUARDIAN</v>
      </c>
    </row>
    <row r="2234" spans="1:9" x14ac:dyDescent="0.3">
      <c r="A2234" t="str">
        <f>""</f>
        <v/>
      </c>
      <c r="F2234" t="str">
        <f>""</f>
        <v/>
      </c>
      <c r="G2234" t="str">
        <f>""</f>
        <v/>
      </c>
      <c r="I2234" t="str">
        <f t="shared" si="35"/>
        <v>GUARDIAN</v>
      </c>
    </row>
    <row r="2235" spans="1:9" x14ac:dyDescent="0.3">
      <c r="A2235" t="str">
        <f>""</f>
        <v/>
      </c>
      <c r="F2235" t="str">
        <f>""</f>
        <v/>
      </c>
      <c r="G2235" t="str">
        <f>""</f>
        <v/>
      </c>
      <c r="I2235" t="str">
        <f t="shared" si="35"/>
        <v>GUARDIAN</v>
      </c>
    </row>
    <row r="2236" spans="1:9" x14ac:dyDescent="0.3">
      <c r="A2236" t="str">
        <f>""</f>
        <v/>
      </c>
      <c r="F2236" t="str">
        <f>""</f>
        <v/>
      </c>
      <c r="G2236" t="str">
        <f>""</f>
        <v/>
      </c>
      <c r="I2236" t="str">
        <f t="shared" si="35"/>
        <v>GUARDIAN</v>
      </c>
    </row>
    <row r="2237" spans="1:9" x14ac:dyDescent="0.3">
      <c r="A2237" t="str">
        <f>""</f>
        <v/>
      </c>
      <c r="F2237" t="str">
        <f>""</f>
        <v/>
      </c>
      <c r="G2237" t="str">
        <f>""</f>
        <v/>
      </c>
      <c r="I2237" t="str">
        <f t="shared" si="35"/>
        <v>GUARDIAN</v>
      </c>
    </row>
    <row r="2238" spans="1:9" x14ac:dyDescent="0.3">
      <c r="A2238" t="str">
        <f>""</f>
        <v/>
      </c>
      <c r="F2238" t="str">
        <f>""</f>
        <v/>
      </c>
      <c r="G2238" t="str">
        <f>""</f>
        <v/>
      </c>
      <c r="I2238" t="str">
        <f t="shared" si="35"/>
        <v>GUARDIAN</v>
      </c>
    </row>
    <row r="2239" spans="1:9" x14ac:dyDescent="0.3">
      <c r="A2239" t="str">
        <f>""</f>
        <v/>
      </c>
      <c r="F2239" t="str">
        <f>""</f>
        <v/>
      </c>
      <c r="G2239" t="str">
        <f>""</f>
        <v/>
      </c>
      <c r="I2239" t="str">
        <f t="shared" si="35"/>
        <v>GUARDIAN</v>
      </c>
    </row>
    <row r="2240" spans="1:9" x14ac:dyDescent="0.3">
      <c r="A2240" t="str">
        <f>""</f>
        <v/>
      </c>
      <c r="F2240" t="str">
        <f>""</f>
        <v/>
      </c>
      <c r="G2240" t="str">
        <f>""</f>
        <v/>
      </c>
      <c r="I2240" t="str">
        <f t="shared" si="35"/>
        <v>GUARDIAN</v>
      </c>
    </row>
    <row r="2241" spans="1:9" x14ac:dyDescent="0.3">
      <c r="A2241" t="str">
        <f>""</f>
        <v/>
      </c>
      <c r="F2241" t="str">
        <f>""</f>
        <v/>
      </c>
      <c r="G2241" t="str">
        <f>""</f>
        <v/>
      </c>
      <c r="I2241" t="str">
        <f t="shared" si="35"/>
        <v>GUARDIAN</v>
      </c>
    </row>
    <row r="2242" spans="1:9" x14ac:dyDescent="0.3">
      <c r="A2242" t="str">
        <f>""</f>
        <v/>
      </c>
      <c r="F2242" t="str">
        <f>""</f>
        <v/>
      </c>
      <c r="G2242" t="str">
        <f>""</f>
        <v/>
      </c>
      <c r="I2242" t="str">
        <f t="shared" si="35"/>
        <v>GUARDIAN</v>
      </c>
    </row>
    <row r="2243" spans="1:9" x14ac:dyDescent="0.3">
      <c r="A2243" t="str">
        <f>""</f>
        <v/>
      </c>
      <c r="F2243" t="str">
        <f>""</f>
        <v/>
      </c>
      <c r="G2243" t="str">
        <f>""</f>
        <v/>
      </c>
      <c r="I2243" t="str">
        <f t="shared" si="35"/>
        <v>GUARDIAN</v>
      </c>
    </row>
    <row r="2244" spans="1:9" x14ac:dyDescent="0.3">
      <c r="A2244" t="str">
        <f>""</f>
        <v/>
      </c>
      <c r="F2244" t="str">
        <f>""</f>
        <v/>
      </c>
      <c r="G2244" t="str">
        <f>""</f>
        <v/>
      </c>
      <c r="I2244" t="str">
        <f t="shared" si="35"/>
        <v>GUARDIAN</v>
      </c>
    </row>
    <row r="2245" spans="1:9" x14ac:dyDescent="0.3">
      <c r="A2245" t="str">
        <f>""</f>
        <v/>
      </c>
      <c r="F2245" t="str">
        <f>""</f>
        <v/>
      </c>
      <c r="G2245" t="str">
        <f>""</f>
        <v/>
      </c>
      <c r="I2245" t="str">
        <f t="shared" si="35"/>
        <v>GUARDIAN</v>
      </c>
    </row>
    <row r="2246" spans="1:9" x14ac:dyDescent="0.3">
      <c r="A2246" t="str">
        <f>""</f>
        <v/>
      </c>
      <c r="F2246" t="str">
        <f>""</f>
        <v/>
      </c>
      <c r="G2246" t="str">
        <f>""</f>
        <v/>
      </c>
      <c r="I2246" t="str">
        <f t="shared" si="35"/>
        <v>GUARDIAN</v>
      </c>
    </row>
    <row r="2247" spans="1:9" x14ac:dyDescent="0.3">
      <c r="A2247" t="str">
        <f>""</f>
        <v/>
      </c>
      <c r="F2247" t="str">
        <f>""</f>
        <v/>
      </c>
      <c r="G2247" t="str">
        <f>""</f>
        <v/>
      </c>
      <c r="I2247" t="str">
        <f t="shared" si="35"/>
        <v>GUARDIAN</v>
      </c>
    </row>
    <row r="2248" spans="1:9" x14ac:dyDescent="0.3">
      <c r="A2248" t="str">
        <f>""</f>
        <v/>
      </c>
      <c r="F2248" t="str">
        <f>""</f>
        <v/>
      </c>
      <c r="G2248" t="str">
        <f>""</f>
        <v/>
      </c>
      <c r="I2248" t="str">
        <f t="shared" si="35"/>
        <v>GUARDIAN</v>
      </c>
    </row>
    <row r="2249" spans="1:9" x14ac:dyDescent="0.3">
      <c r="A2249" t="str">
        <f>""</f>
        <v/>
      </c>
      <c r="F2249" t="str">
        <f>""</f>
        <v/>
      </c>
      <c r="G2249" t="str">
        <f>""</f>
        <v/>
      </c>
      <c r="I2249" t="str">
        <f t="shared" si="35"/>
        <v>GUARDIAN</v>
      </c>
    </row>
    <row r="2250" spans="1:9" x14ac:dyDescent="0.3">
      <c r="A2250" t="str">
        <f>""</f>
        <v/>
      </c>
      <c r="F2250" t="str">
        <f>""</f>
        <v/>
      </c>
      <c r="G2250" t="str">
        <f>""</f>
        <v/>
      </c>
      <c r="I2250" t="str">
        <f t="shared" si="35"/>
        <v>GUARDIAN</v>
      </c>
    </row>
    <row r="2251" spans="1:9" x14ac:dyDescent="0.3">
      <c r="A2251" t="str">
        <f>""</f>
        <v/>
      </c>
      <c r="F2251" t="str">
        <f>""</f>
        <v/>
      </c>
      <c r="G2251" t="str">
        <f>""</f>
        <v/>
      </c>
      <c r="I2251" t="str">
        <f t="shared" si="35"/>
        <v>GUARDIAN</v>
      </c>
    </row>
    <row r="2252" spans="1:9" x14ac:dyDescent="0.3">
      <c r="A2252" t="str">
        <f>""</f>
        <v/>
      </c>
      <c r="F2252" t="str">
        <f>""</f>
        <v/>
      </c>
      <c r="G2252" t="str">
        <f>""</f>
        <v/>
      </c>
      <c r="I2252" t="str">
        <f t="shared" si="35"/>
        <v>GUARDIAN</v>
      </c>
    </row>
    <row r="2253" spans="1:9" x14ac:dyDescent="0.3">
      <c r="A2253" t="str">
        <f>""</f>
        <v/>
      </c>
      <c r="F2253" t="str">
        <f>""</f>
        <v/>
      </c>
      <c r="G2253" t="str">
        <f>""</f>
        <v/>
      </c>
      <c r="I2253" t="str">
        <f t="shared" si="35"/>
        <v>GUARDIAN</v>
      </c>
    </row>
    <row r="2254" spans="1:9" x14ac:dyDescent="0.3">
      <c r="A2254" t="str">
        <f>""</f>
        <v/>
      </c>
      <c r="F2254" t="str">
        <f>""</f>
        <v/>
      </c>
      <c r="G2254" t="str">
        <f>""</f>
        <v/>
      </c>
      <c r="I2254" t="str">
        <f t="shared" si="35"/>
        <v>GUARDIAN</v>
      </c>
    </row>
    <row r="2255" spans="1:9" x14ac:dyDescent="0.3">
      <c r="A2255" t="str">
        <f>""</f>
        <v/>
      </c>
      <c r="F2255" t="str">
        <f>""</f>
        <v/>
      </c>
      <c r="G2255" t="str">
        <f>""</f>
        <v/>
      </c>
      <c r="I2255" t="str">
        <f t="shared" si="35"/>
        <v>GUARDIAN</v>
      </c>
    </row>
    <row r="2256" spans="1:9" x14ac:dyDescent="0.3">
      <c r="A2256" t="str">
        <f>""</f>
        <v/>
      </c>
      <c r="F2256" t="str">
        <f>""</f>
        <v/>
      </c>
      <c r="G2256" t="str">
        <f>""</f>
        <v/>
      </c>
      <c r="I2256" t="str">
        <f t="shared" si="35"/>
        <v>GUARDIAN</v>
      </c>
    </row>
    <row r="2257" spans="1:9" x14ac:dyDescent="0.3">
      <c r="A2257" t="str">
        <f>""</f>
        <v/>
      </c>
      <c r="F2257" t="str">
        <f>""</f>
        <v/>
      </c>
      <c r="G2257" t="str">
        <f>""</f>
        <v/>
      </c>
      <c r="I2257" t="str">
        <f t="shared" ref="I2257:I2288" si="36">"GUARDIAN"</f>
        <v>GUARDIAN</v>
      </c>
    </row>
    <row r="2258" spans="1:9" x14ac:dyDescent="0.3">
      <c r="A2258" t="str">
        <f>""</f>
        <v/>
      </c>
      <c r="F2258" t="str">
        <f>"LIE201711296860"</f>
        <v>LIE201711296860</v>
      </c>
      <c r="G2258" t="str">
        <f>"GUARDIAN"</f>
        <v>GUARDIAN</v>
      </c>
      <c r="H2258" s="2">
        <v>135.15</v>
      </c>
      <c r="I2258" t="str">
        <f t="shared" si="36"/>
        <v>GUARDIAN</v>
      </c>
    </row>
    <row r="2259" spans="1:9" x14ac:dyDescent="0.3">
      <c r="A2259" t="str">
        <f>""</f>
        <v/>
      </c>
      <c r="F2259" t="str">
        <f>""</f>
        <v/>
      </c>
      <c r="G2259" t="str">
        <f>""</f>
        <v/>
      </c>
      <c r="I2259" t="str">
        <f t="shared" si="36"/>
        <v>GUARDIAN</v>
      </c>
    </row>
    <row r="2260" spans="1:9" x14ac:dyDescent="0.3">
      <c r="A2260" t="str">
        <f>""</f>
        <v/>
      </c>
      <c r="F2260" t="str">
        <f>"LIE201712137295"</f>
        <v>LIE201712137295</v>
      </c>
      <c r="G2260" t="str">
        <f>"GUARDIAN"</f>
        <v>GUARDIAN</v>
      </c>
      <c r="H2260" s="2">
        <v>3193.55</v>
      </c>
      <c r="I2260" t="str">
        <f t="shared" si="36"/>
        <v>GUARDIAN</v>
      </c>
    </row>
    <row r="2261" spans="1:9" x14ac:dyDescent="0.3">
      <c r="A2261" t="str">
        <f>""</f>
        <v/>
      </c>
      <c r="F2261" t="str">
        <f>""</f>
        <v/>
      </c>
      <c r="G2261" t="str">
        <f>""</f>
        <v/>
      </c>
      <c r="I2261" t="str">
        <f t="shared" si="36"/>
        <v>GUARDIAN</v>
      </c>
    </row>
    <row r="2262" spans="1:9" x14ac:dyDescent="0.3">
      <c r="A2262" t="str">
        <f>""</f>
        <v/>
      </c>
      <c r="F2262" t="str">
        <f>""</f>
        <v/>
      </c>
      <c r="G2262" t="str">
        <f>""</f>
        <v/>
      </c>
      <c r="I2262" t="str">
        <f t="shared" si="36"/>
        <v>GUARDIAN</v>
      </c>
    </row>
    <row r="2263" spans="1:9" x14ac:dyDescent="0.3">
      <c r="A2263" t="str">
        <f>""</f>
        <v/>
      </c>
      <c r="F2263" t="str">
        <f>""</f>
        <v/>
      </c>
      <c r="G2263" t="str">
        <f>""</f>
        <v/>
      </c>
      <c r="I2263" t="str">
        <f t="shared" si="36"/>
        <v>GUARDIAN</v>
      </c>
    </row>
    <row r="2264" spans="1:9" x14ac:dyDescent="0.3">
      <c r="A2264" t="str">
        <f>""</f>
        <v/>
      </c>
      <c r="F2264" t="str">
        <f>""</f>
        <v/>
      </c>
      <c r="G2264" t="str">
        <f>""</f>
        <v/>
      </c>
      <c r="I2264" t="str">
        <f t="shared" si="36"/>
        <v>GUARDIAN</v>
      </c>
    </row>
    <row r="2265" spans="1:9" x14ac:dyDescent="0.3">
      <c r="A2265" t="str">
        <f>""</f>
        <v/>
      </c>
      <c r="F2265" t="str">
        <f>""</f>
        <v/>
      </c>
      <c r="G2265" t="str">
        <f>""</f>
        <v/>
      </c>
      <c r="I2265" t="str">
        <f t="shared" si="36"/>
        <v>GUARDIAN</v>
      </c>
    </row>
    <row r="2266" spans="1:9" x14ac:dyDescent="0.3">
      <c r="A2266" t="str">
        <f>""</f>
        <v/>
      </c>
      <c r="F2266" t="str">
        <f>""</f>
        <v/>
      </c>
      <c r="G2266" t="str">
        <f>""</f>
        <v/>
      </c>
      <c r="I2266" t="str">
        <f t="shared" si="36"/>
        <v>GUARDIAN</v>
      </c>
    </row>
    <row r="2267" spans="1:9" x14ac:dyDescent="0.3">
      <c r="A2267" t="str">
        <f>""</f>
        <v/>
      </c>
      <c r="F2267" t="str">
        <f>""</f>
        <v/>
      </c>
      <c r="G2267" t="str">
        <f>""</f>
        <v/>
      </c>
      <c r="I2267" t="str">
        <f t="shared" si="36"/>
        <v>GUARDIAN</v>
      </c>
    </row>
    <row r="2268" spans="1:9" x14ac:dyDescent="0.3">
      <c r="A2268" t="str">
        <f>""</f>
        <v/>
      </c>
      <c r="F2268" t="str">
        <f>""</f>
        <v/>
      </c>
      <c r="G2268" t="str">
        <f>""</f>
        <v/>
      </c>
      <c r="I2268" t="str">
        <f t="shared" si="36"/>
        <v>GUARDIAN</v>
      </c>
    </row>
    <row r="2269" spans="1:9" x14ac:dyDescent="0.3">
      <c r="A2269" t="str">
        <f>""</f>
        <v/>
      </c>
      <c r="F2269" t="str">
        <f>""</f>
        <v/>
      </c>
      <c r="G2269" t="str">
        <f>""</f>
        <v/>
      </c>
      <c r="I2269" t="str">
        <f t="shared" si="36"/>
        <v>GUARDIAN</v>
      </c>
    </row>
    <row r="2270" spans="1:9" x14ac:dyDescent="0.3">
      <c r="A2270" t="str">
        <f>""</f>
        <v/>
      </c>
      <c r="F2270" t="str">
        <f>""</f>
        <v/>
      </c>
      <c r="G2270" t="str">
        <f>""</f>
        <v/>
      </c>
      <c r="I2270" t="str">
        <f t="shared" si="36"/>
        <v>GUARDIAN</v>
      </c>
    </row>
    <row r="2271" spans="1:9" x14ac:dyDescent="0.3">
      <c r="A2271" t="str">
        <f>""</f>
        <v/>
      </c>
      <c r="F2271" t="str">
        <f>""</f>
        <v/>
      </c>
      <c r="G2271" t="str">
        <f>""</f>
        <v/>
      </c>
      <c r="I2271" t="str">
        <f t="shared" si="36"/>
        <v>GUARDIAN</v>
      </c>
    </row>
    <row r="2272" spans="1:9" x14ac:dyDescent="0.3">
      <c r="A2272" t="str">
        <f>""</f>
        <v/>
      </c>
      <c r="F2272" t="str">
        <f>""</f>
        <v/>
      </c>
      <c r="G2272" t="str">
        <f>""</f>
        <v/>
      </c>
      <c r="I2272" t="str">
        <f t="shared" si="36"/>
        <v>GUARDIAN</v>
      </c>
    </row>
    <row r="2273" spans="1:9" x14ac:dyDescent="0.3">
      <c r="A2273" t="str">
        <f>""</f>
        <v/>
      </c>
      <c r="F2273" t="str">
        <f>""</f>
        <v/>
      </c>
      <c r="G2273" t="str">
        <f>""</f>
        <v/>
      </c>
      <c r="I2273" t="str">
        <f t="shared" si="36"/>
        <v>GUARDIAN</v>
      </c>
    </row>
    <row r="2274" spans="1:9" x14ac:dyDescent="0.3">
      <c r="A2274" t="str">
        <f>""</f>
        <v/>
      </c>
      <c r="F2274" t="str">
        <f>""</f>
        <v/>
      </c>
      <c r="G2274" t="str">
        <f>""</f>
        <v/>
      </c>
      <c r="I2274" t="str">
        <f t="shared" si="36"/>
        <v>GUARDIAN</v>
      </c>
    </row>
    <row r="2275" spans="1:9" x14ac:dyDescent="0.3">
      <c r="A2275" t="str">
        <f>""</f>
        <v/>
      </c>
      <c r="F2275" t="str">
        <f>""</f>
        <v/>
      </c>
      <c r="G2275" t="str">
        <f>""</f>
        <v/>
      </c>
      <c r="I2275" t="str">
        <f t="shared" si="36"/>
        <v>GUARDIAN</v>
      </c>
    </row>
    <row r="2276" spans="1:9" x14ac:dyDescent="0.3">
      <c r="A2276" t="str">
        <f>""</f>
        <v/>
      </c>
      <c r="F2276" t="str">
        <f>""</f>
        <v/>
      </c>
      <c r="G2276" t="str">
        <f>""</f>
        <v/>
      </c>
      <c r="I2276" t="str">
        <f t="shared" si="36"/>
        <v>GUARDIAN</v>
      </c>
    </row>
    <row r="2277" spans="1:9" x14ac:dyDescent="0.3">
      <c r="A2277" t="str">
        <f>""</f>
        <v/>
      </c>
      <c r="F2277" t="str">
        <f>""</f>
        <v/>
      </c>
      <c r="G2277" t="str">
        <f>""</f>
        <v/>
      </c>
      <c r="I2277" t="str">
        <f t="shared" si="36"/>
        <v>GUARDIAN</v>
      </c>
    </row>
    <row r="2278" spans="1:9" x14ac:dyDescent="0.3">
      <c r="A2278" t="str">
        <f>""</f>
        <v/>
      </c>
      <c r="F2278" t="str">
        <f>""</f>
        <v/>
      </c>
      <c r="G2278" t="str">
        <f>""</f>
        <v/>
      </c>
      <c r="I2278" t="str">
        <f t="shared" si="36"/>
        <v>GUARDIAN</v>
      </c>
    </row>
    <row r="2279" spans="1:9" x14ac:dyDescent="0.3">
      <c r="A2279" t="str">
        <f>""</f>
        <v/>
      </c>
      <c r="F2279" t="str">
        <f>""</f>
        <v/>
      </c>
      <c r="G2279" t="str">
        <f>""</f>
        <v/>
      </c>
      <c r="I2279" t="str">
        <f t="shared" si="36"/>
        <v>GUARDIAN</v>
      </c>
    </row>
    <row r="2280" spans="1:9" x14ac:dyDescent="0.3">
      <c r="A2280" t="str">
        <f>""</f>
        <v/>
      </c>
      <c r="F2280" t="str">
        <f>""</f>
        <v/>
      </c>
      <c r="G2280" t="str">
        <f>""</f>
        <v/>
      </c>
      <c r="I2280" t="str">
        <f t="shared" si="36"/>
        <v>GUARDIAN</v>
      </c>
    </row>
    <row r="2281" spans="1:9" x14ac:dyDescent="0.3">
      <c r="A2281" t="str">
        <f>""</f>
        <v/>
      </c>
      <c r="F2281" t="str">
        <f>""</f>
        <v/>
      </c>
      <c r="G2281" t="str">
        <f>""</f>
        <v/>
      </c>
      <c r="I2281" t="str">
        <f t="shared" si="36"/>
        <v>GUARDIAN</v>
      </c>
    </row>
    <row r="2282" spans="1:9" x14ac:dyDescent="0.3">
      <c r="A2282" t="str">
        <f>""</f>
        <v/>
      </c>
      <c r="F2282" t="str">
        <f>""</f>
        <v/>
      </c>
      <c r="G2282" t="str">
        <f>""</f>
        <v/>
      </c>
      <c r="I2282" t="str">
        <f t="shared" si="36"/>
        <v>GUARDIAN</v>
      </c>
    </row>
    <row r="2283" spans="1:9" x14ac:dyDescent="0.3">
      <c r="A2283" t="str">
        <f>""</f>
        <v/>
      </c>
      <c r="F2283" t="str">
        <f>""</f>
        <v/>
      </c>
      <c r="G2283" t="str">
        <f>""</f>
        <v/>
      </c>
      <c r="I2283" t="str">
        <f t="shared" si="36"/>
        <v>GUARDIAN</v>
      </c>
    </row>
    <row r="2284" spans="1:9" x14ac:dyDescent="0.3">
      <c r="A2284" t="str">
        <f>""</f>
        <v/>
      </c>
      <c r="F2284" t="str">
        <f>""</f>
        <v/>
      </c>
      <c r="G2284" t="str">
        <f>""</f>
        <v/>
      </c>
      <c r="I2284" t="str">
        <f t="shared" si="36"/>
        <v>GUARDIAN</v>
      </c>
    </row>
    <row r="2285" spans="1:9" x14ac:dyDescent="0.3">
      <c r="A2285" t="str">
        <f>""</f>
        <v/>
      </c>
      <c r="F2285" t="str">
        <f>""</f>
        <v/>
      </c>
      <c r="G2285" t="str">
        <f>""</f>
        <v/>
      </c>
      <c r="I2285" t="str">
        <f t="shared" si="36"/>
        <v>GUARDIAN</v>
      </c>
    </row>
    <row r="2286" spans="1:9" x14ac:dyDescent="0.3">
      <c r="A2286" t="str">
        <f>""</f>
        <v/>
      </c>
      <c r="F2286" t="str">
        <f>""</f>
        <v/>
      </c>
      <c r="G2286" t="str">
        <f>""</f>
        <v/>
      </c>
      <c r="I2286" t="str">
        <f t="shared" si="36"/>
        <v>GUARDIAN</v>
      </c>
    </row>
    <row r="2287" spans="1:9" x14ac:dyDescent="0.3">
      <c r="A2287" t="str">
        <f>""</f>
        <v/>
      </c>
      <c r="F2287" t="str">
        <f>""</f>
        <v/>
      </c>
      <c r="G2287" t="str">
        <f>""</f>
        <v/>
      </c>
      <c r="I2287" t="str">
        <f t="shared" si="36"/>
        <v>GUARDIAN</v>
      </c>
    </row>
    <row r="2288" spans="1:9" x14ac:dyDescent="0.3">
      <c r="A2288" t="str">
        <f>""</f>
        <v/>
      </c>
      <c r="F2288" t="str">
        <f>""</f>
        <v/>
      </c>
      <c r="G2288" t="str">
        <f>""</f>
        <v/>
      </c>
      <c r="I2288" t="str">
        <f t="shared" si="36"/>
        <v>GUARDIAN</v>
      </c>
    </row>
    <row r="2289" spans="1:9" x14ac:dyDescent="0.3">
      <c r="A2289" t="str">
        <f>""</f>
        <v/>
      </c>
      <c r="F2289" t="str">
        <f>""</f>
        <v/>
      </c>
      <c r="G2289" t="str">
        <f>""</f>
        <v/>
      </c>
      <c r="I2289" t="str">
        <f t="shared" ref="I2289:I2320" si="37">"GUARDIAN"</f>
        <v>GUARDIAN</v>
      </c>
    </row>
    <row r="2290" spans="1:9" x14ac:dyDescent="0.3">
      <c r="A2290" t="str">
        <f>""</f>
        <v/>
      </c>
      <c r="F2290" t="str">
        <f>""</f>
        <v/>
      </c>
      <c r="G2290" t="str">
        <f>""</f>
        <v/>
      </c>
      <c r="I2290" t="str">
        <f t="shared" si="37"/>
        <v>GUARDIAN</v>
      </c>
    </row>
    <row r="2291" spans="1:9" x14ac:dyDescent="0.3">
      <c r="A2291" t="str">
        <f>""</f>
        <v/>
      </c>
      <c r="F2291" t="str">
        <f>""</f>
        <v/>
      </c>
      <c r="G2291" t="str">
        <f>""</f>
        <v/>
      </c>
      <c r="I2291" t="str">
        <f t="shared" si="37"/>
        <v>GUARDIAN</v>
      </c>
    </row>
    <row r="2292" spans="1:9" x14ac:dyDescent="0.3">
      <c r="A2292" t="str">
        <f>""</f>
        <v/>
      </c>
      <c r="F2292" t="str">
        <f>""</f>
        <v/>
      </c>
      <c r="G2292" t="str">
        <f>""</f>
        <v/>
      </c>
      <c r="I2292" t="str">
        <f t="shared" si="37"/>
        <v>GUARDIAN</v>
      </c>
    </row>
    <row r="2293" spans="1:9" x14ac:dyDescent="0.3">
      <c r="A2293" t="str">
        <f>""</f>
        <v/>
      </c>
      <c r="F2293" t="str">
        <f>""</f>
        <v/>
      </c>
      <c r="G2293" t="str">
        <f>""</f>
        <v/>
      </c>
      <c r="I2293" t="str">
        <f t="shared" si="37"/>
        <v>GUARDIAN</v>
      </c>
    </row>
    <row r="2294" spans="1:9" x14ac:dyDescent="0.3">
      <c r="A2294" t="str">
        <f>""</f>
        <v/>
      </c>
      <c r="F2294" t="str">
        <f>""</f>
        <v/>
      </c>
      <c r="G2294" t="str">
        <f>""</f>
        <v/>
      </c>
      <c r="I2294" t="str">
        <f t="shared" si="37"/>
        <v>GUARDIAN</v>
      </c>
    </row>
    <row r="2295" spans="1:9" x14ac:dyDescent="0.3">
      <c r="A2295" t="str">
        <f>""</f>
        <v/>
      </c>
      <c r="F2295" t="str">
        <f>""</f>
        <v/>
      </c>
      <c r="G2295" t="str">
        <f>""</f>
        <v/>
      </c>
      <c r="I2295" t="str">
        <f t="shared" si="37"/>
        <v>GUARDIAN</v>
      </c>
    </row>
    <row r="2296" spans="1:9" x14ac:dyDescent="0.3">
      <c r="A2296" t="str">
        <f>""</f>
        <v/>
      </c>
      <c r="F2296" t="str">
        <f>""</f>
        <v/>
      </c>
      <c r="G2296" t="str">
        <f>""</f>
        <v/>
      </c>
      <c r="I2296" t="str">
        <f t="shared" si="37"/>
        <v>GUARDIAN</v>
      </c>
    </row>
    <row r="2297" spans="1:9" x14ac:dyDescent="0.3">
      <c r="A2297" t="str">
        <f>""</f>
        <v/>
      </c>
      <c r="F2297" t="str">
        <f>""</f>
        <v/>
      </c>
      <c r="G2297" t="str">
        <f>""</f>
        <v/>
      </c>
      <c r="I2297" t="str">
        <f t="shared" si="37"/>
        <v>GUARDIAN</v>
      </c>
    </row>
    <row r="2298" spans="1:9" x14ac:dyDescent="0.3">
      <c r="A2298" t="str">
        <f>""</f>
        <v/>
      </c>
      <c r="F2298" t="str">
        <f>""</f>
        <v/>
      </c>
      <c r="G2298" t="str">
        <f>""</f>
        <v/>
      </c>
      <c r="I2298" t="str">
        <f t="shared" si="37"/>
        <v>GUARDIAN</v>
      </c>
    </row>
    <row r="2299" spans="1:9" x14ac:dyDescent="0.3">
      <c r="A2299" t="str">
        <f>""</f>
        <v/>
      </c>
      <c r="F2299" t="str">
        <f>""</f>
        <v/>
      </c>
      <c r="G2299" t="str">
        <f>""</f>
        <v/>
      </c>
      <c r="I2299" t="str">
        <f t="shared" si="37"/>
        <v>GUARDIAN</v>
      </c>
    </row>
    <row r="2300" spans="1:9" x14ac:dyDescent="0.3">
      <c r="A2300" t="str">
        <f>""</f>
        <v/>
      </c>
      <c r="F2300" t="str">
        <f>""</f>
        <v/>
      </c>
      <c r="G2300" t="str">
        <f>""</f>
        <v/>
      </c>
      <c r="I2300" t="str">
        <f t="shared" si="37"/>
        <v>GUARDIAN</v>
      </c>
    </row>
    <row r="2301" spans="1:9" x14ac:dyDescent="0.3">
      <c r="A2301" t="str">
        <f>""</f>
        <v/>
      </c>
      <c r="F2301" t="str">
        <f>""</f>
        <v/>
      </c>
      <c r="G2301" t="str">
        <f>""</f>
        <v/>
      </c>
      <c r="I2301" t="str">
        <f t="shared" si="37"/>
        <v>GUARDIAN</v>
      </c>
    </row>
    <row r="2302" spans="1:9" x14ac:dyDescent="0.3">
      <c r="A2302" t="str">
        <f>""</f>
        <v/>
      </c>
      <c r="F2302" t="str">
        <f>""</f>
        <v/>
      </c>
      <c r="G2302" t="str">
        <f>""</f>
        <v/>
      </c>
      <c r="I2302" t="str">
        <f t="shared" si="37"/>
        <v>GUARDIAN</v>
      </c>
    </row>
    <row r="2303" spans="1:9" x14ac:dyDescent="0.3">
      <c r="A2303" t="str">
        <f>""</f>
        <v/>
      </c>
      <c r="F2303" t="str">
        <f>""</f>
        <v/>
      </c>
      <c r="G2303" t="str">
        <f>""</f>
        <v/>
      </c>
      <c r="I2303" t="str">
        <f t="shared" si="37"/>
        <v>GUARDIAN</v>
      </c>
    </row>
    <row r="2304" spans="1:9" x14ac:dyDescent="0.3">
      <c r="A2304" t="str">
        <f>""</f>
        <v/>
      </c>
      <c r="F2304" t="str">
        <f>""</f>
        <v/>
      </c>
      <c r="G2304" t="str">
        <f>""</f>
        <v/>
      </c>
      <c r="I2304" t="str">
        <f t="shared" si="37"/>
        <v>GUARDIAN</v>
      </c>
    </row>
    <row r="2305" spans="1:9" x14ac:dyDescent="0.3">
      <c r="A2305" t="str">
        <f>""</f>
        <v/>
      </c>
      <c r="F2305" t="str">
        <f>""</f>
        <v/>
      </c>
      <c r="G2305" t="str">
        <f>""</f>
        <v/>
      </c>
      <c r="I2305" t="str">
        <f t="shared" si="37"/>
        <v>GUARDIAN</v>
      </c>
    </row>
    <row r="2306" spans="1:9" x14ac:dyDescent="0.3">
      <c r="A2306" t="str">
        <f>""</f>
        <v/>
      </c>
      <c r="F2306" t="str">
        <f>""</f>
        <v/>
      </c>
      <c r="G2306" t="str">
        <f>""</f>
        <v/>
      </c>
      <c r="I2306" t="str">
        <f t="shared" si="37"/>
        <v>GUARDIAN</v>
      </c>
    </row>
    <row r="2307" spans="1:9" x14ac:dyDescent="0.3">
      <c r="A2307" t="str">
        <f>""</f>
        <v/>
      </c>
      <c r="F2307" t="str">
        <f>""</f>
        <v/>
      </c>
      <c r="G2307" t="str">
        <f>""</f>
        <v/>
      </c>
      <c r="I2307" t="str">
        <f t="shared" si="37"/>
        <v>GUARDIAN</v>
      </c>
    </row>
    <row r="2308" spans="1:9" x14ac:dyDescent="0.3">
      <c r="A2308" t="str">
        <f>""</f>
        <v/>
      </c>
      <c r="F2308" t="str">
        <f>""</f>
        <v/>
      </c>
      <c r="G2308" t="str">
        <f>""</f>
        <v/>
      </c>
      <c r="I2308" t="str">
        <f t="shared" si="37"/>
        <v>GUARDIAN</v>
      </c>
    </row>
    <row r="2309" spans="1:9" x14ac:dyDescent="0.3">
      <c r="A2309" t="str">
        <f>""</f>
        <v/>
      </c>
      <c r="F2309" t="str">
        <f>"LIE201712137296"</f>
        <v>LIE201712137296</v>
      </c>
      <c r="G2309" t="str">
        <f>"GUARDIAN"</f>
        <v>GUARDIAN</v>
      </c>
      <c r="H2309" s="2">
        <v>135.15</v>
      </c>
      <c r="I2309" t="str">
        <f t="shared" si="37"/>
        <v>GUARDIAN</v>
      </c>
    </row>
    <row r="2310" spans="1:9" x14ac:dyDescent="0.3">
      <c r="A2310" t="str">
        <f>""</f>
        <v/>
      </c>
      <c r="F2310" t="str">
        <f>""</f>
        <v/>
      </c>
      <c r="G2310" t="str">
        <f>""</f>
        <v/>
      </c>
      <c r="I2310" t="str">
        <f t="shared" si="37"/>
        <v>GUARDIAN</v>
      </c>
    </row>
    <row r="2311" spans="1:9" x14ac:dyDescent="0.3">
      <c r="A2311" t="str">
        <f>""</f>
        <v/>
      </c>
      <c r="F2311" t="str">
        <f>"LIS201711296859"</f>
        <v>LIS201711296859</v>
      </c>
      <c r="G2311" t="str">
        <f t="shared" ref="G2311:G2320" si="38">"GUARDIAN"</f>
        <v>GUARDIAN</v>
      </c>
      <c r="H2311" s="2">
        <v>420.24</v>
      </c>
      <c r="I2311" t="str">
        <f t="shared" si="37"/>
        <v>GUARDIAN</v>
      </c>
    </row>
    <row r="2312" spans="1:9" x14ac:dyDescent="0.3">
      <c r="A2312" t="str">
        <f>""</f>
        <v/>
      </c>
      <c r="F2312" t="str">
        <f>"LIS201711296860"</f>
        <v>LIS201711296860</v>
      </c>
      <c r="G2312" t="str">
        <f t="shared" si="38"/>
        <v>GUARDIAN</v>
      </c>
      <c r="H2312" s="2">
        <v>36.700000000000003</v>
      </c>
      <c r="I2312" t="str">
        <f t="shared" si="37"/>
        <v>GUARDIAN</v>
      </c>
    </row>
    <row r="2313" spans="1:9" x14ac:dyDescent="0.3">
      <c r="A2313" t="str">
        <f>""</f>
        <v/>
      </c>
      <c r="F2313" t="str">
        <f>"LIS201712137295"</f>
        <v>LIS201712137295</v>
      </c>
      <c r="G2313" t="str">
        <f t="shared" si="38"/>
        <v>GUARDIAN</v>
      </c>
      <c r="H2313" s="2">
        <v>420.24</v>
      </c>
      <c r="I2313" t="str">
        <f t="shared" si="37"/>
        <v>GUARDIAN</v>
      </c>
    </row>
    <row r="2314" spans="1:9" x14ac:dyDescent="0.3">
      <c r="A2314" t="str">
        <f>""</f>
        <v/>
      </c>
      <c r="F2314" t="str">
        <f>"LIS201712137296"</f>
        <v>LIS201712137296</v>
      </c>
      <c r="G2314" t="str">
        <f t="shared" si="38"/>
        <v>GUARDIAN</v>
      </c>
      <c r="H2314" s="2">
        <v>36.700000000000003</v>
      </c>
      <c r="I2314" t="str">
        <f t="shared" si="37"/>
        <v>GUARDIAN</v>
      </c>
    </row>
    <row r="2315" spans="1:9" x14ac:dyDescent="0.3">
      <c r="A2315" t="str">
        <f>""</f>
        <v/>
      </c>
      <c r="F2315" t="str">
        <f>"LTD201711296859"</f>
        <v>LTD201711296859</v>
      </c>
      <c r="G2315" t="str">
        <f t="shared" si="38"/>
        <v>GUARDIAN</v>
      </c>
      <c r="H2315" s="2">
        <v>720.11</v>
      </c>
      <c r="I2315" t="str">
        <f t="shared" si="37"/>
        <v>GUARDIAN</v>
      </c>
    </row>
    <row r="2316" spans="1:9" x14ac:dyDescent="0.3">
      <c r="A2316" t="str">
        <f>""</f>
        <v/>
      </c>
      <c r="F2316" t="str">
        <f>"LTD201712137295"</f>
        <v>LTD201712137295</v>
      </c>
      <c r="G2316" t="str">
        <f t="shared" si="38"/>
        <v>GUARDIAN</v>
      </c>
      <c r="H2316" s="2">
        <v>720.11</v>
      </c>
      <c r="I2316" t="str">
        <f t="shared" si="37"/>
        <v>GUARDIAN</v>
      </c>
    </row>
    <row r="2317" spans="1:9" x14ac:dyDescent="0.3">
      <c r="A2317" t="str">
        <f>"GUARDI"</f>
        <v>GUARDI</v>
      </c>
      <c r="B2317" t="s">
        <v>613</v>
      </c>
      <c r="C2317">
        <v>0</v>
      </c>
      <c r="D2317" s="2">
        <v>118.14</v>
      </c>
      <c r="E2317" s="1">
        <v>43091</v>
      </c>
      <c r="F2317" t="str">
        <f>"AEG201711296859"</f>
        <v>AEG201711296859</v>
      </c>
      <c r="G2317" t="str">
        <f t="shared" si="38"/>
        <v>GUARDIAN</v>
      </c>
      <c r="H2317" s="2">
        <v>9.51</v>
      </c>
      <c r="I2317" t="str">
        <f t="shared" si="37"/>
        <v>GUARDIAN</v>
      </c>
    </row>
    <row r="2318" spans="1:9" x14ac:dyDescent="0.3">
      <c r="A2318" t="str">
        <f>""</f>
        <v/>
      </c>
      <c r="F2318" t="str">
        <f>"AEG201712137295"</f>
        <v>AEG201712137295</v>
      </c>
      <c r="G2318" t="str">
        <f t="shared" si="38"/>
        <v>GUARDIAN</v>
      </c>
      <c r="H2318" s="2">
        <v>9.51</v>
      </c>
      <c r="I2318" t="str">
        <f t="shared" si="37"/>
        <v>GUARDIAN</v>
      </c>
    </row>
    <row r="2319" spans="1:9" x14ac:dyDescent="0.3">
      <c r="A2319" t="str">
        <f>""</f>
        <v/>
      </c>
      <c r="F2319" t="str">
        <f>"AFG201711296859"</f>
        <v>AFG201711296859</v>
      </c>
      <c r="G2319" t="str">
        <f t="shared" si="38"/>
        <v>GUARDIAN</v>
      </c>
      <c r="H2319" s="2">
        <v>49.56</v>
      </c>
      <c r="I2319" t="str">
        <f t="shared" si="37"/>
        <v>GUARDIAN</v>
      </c>
    </row>
    <row r="2320" spans="1:9" x14ac:dyDescent="0.3">
      <c r="A2320" t="str">
        <f>""</f>
        <v/>
      </c>
      <c r="F2320" t="str">
        <f>"AFG201712137295"</f>
        <v>AFG201712137295</v>
      </c>
      <c r="G2320" t="str">
        <f t="shared" si="38"/>
        <v>GUARDIAN</v>
      </c>
      <c r="H2320" s="2">
        <v>49.56</v>
      </c>
      <c r="I2320" t="str">
        <f t="shared" si="37"/>
        <v>GUARDIAN</v>
      </c>
    </row>
    <row r="2321" spans="1:9" x14ac:dyDescent="0.3">
      <c r="A2321" t="str">
        <f>"IRSACS"</f>
        <v>IRSACS</v>
      </c>
      <c r="B2321" t="s">
        <v>614</v>
      </c>
      <c r="C2321">
        <v>46037</v>
      </c>
      <c r="D2321" s="2">
        <v>238.43</v>
      </c>
      <c r="E2321" s="1">
        <v>43070</v>
      </c>
      <c r="F2321" t="str">
        <f>"IJ2201711296859"</f>
        <v>IJ2201711296859</v>
      </c>
      <c r="G2321" t="str">
        <f>"LISA JACKSON 2 IRS LEVY"</f>
        <v>LISA JACKSON 2 IRS LEVY</v>
      </c>
      <c r="H2321" s="2">
        <v>238.43</v>
      </c>
      <c r="I2321" t="str">
        <f>"LISA JACKSON 2 IRS LEVY"</f>
        <v>LISA JACKSON 2 IRS LEVY</v>
      </c>
    </row>
    <row r="2322" spans="1:9" x14ac:dyDescent="0.3">
      <c r="A2322" t="str">
        <f>"IRSACS"</f>
        <v>IRSACS</v>
      </c>
      <c r="B2322" t="s">
        <v>614</v>
      </c>
      <c r="C2322">
        <v>46057</v>
      </c>
      <c r="D2322" s="2">
        <v>238.43</v>
      </c>
      <c r="E2322" s="1">
        <v>43084</v>
      </c>
      <c r="F2322" t="str">
        <f>"IJ2201712137295"</f>
        <v>IJ2201712137295</v>
      </c>
      <c r="G2322" t="str">
        <f>"LISA JACKSON 2 IRS LEVY"</f>
        <v>LISA JACKSON 2 IRS LEVY</v>
      </c>
      <c r="H2322" s="2">
        <v>238.43</v>
      </c>
      <c r="I2322" t="str">
        <f>"LISA JACKSON 2 IRS LEVY"</f>
        <v>LISA JACKSON 2 IRS LEVY</v>
      </c>
    </row>
    <row r="2323" spans="1:9" x14ac:dyDescent="0.3">
      <c r="A2323" t="str">
        <f>"IRSACS"</f>
        <v>IRSACS</v>
      </c>
      <c r="B2323" t="s">
        <v>614</v>
      </c>
      <c r="C2323">
        <v>46083</v>
      </c>
      <c r="D2323" s="2">
        <v>238.43</v>
      </c>
      <c r="E2323" s="1">
        <v>43098</v>
      </c>
      <c r="F2323" t="str">
        <f>"IJ2201712287505"</f>
        <v>IJ2201712287505</v>
      </c>
      <c r="G2323" t="str">
        <f>"LISA JACKSON 2 IRS LEVY"</f>
        <v>LISA JACKSON 2 IRS LEVY</v>
      </c>
      <c r="H2323" s="2">
        <v>238.43</v>
      </c>
      <c r="I2323" t="str">
        <f>"LISA JACKSON 2 IRS LEVY"</f>
        <v>LISA JACKSON 2 IRS LEVY</v>
      </c>
    </row>
    <row r="2324" spans="1:9" x14ac:dyDescent="0.3">
      <c r="A2324" t="str">
        <f>"IRSPY"</f>
        <v>IRSPY</v>
      </c>
      <c r="B2324" t="s">
        <v>615</v>
      </c>
      <c r="C2324">
        <v>0</v>
      </c>
      <c r="D2324" s="2">
        <v>219606.58</v>
      </c>
      <c r="E2324" s="1">
        <v>43070</v>
      </c>
      <c r="F2324" t="str">
        <f>"T1 201711296859"</f>
        <v>T1 201711296859</v>
      </c>
      <c r="G2324" t="str">
        <f>"FEDERAL WITHHOLDING"</f>
        <v>FEDERAL WITHHOLDING</v>
      </c>
      <c r="H2324" s="2">
        <v>79589.61</v>
      </c>
      <c r="I2324" t="str">
        <f>"FEDERAL WITHHOLDING"</f>
        <v>FEDERAL WITHHOLDING</v>
      </c>
    </row>
    <row r="2325" spans="1:9" x14ac:dyDescent="0.3">
      <c r="A2325" t="str">
        <f>""</f>
        <v/>
      </c>
      <c r="F2325" t="str">
        <f>"T1 201711296860"</f>
        <v>T1 201711296860</v>
      </c>
      <c r="G2325" t="str">
        <f>"FEDERAL WITHHOLDING"</f>
        <v>FEDERAL WITHHOLDING</v>
      </c>
      <c r="H2325" s="2">
        <v>3437.02</v>
      </c>
      <c r="I2325" t="str">
        <f>"FEDERAL WITHHOLDING"</f>
        <v>FEDERAL WITHHOLDING</v>
      </c>
    </row>
    <row r="2326" spans="1:9" x14ac:dyDescent="0.3">
      <c r="A2326" t="str">
        <f>""</f>
        <v/>
      </c>
      <c r="F2326" t="str">
        <f>"T1 201711296861"</f>
        <v>T1 201711296861</v>
      </c>
      <c r="G2326" t="str">
        <f>"FEDERAL WITHHOLDING"</f>
        <v>FEDERAL WITHHOLDING</v>
      </c>
      <c r="H2326" s="2">
        <v>4782.49</v>
      </c>
      <c r="I2326" t="str">
        <f>"FEDERAL WITHHOLDING"</f>
        <v>FEDERAL WITHHOLDING</v>
      </c>
    </row>
    <row r="2327" spans="1:9" x14ac:dyDescent="0.3">
      <c r="A2327" t="str">
        <f>""</f>
        <v/>
      </c>
      <c r="F2327" t="str">
        <f>"T3 201711296859"</f>
        <v>T3 201711296859</v>
      </c>
      <c r="G2327" t="str">
        <f>"SOCIAL SECURITY TAXES"</f>
        <v>SOCIAL SECURITY TAXES</v>
      </c>
      <c r="H2327" s="2">
        <v>97153.72</v>
      </c>
      <c r="I2327" t="str">
        <f t="shared" ref="I2327:I2358" si="39">"SOCIAL SECURITY TAXES"</f>
        <v>SOCIAL SECURITY TAXES</v>
      </c>
    </row>
    <row r="2328" spans="1:9" x14ac:dyDescent="0.3">
      <c r="A2328" t="str">
        <f>""</f>
        <v/>
      </c>
      <c r="F2328" t="str">
        <f>""</f>
        <v/>
      </c>
      <c r="G2328" t="str">
        <f>""</f>
        <v/>
      </c>
      <c r="I2328" t="str">
        <f t="shared" si="39"/>
        <v>SOCIAL SECURITY TAXES</v>
      </c>
    </row>
    <row r="2329" spans="1:9" x14ac:dyDescent="0.3">
      <c r="A2329" t="str">
        <f>""</f>
        <v/>
      </c>
      <c r="F2329" t="str">
        <f>""</f>
        <v/>
      </c>
      <c r="G2329" t="str">
        <f>""</f>
        <v/>
      </c>
      <c r="I2329" t="str">
        <f t="shared" si="39"/>
        <v>SOCIAL SECURITY TAXES</v>
      </c>
    </row>
    <row r="2330" spans="1:9" x14ac:dyDescent="0.3">
      <c r="A2330" t="str">
        <f>""</f>
        <v/>
      </c>
      <c r="F2330" t="str">
        <f>""</f>
        <v/>
      </c>
      <c r="G2330" t="str">
        <f>""</f>
        <v/>
      </c>
      <c r="I2330" t="str">
        <f t="shared" si="39"/>
        <v>SOCIAL SECURITY TAXES</v>
      </c>
    </row>
    <row r="2331" spans="1:9" x14ac:dyDescent="0.3">
      <c r="A2331" t="str">
        <f>""</f>
        <v/>
      </c>
      <c r="F2331" t="str">
        <f>""</f>
        <v/>
      </c>
      <c r="G2331" t="str">
        <f>""</f>
        <v/>
      </c>
      <c r="I2331" t="str">
        <f t="shared" si="39"/>
        <v>SOCIAL SECURITY TAXES</v>
      </c>
    </row>
    <row r="2332" spans="1:9" x14ac:dyDescent="0.3">
      <c r="A2332" t="str">
        <f>""</f>
        <v/>
      </c>
      <c r="F2332" t="str">
        <f>""</f>
        <v/>
      </c>
      <c r="G2332" t="str">
        <f>""</f>
        <v/>
      </c>
      <c r="I2332" t="str">
        <f t="shared" si="39"/>
        <v>SOCIAL SECURITY TAXES</v>
      </c>
    </row>
    <row r="2333" spans="1:9" x14ac:dyDescent="0.3">
      <c r="A2333" t="str">
        <f>""</f>
        <v/>
      </c>
      <c r="F2333" t="str">
        <f>""</f>
        <v/>
      </c>
      <c r="G2333" t="str">
        <f>""</f>
        <v/>
      </c>
      <c r="I2333" t="str">
        <f t="shared" si="39"/>
        <v>SOCIAL SECURITY TAXES</v>
      </c>
    </row>
    <row r="2334" spans="1:9" x14ac:dyDescent="0.3">
      <c r="A2334" t="str">
        <f>""</f>
        <v/>
      </c>
      <c r="F2334" t="str">
        <f>""</f>
        <v/>
      </c>
      <c r="G2334" t="str">
        <f>""</f>
        <v/>
      </c>
      <c r="I2334" t="str">
        <f t="shared" si="39"/>
        <v>SOCIAL SECURITY TAXES</v>
      </c>
    </row>
    <row r="2335" spans="1:9" x14ac:dyDescent="0.3">
      <c r="A2335" t="str">
        <f>""</f>
        <v/>
      </c>
      <c r="F2335" t="str">
        <f>""</f>
        <v/>
      </c>
      <c r="G2335" t="str">
        <f>""</f>
        <v/>
      </c>
      <c r="I2335" t="str">
        <f t="shared" si="39"/>
        <v>SOCIAL SECURITY TAXES</v>
      </c>
    </row>
    <row r="2336" spans="1:9" x14ac:dyDescent="0.3">
      <c r="A2336" t="str">
        <f>""</f>
        <v/>
      </c>
      <c r="F2336" t="str">
        <f>""</f>
        <v/>
      </c>
      <c r="G2336" t="str">
        <f>""</f>
        <v/>
      </c>
      <c r="I2336" t="str">
        <f t="shared" si="39"/>
        <v>SOCIAL SECURITY TAXES</v>
      </c>
    </row>
    <row r="2337" spans="1:9" x14ac:dyDescent="0.3">
      <c r="A2337" t="str">
        <f>""</f>
        <v/>
      </c>
      <c r="F2337" t="str">
        <f>""</f>
        <v/>
      </c>
      <c r="G2337" t="str">
        <f>""</f>
        <v/>
      </c>
      <c r="I2337" t="str">
        <f t="shared" si="39"/>
        <v>SOCIAL SECURITY TAXES</v>
      </c>
    </row>
    <row r="2338" spans="1:9" x14ac:dyDescent="0.3">
      <c r="A2338" t="str">
        <f>""</f>
        <v/>
      </c>
      <c r="F2338" t="str">
        <f>""</f>
        <v/>
      </c>
      <c r="G2338" t="str">
        <f>""</f>
        <v/>
      </c>
      <c r="I2338" t="str">
        <f t="shared" si="39"/>
        <v>SOCIAL SECURITY TAXES</v>
      </c>
    </row>
    <row r="2339" spans="1:9" x14ac:dyDescent="0.3">
      <c r="A2339" t="str">
        <f>""</f>
        <v/>
      </c>
      <c r="F2339" t="str">
        <f>""</f>
        <v/>
      </c>
      <c r="G2339" t="str">
        <f>""</f>
        <v/>
      </c>
      <c r="I2339" t="str">
        <f t="shared" si="39"/>
        <v>SOCIAL SECURITY TAXES</v>
      </c>
    </row>
    <row r="2340" spans="1:9" x14ac:dyDescent="0.3">
      <c r="A2340" t="str">
        <f>""</f>
        <v/>
      </c>
      <c r="F2340" t="str">
        <f>""</f>
        <v/>
      </c>
      <c r="G2340" t="str">
        <f>""</f>
        <v/>
      </c>
      <c r="I2340" t="str">
        <f t="shared" si="39"/>
        <v>SOCIAL SECURITY TAXES</v>
      </c>
    </row>
    <row r="2341" spans="1:9" x14ac:dyDescent="0.3">
      <c r="A2341" t="str">
        <f>""</f>
        <v/>
      </c>
      <c r="F2341" t="str">
        <f>""</f>
        <v/>
      </c>
      <c r="G2341" t="str">
        <f>""</f>
        <v/>
      </c>
      <c r="I2341" t="str">
        <f t="shared" si="39"/>
        <v>SOCIAL SECURITY TAXES</v>
      </c>
    </row>
    <row r="2342" spans="1:9" x14ac:dyDescent="0.3">
      <c r="A2342" t="str">
        <f>""</f>
        <v/>
      </c>
      <c r="F2342" t="str">
        <f>""</f>
        <v/>
      </c>
      <c r="G2342" t="str">
        <f>""</f>
        <v/>
      </c>
      <c r="I2342" t="str">
        <f t="shared" si="39"/>
        <v>SOCIAL SECURITY TAXES</v>
      </c>
    </row>
    <row r="2343" spans="1:9" x14ac:dyDescent="0.3">
      <c r="A2343" t="str">
        <f>""</f>
        <v/>
      </c>
      <c r="F2343" t="str">
        <f>""</f>
        <v/>
      </c>
      <c r="G2343" t="str">
        <f>""</f>
        <v/>
      </c>
      <c r="I2343" t="str">
        <f t="shared" si="39"/>
        <v>SOCIAL SECURITY TAXES</v>
      </c>
    </row>
    <row r="2344" spans="1:9" x14ac:dyDescent="0.3">
      <c r="A2344" t="str">
        <f>""</f>
        <v/>
      </c>
      <c r="F2344" t="str">
        <f>""</f>
        <v/>
      </c>
      <c r="G2344" t="str">
        <f>""</f>
        <v/>
      </c>
      <c r="I2344" t="str">
        <f t="shared" si="39"/>
        <v>SOCIAL SECURITY TAXES</v>
      </c>
    </row>
    <row r="2345" spans="1:9" x14ac:dyDescent="0.3">
      <c r="A2345" t="str">
        <f>""</f>
        <v/>
      </c>
      <c r="F2345" t="str">
        <f>""</f>
        <v/>
      </c>
      <c r="G2345" t="str">
        <f>""</f>
        <v/>
      </c>
      <c r="I2345" t="str">
        <f t="shared" si="39"/>
        <v>SOCIAL SECURITY TAXES</v>
      </c>
    </row>
    <row r="2346" spans="1:9" x14ac:dyDescent="0.3">
      <c r="A2346" t="str">
        <f>""</f>
        <v/>
      </c>
      <c r="F2346" t="str">
        <f>""</f>
        <v/>
      </c>
      <c r="G2346" t="str">
        <f>""</f>
        <v/>
      </c>
      <c r="I2346" t="str">
        <f t="shared" si="39"/>
        <v>SOCIAL SECURITY TAXES</v>
      </c>
    </row>
    <row r="2347" spans="1:9" x14ac:dyDescent="0.3">
      <c r="A2347" t="str">
        <f>""</f>
        <v/>
      </c>
      <c r="F2347" t="str">
        <f>""</f>
        <v/>
      </c>
      <c r="G2347" t="str">
        <f>""</f>
        <v/>
      </c>
      <c r="I2347" t="str">
        <f t="shared" si="39"/>
        <v>SOCIAL SECURITY TAXES</v>
      </c>
    </row>
    <row r="2348" spans="1:9" x14ac:dyDescent="0.3">
      <c r="A2348" t="str">
        <f>""</f>
        <v/>
      </c>
      <c r="F2348" t="str">
        <f>""</f>
        <v/>
      </c>
      <c r="G2348" t="str">
        <f>""</f>
        <v/>
      </c>
      <c r="I2348" t="str">
        <f t="shared" si="39"/>
        <v>SOCIAL SECURITY TAXES</v>
      </c>
    </row>
    <row r="2349" spans="1:9" x14ac:dyDescent="0.3">
      <c r="A2349" t="str">
        <f>""</f>
        <v/>
      </c>
      <c r="F2349" t="str">
        <f>""</f>
        <v/>
      </c>
      <c r="G2349" t="str">
        <f>""</f>
        <v/>
      </c>
      <c r="I2349" t="str">
        <f t="shared" si="39"/>
        <v>SOCIAL SECURITY TAXES</v>
      </c>
    </row>
    <row r="2350" spans="1:9" x14ac:dyDescent="0.3">
      <c r="A2350" t="str">
        <f>""</f>
        <v/>
      </c>
      <c r="F2350" t="str">
        <f>""</f>
        <v/>
      </c>
      <c r="G2350" t="str">
        <f>""</f>
        <v/>
      </c>
      <c r="I2350" t="str">
        <f t="shared" si="39"/>
        <v>SOCIAL SECURITY TAXES</v>
      </c>
    </row>
    <row r="2351" spans="1:9" x14ac:dyDescent="0.3">
      <c r="A2351" t="str">
        <f>""</f>
        <v/>
      </c>
      <c r="F2351" t="str">
        <f>""</f>
        <v/>
      </c>
      <c r="G2351" t="str">
        <f>""</f>
        <v/>
      </c>
      <c r="I2351" t="str">
        <f t="shared" si="39"/>
        <v>SOCIAL SECURITY TAXES</v>
      </c>
    </row>
    <row r="2352" spans="1:9" x14ac:dyDescent="0.3">
      <c r="A2352" t="str">
        <f>""</f>
        <v/>
      </c>
      <c r="F2352" t="str">
        <f>""</f>
        <v/>
      </c>
      <c r="G2352" t="str">
        <f>""</f>
        <v/>
      </c>
      <c r="I2352" t="str">
        <f t="shared" si="39"/>
        <v>SOCIAL SECURITY TAXES</v>
      </c>
    </row>
    <row r="2353" spans="1:9" x14ac:dyDescent="0.3">
      <c r="A2353" t="str">
        <f>""</f>
        <v/>
      </c>
      <c r="F2353" t="str">
        <f>""</f>
        <v/>
      </c>
      <c r="G2353" t="str">
        <f>""</f>
        <v/>
      </c>
      <c r="I2353" t="str">
        <f t="shared" si="39"/>
        <v>SOCIAL SECURITY TAXES</v>
      </c>
    </row>
    <row r="2354" spans="1:9" x14ac:dyDescent="0.3">
      <c r="A2354" t="str">
        <f>""</f>
        <v/>
      </c>
      <c r="F2354" t="str">
        <f>""</f>
        <v/>
      </c>
      <c r="G2354" t="str">
        <f>""</f>
        <v/>
      </c>
      <c r="I2354" t="str">
        <f t="shared" si="39"/>
        <v>SOCIAL SECURITY TAXES</v>
      </c>
    </row>
    <row r="2355" spans="1:9" x14ac:dyDescent="0.3">
      <c r="A2355" t="str">
        <f>""</f>
        <v/>
      </c>
      <c r="F2355" t="str">
        <f>""</f>
        <v/>
      </c>
      <c r="G2355" t="str">
        <f>""</f>
        <v/>
      </c>
      <c r="I2355" t="str">
        <f t="shared" si="39"/>
        <v>SOCIAL SECURITY TAXES</v>
      </c>
    </row>
    <row r="2356" spans="1:9" x14ac:dyDescent="0.3">
      <c r="A2356" t="str">
        <f>""</f>
        <v/>
      </c>
      <c r="F2356" t="str">
        <f>""</f>
        <v/>
      </c>
      <c r="G2356" t="str">
        <f>""</f>
        <v/>
      </c>
      <c r="I2356" t="str">
        <f t="shared" si="39"/>
        <v>SOCIAL SECURITY TAXES</v>
      </c>
    </row>
    <row r="2357" spans="1:9" x14ac:dyDescent="0.3">
      <c r="A2357" t="str">
        <f>""</f>
        <v/>
      </c>
      <c r="F2357" t="str">
        <f>""</f>
        <v/>
      </c>
      <c r="G2357" t="str">
        <f>""</f>
        <v/>
      </c>
      <c r="I2357" t="str">
        <f t="shared" si="39"/>
        <v>SOCIAL SECURITY TAXES</v>
      </c>
    </row>
    <row r="2358" spans="1:9" x14ac:dyDescent="0.3">
      <c r="A2358" t="str">
        <f>""</f>
        <v/>
      </c>
      <c r="F2358" t="str">
        <f>""</f>
        <v/>
      </c>
      <c r="G2358" t="str">
        <f>""</f>
        <v/>
      </c>
      <c r="I2358" t="str">
        <f t="shared" si="39"/>
        <v>SOCIAL SECURITY TAXES</v>
      </c>
    </row>
    <row r="2359" spans="1:9" x14ac:dyDescent="0.3">
      <c r="A2359" t="str">
        <f>""</f>
        <v/>
      </c>
      <c r="F2359" t="str">
        <f>""</f>
        <v/>
      </c>
      <c r="G2359" t="str">
        <f>""</f>
        <v/>
      </c>
      <c r="I2359" t="str">
        <f t="shared" ref="I2359:I2381" si="40">"SOCIAL SECURITY TAXES"</f>
        <v>SOCIAL SECURITY TAXES</v>
      </c>
    </row>
    <row r="2360" spans="1:9" x14ac:dyDescent="0.3">
      <c r="A2360" t="str">
        <f>""</f>
        <v/>
      </c>
      <c r="F2360" t="str">
        <f>""</f>
        <v/>
      </c>
      <c r="G2360" t="str">
        <f>""</f>
        <v/>
      </c>
      <c r="I2360" t="str">
        <f t="shared" si="40"/>
        <v>SOCIAL SECURITY TAXES</v>
      </c>
    </row>
    <row r="2361" spans="1:9" x14ac:dyDescent="0.3">
      <c r="A2361" t="str">
        <f>""</f>
        <v/>
      </c>
      <c r="F2361" t="str">
        <f>""</f>
        <v/>
      </c>
      <c r="G2361" t="str">
        <f>""</f>
        <v/>
      </c>
      <c r="I2361" t="str">
        <f t="shared" si="40"/>
        <v>SOCIAL SECURITY TAXES</v>
      </c>
    </row>
    <row r="2362" spans="1:9" x14ac:dyDescent="0.3">
      <c r="A2362" t="str">
        <f>""</f>
        <v/>
      </c>
      <c r="F2362" t="str">
        <f>""</f>
        <v/>
      </c>
      <c r="G2362" t="str">
        <f>""</f>
        <v/>
      </c>
      <c r="I2362" t="str">
        <f t="shared" si="40"/>
        <v>SOCIAL SECURITY TAXES</v>
      </c>
    </row>
    <row r="2363" spans="1:9" x14ac:dyDescent="0.3">
      <c r="A2363" t="str">
        <f>""</f>
        <v/>
      </c>
      <c r="F2363" t="str">
        <f>""</f>
        <v/>
      </c>
      <c r="G2363" t="str">
        <f>""</f>
        <v/>
      </c>
      <c r="I2363" t="str">
        <f t="shared" si="40"/>
        <v>SOCIAL SECURITY TAXES</v>
      </c>
    </row>
    <row r="2364" spans="1:9" x14ac:dyDescent="0.3">
      <c r="A2364" t="str">
        <f>""</f>
        <v/>
      </c>
      <c r="F2364" t="str">
        <f>""</f>
        <v/>
      </c>
      <c r="G2364" t="str">
        <f>""</f>
        <v/>
      </c>
      <c r="I2364" t="str">
        <f t="shared" si="40"/>
        <v>SOCIAL SECURITY TAXES</v>
      </c>
    </row>
    <row r="2365" spans="1:9" x14ac:dyDescent="0.3">
      <c r="A2365" t="str">
        <f>""</f>
        <v/>
      </c>
      <c r="F2365" t="str">
        <f>""</f>
        <v/>
      </c>
      <c r="G2365" t="str">
        <f>""</f>
        <v/>
      </c>
      <c r="I2365" t="str">
        <f t="shared" si="40"/>
        <v>SOCIAL SECURITY TAXES</v>
      </c>
    </row>
    <row r="2366" spans="1:9" x14ac:dyDescent="0.3">
      <c r="A2366" t="str">
        <f>""</f>
        <v/>
      </c>
      <c r="F2366" t="str">
        <f>""</f>
        <v/>
      </c>
      <c r="G2366" t="str">
        <f>""</f>
        <v/>
      </c>
      <c r="I2366" t="str">
        <f t="shared" si="40"/>
        <v>SOCIAL SECURITY TAXES</v>
      </c>
    </row>
    <row r="2367" spans="1:9" x14ac:dyDescent="0.3">
      <c r="A2367" t="str">
        <f>""</f>
        <v/>
      </c>
      <c r="F2367" t="str">
        <f>""</f>
        <v/>
      </c>
      <c r="G2367" t="str">
        <f>""</f>
        <v/>
      </c>
      <c r="I2367" t="str">
        <f t="shared" si="40"/>
        <v>SOCIAL SECURITY TAXES</v>
      </c>
    </row>
    <row r="2368" spans="1:9" x14ac:dyDescent="0.3">
      <c r="A2368" t="str">
        <f>""</f>
        <v/>
      </c>
      <c r="F2368" t="str">
        <f>""</f>
        <v/>
      </c>
      <c r="G2368" t="str">
        <f>""</f>
        <v/>
      </c>
      <c r="I2368" t="str">
        <f t="shared" si="40"/>
        <v>SOCIAL SECURITY TAXES</v>
      </c>
    </row>
    <row r="2369" spans="1:9" x14ac:dyDescent="0.3">
      <c r="A2369" t="str">
        <f>""</f>
        <v/>
      </c>
      <c r="F2369" t="str">
        <f>""</f>
        <v/>
      </c>
      <c r="G2369" t="str">
        <f>""</f>
        <v/>
      </c>
      <c r="I2369" t="str">
        <f t="shared" si="40"/>
        <v>SOCIAL SECURITY TAXES</v>
      </c>
    </row>
    <row r="2370" spans="1:9" x14ac:dyDescent="0.3">
      <c r="A2370" t="str">
        <f>""</f>
        <v/>
      </c>
      <c r="F2370" t="str">
        <f>""</f>
        <v/>
      </c>
      <c r="G2370" t="str">
        <f>""</f>
        <v/>
      </c>
      <c r="I2370" t="str">
        <f t="shared" si="40"/>
        <v>SOCIAL SECURITY TAXES</v>
      </c>
    </row>
    <row r="2371" spans="1:9" x14ac:dyDescent="0.3">
      <c r="A2371" t="str">
        <f>""</f>
        <v/>
      </c>
      <c r="F2371" t="str">
        <f>""</f>
        <v/>
      </c>
      <c r="G2371" t="str">
        <f>""</f>
        <v/>
      </c>
      <c r="I2371" t="str">
        <f t="shared" si="40"/>
        <v>SOCIAL SECURITY TAXES</v>
      </c>
    </row>
    <row r="2372" spans="1:9" x14ac:dyDescent="0.3">
      <c r="A2372" t="str">
        <f>""</f>
        <v/>
      </c>
      <c r="F2372" t="str">
        <f>""</f>
        <v/>
      </c>
      <c r="G2372" t="str">
        <f>""</f>
        <v/>
      </c>
      <c r="I2372" t="str">
        <f t="shared" si="40"/>
        <v>SOCIAL SECURITY TAXES</v>
      </c>
    </row>
    <row r="2373" spans="1:9" x14ac:dyDescent="0.3">
      <c r="A2373" t="str">
        <f>""</f>
        <v/>
      </c>
      <c r="F2373" t="str">
        <f>""</f>
        <v/>
      </c>
      <c r="G2373" t="str">
        <f>""</f>
        <v/>
      </c>
      <c r="I2373" t="str">
        <f t="shared" si="40"/>
        <v>SOCIAL SECURITY TAXES</v>
      </c>
    </row>
    <row r="2374" spans="1:9" x14ac:dyDescent="0.3">
      <c r="A2374" t="str">
        <f>""</f>
        <v/>
      </c>
      <c r="F2374" t="str">
        <f>""</f>
        <v/>
      </c>
      <c r="G2374" t="str">
        <f>""</f>
        <v/>
      </c>
      <c r="I2374" t="str">
        <f t="shared" si="40"/>
        <v>SOCIAL SECURITY TAXES</v>
      </c>
    </row>
    <row r="2375" spans="1:9" x14ac:dyDescent="0.3">
      <c r="A2375" t="str">
        <f>""</f>
        <v/>
      </c>
      <c r="F2375" t="str">
        <f>""</f>
        <v/>
      </c>
      <c r="G2375" t="str">
        <f>""</f>
        <v/>
      </c>
      <c r="I2375" t="str">
        <f t="shared" si="40"/>
        <v>SOCIAL SECURITY TAXES</v>
      </c>
    </row>
    <row r="2376" spans="1:9" x14ac:dyDescent="0.3">
      <c r="A2376" t="str">
        <f>""</f>
        <v/>
      </c>
      <c r="F2376" t="str">
        <f>""</f>
        <v/>
      </c>
      <c r="G2376" t="str">
        <f>""</f>
        <v/>
      </c>
      <c r="I2376" t="str">
        <f t="shared" si="40"/>
        <v>SOCIAL SECURITY TAXES</v>
      </c>
    </row>
    <row r="2377" spans="1:9" x14ac:dyDescent="0.3">
      <c r="A2377" t="str">
        <f>""</f>
        <v/>
      </c>
      <c r="F2377" t="str">
        <f>""</f>
        <v/>
      </c>
      <c r="G2377" t="str">
        <f>""</f>
        <v/>
      </c>
      <c r="I2377" t="str">
        <f t="shared" si="40"/>
        <v>SOCIAL SECURITY TAXES</v>
      </c>
    </row>
    <row r="2378" spans="1:9" x14ac:dyDescent="0.3">
      <c r="A2378" t="str">
        <f>""</f>
        <v/>
      </c>
      <c r="F2378" t="str">
        <f>"T3 201711296860"</f>
        <v>T3 201711296860</v>
      </c>
      <c r="G2378" t="str">
        <f>"SOCIAL SECURITY TAXES"</f>
        <v>SOCIAL SECURITY TAXES</v>
      </c>
      <c r="H2378" s="2">
        <v>3816.78</v>
      </c>
      <c r="I2378" t="str">
        <f t="shared" si="40"/>
        <v>SOCIAL SECURITY TAXES</v>
      </c>
    </row>
    <row r="2379" spans="1:9" x14ac:dyDescent="0.3">
      <c r="A2379" t="str">
        <f>""</f>
        <v/>
      </c>
      <c r="F2379" t="str">
        <f>""</f>
        <v/>
      </c>
      <c r="G2379" t="str">
        <f>""</f>
        <v/>
      </c>
      <c r="I2379" t="str">
        <f t="shared" si="40"/>
        <v>SOCIAL SECURITY TAXES</v>
      </c>
    </row>
    <row r="2380" spans="1:9" x14ac:dyDescent="0.3">
      <c r="A2380" t="str">
        <f>""</f>
        <v/>
      </c>
      <c r="F2380" t="str">
        <f>"T3 201711296861"</f>
        <v>T3 201711296861</v>
      </c>
      <c r="G2380" t="str">
        <f>"SOCIAL SECURITY TAXES"</f>
        <v>SOCIAL SECURITY TAXES</v>
      </c>
      <c r="H2380" s="2">
        <v>5754.16</v>
      </c>
      <c r="I2380" t="str">
        <f t="shared" si="40"/>
        <v>SOCIAL SECURITY TAXES</v>
      </c>
    </row>
    <row r="2381" spans="1:9" x14ac:dyDescent="0.3">
      <c r="A2381" t="str">
        <f>""</f>
        <v/>
      </c>
      <c r="F2381" t="str">
        <f>""</f>
        <v/>
      </c>
      <c r="G2381" t="str">
        <f>""</f>
        <v/>
      </c>
      <c r="I2381" t="str">
        <f t="shared" si="40"/>
        <v>SOCIAL SECURITY TAXES</v>
      </c>
    </row>
    <row r="2382" spans="1:9" x14ac:dyDescent="0.3">
      <c r="A2382" t="str">
        <f>""</f>
        <v/>
      </c>
      <c r="F2382" t="str">
        <f>"T4 201711296859"</f>
        <v>T4 201711296859</v>
      </c>
      <c r="G2382" t="str">
        <f>"MEDICARE TAXES"</f>
        <v>MEDICARE TAXES</v>
      </c>
      <c r="H2382" s="2">
        <v>22834.42</v>
      </c>
      <c r="I2382" t="str">
        <f t="shared" ref="I2382:I2413" si="41">"MEDICARE TAXES"</f>
        <v>MEDICARE TAXES</v>
      </c>
    </row>
    <row r="2383" spans="1:9" x14ac:dyDescent="0.3">
      <c r="A2383" t="str">
        <f>""</f>
        <v/>
      </c>
      <c r="F2383" t="str">
        <f>""</f>
        <v/>
      </c>
      <c r="G2383" t="str">
        <f>""</f>
        <v/>
      </c>
      <c r="I2383" t="str">
        <f t="shared" si="41"/>
        <v>MEDICARE TAXES</v>
      </c>
    </row>
    <row r="2384" spans="1:9" x14ac:dyDescent="0.3">
      <c r="A2384" t="str">
        <f>""</f>
        <v/>
      </c>
      <c r="F2384" t="str">
        <f>""</f>
        <v/>
      </c>
      <c r="G2384" t="str">
        <f>""</f>
        <v/>
      </c>
      <c r="I2384" t="str">
        <f t="shared" si="41"/>
        <v>MEDICARE TAXES</v>
      </c>
    </row>
    <row r="2385" spans="1:9" x14ac:dyDescent="0.3">
      <c r="A2385" t="str">
        <f>""</f>
        <v/>
      </c>
      <c r="F2385" t="str">
        <f>""</f>
        <v/>
      </c>
      <c r="G2385" t="str">
        <f>""</f>
        <v/>
      </c>
      <c r="I2385" t="str">
        <f t="shared" si="41"/>
        <v>MEDICARE TAXES</v>
      </c>
    </row>
    <row r="2386" spans="1:9" x14ac:dyDescent="0.3">
      <c r="A2386" t="str">
        <f>""</f>
        <v/>
      </c>
      <c r="F2386" t="str">
        <f>""</f>
        <v/>
      </c>
      <c r="G2386" t="str">
        <f>""</f>
        <v/>
      </c>
      <c r="I2386" t="str">
        <f t="shared" si="41"/>
        <v>MEDICARE TAXES</v>
      </c>
    </row>
    <row r="2387" spans="1:9" x14ac:dyDescent="0.3">
      <c r="A2387" t="str">
        <f>""</f>
        <v/>
      </c>
      <c r="F2387" t="str">
        <f>""</f>
        <v/>
      </c>
      <c r="G2387" t="str">
        <f>""</f>
        <v/>
      </c>
      <c r="I2387" t="str">
        <f t="shared" si="41"/>
        <v>MEDICARE TAXES</v>
      </c>
    </row>
    <row r="2388" spans="1:9" x14ac:dyDescent="0.3">
      <c r="A2388" t="str">
        <f>""</f>
        <v/>
      </c>
      <c r="F2388" t="str">
        <f>""</f>
        <v/>
      </c>
      <c r="G2388" t="str">
        <f>""</f>
        <v/>
      </c>
      <c r="I2388" t="str">
        <f t="shared" si="41"/>
        <v>MEDICARE TAXES</v>
      </c>
    </row>
    <row r="2389" spans="1:9" x14ac:dyDescent="0.3">
      <c r="A2389" t="str">
        <f>""</f>
        <v/>
      </c>
      <c r="F2389" t="str">
        <f>""</f>
        <v/>
      </c>
      <c r="G2389" t="str">
        <f>""</f>
        <v/>
      </c>
      <c r="I2389" t="str">
        <f t="shared" si="41"/>
        <v>MEDICARE TAXES</v>
      </c>
    </row>
    <row r="2390" spans="1:9" x14ac:dyDescent="0.3">
      <c r="A2390" t="str">
        <f>""</f>
        <v/>
      </c>
      <c r="F2390" t="str">
        <f>""</f>
        <v/>
      </c>
      <c r="G2390" t="str">
        <f>""</f>
        <v/>
      </c>
      <c r="I2390" t="str">
        <f t="shared" si="41"/>
        <v>MEDICARE TAXES</v>
      </c>
    </row>
    <row r="2391" spans="1:9" x14ac:dyDescent="0.3">
      <c r="A2391" t="str">
        <f>""</f>
        <v/>
      </c>
      <c r="F2391" t="str">
        <f>""</f>
        <v/>
      </c>
      <c r="G2391" t="str">
        <f>""</f>
        <v/>
      </c>
      <c r="I2391" t="str">
        <f t="shared" si="41"/>
        <v>MEDICARE TAXES</v>
      </c>
    </row>
    <row r="2392" spans="1:9" x14ac:dyDescent="0.3">
      <c r="A2392" t="str">
        <f>""</f>
        <v/>
      </c>
      <c r="F2392" t="str">
        <f>""</f>
        <v/>
      </c>
      <c r="G2392" t="str">
        <f>""</f>
        <v/>
      </c>
      <c r="I2392" t="str">
        <f t="shared" si="41"/>
        <v>MEDICARE TAXES</v>
      </c>
    </row>
    <row r="2393" spans="1:9" x14ac:dyDescent="0.3">
      <c r="A2393" t="str">
        <f>""</f>
        <v/>
      </c>
      <c r="F2393" t="str">
        <f>""</f>
        <v/>
      </c>
      <c r="G2393" t="str">
        <f>""</f>
        <v/>
      </c>
      <c r="I2393" t="str">
        <f t="shared" si="41"/>
        <v>MEDICARE TAXES</v>
      </c>
    </row>
    <row r="2394" spans="1:9" x14ac:dyDescent="0.3">
      <c r="A2394" t="str">
        <f>""</f>
        <v/>
      </c>
      <c r="F2394" t="str">
        <f>""</f>
        <v/>
      </c>
      <c r="G2394" t="str">
        <f>""</f>
        <v/>
      </c>
      <c r="I2394" t="str">
        <f t="shared" si="41"/>
        <v>MEDICARE TAXES</v>
      </c>
    </row>
    <row r="2395" spans="1:9" x14ac:dyDescent="0.3">
      <c r="A2395" t="str">
        <f>""</f>
        <v/>
      </c>
      <c r="F2395" t="str">
        <f>""</f>
        <v/>
      </c>
      <c r="G2395" t="str">
        <f>""</f>
        <v/>
      </c>
      <c r="I2395" t="str">
        <f t="shared" si="41"/>
        <v>MEDICARE TAXES</v>
      </c>
    </row>
    <row r="2396" spans="1:9" x14ac:dyDescent="0.3">
      <c r="A2396" t="str">
        <f>""</f>
        <v/>
      </c>
      <c r="F2396" t="str">
        <f>""</f>
        <v/>
      </c>
      <c r="G2396" t="str">
        <f>""</f>
        <v/>
      </c>
      <c r="I2396" t="str">
        <f t="shared" si="41"/>
        <v>MEDICARE TAXES</v>
      </c>
    </row>
    <row r="2397" spans="1:9" x14ac:dyDescent="0.3">
      <c r="A2397" t="str">
        <f>""</f>
        <v/>
      </c>
      <c r="F2397" t="str">
        <f>""</f>
        <v/>
      </c>
      <c r="G2397" t="str">
        <f>""</f>
        <v/>
      </c>
      <c r="I2397" t="str">
        <f t="shared" si="41"/>
        <v>MEDICARE TAXES</v>
      </c>
    </row>
    <row r="2398" spans="1:9" x14ac:dyDescent="0.3">
      <c r="A2398" t="str">
        <f>""</f>
        <v/>
      </c>
      <c r="F2398" t="str">
        <f>""</f>
        <v/>
      </c>
      <c r="G2398" t="str">
        <f>""</f>
        <v/>
      </c>
      <c r="I2398" t="str">
        <f t="shared" si="41"/>
        <v>MEDICARE TAXES</v>
      </c>
    </row>
    <row r="2399" spans="1:9" x14ac:dyDescent="0.3">
      <c r="A2399" t="str">
        <f>""</f>
        <v/>
      </c>
      <c r="F2399" t="str">
        <f>""</f>
        <v/>
      </c>
      <c r="G2399" t="str">
        <f>""</f>
        <v/>
      </c>
      <c r="I2399" t="str">
        <f t="shared" si="41"/>
        <v>MEDICARE TAXES</v>
      </c>
    </row>
    <row r="2400" spans="1:9" x14ac:dyDescent="0.3">
      <c r="A2400" t="str">
        <f>""</f>
        <v/>
      </c>
      <c r="F2400" t="str">
        <f>""</f>
        <v/>
      </c>
      <c r="G2400" t="str">
        <f>""</f>
        <v/>
      </c>
      <c r="I2400" t="str">
        <f t="shared" si="41"/>
        <v>MEDICARE TAXES</v>
      </c>
    </row>
    <row r="2401" spans="1:9" x14ac:dyDescent="0.3">
      <c r="A2401" t="str">
        <f>""</f>
        <v/>
      </c>
      <c r="F2401" t="str">
        <f>""</f>
        <v/>
      </c>
      <c r="G2401" t="str">
        <f>""</f>
        <v/>
      </c>
      <c r="I2401" t="str">
        <f t="shared" si="41"/>
        <v>MEDICARE TAXES</v>
      </c>
    </row>
    <row r="2402" spans="1:9" x14ac:dyDescent="0.3">
      <c r="A2402" t="str">
        <f>""</f>
        <v/>
      </c>
      <c r="F2402" t="str">
        <f>""</f>
        <v/>
      </c>
      <c r="G2402" t="str">
        <f>""</f>
        <v/>
      </c>
      <c r="I2402" t="str">
        <f t="shared" si="41"/>
        <v>MEDICARE TAXES</v>
      </c>
    </row>
    <row r="2403" spans="1:9" x14ac:dyDescent="0.3">
      <c r="A2403" t="str">
        <f>""</f>
        <v/>
      </c>
      <c r="F2403" t="str">
        <f>""</f>
        <v/>
      </c>
      <c r="G2403" t="str">
        <f>""</f>
        <v/>
      </c>
      <c r="I2403" t="str">
        <f t="shared" si="41"/>
        <v>MEDICARE TAXES</v>
      </c>
    </row>
    <row r="2404" spans="1:9" x14ac:dyDescent="0.3">
      <c r="A2404" t="str">
        <f>""</f>
        <v/>
      </c>
      <c r="F2404" t="str">
        <f>""</f>
        <v/>
      </c>
      <c r="G2404" t="str">
        <f>""</f>
        <v/>
      </c>
      <c r="I2404" t="str">
        <f t="shared" si="41"/>
        <v>MEDICARE TAXES</v>
      </c>
    </row>
    <row r="2405" spans="1:9" x14ac:dyDescent="0.3">
      <c r="A2405" t="str">
        <f>""</f>
        <v/>
      </c>
      <c r="F2405" t="str">
        <f>""</f>
        <v/>
      </c>
      <c r="G2405" t="str">
        <f>""</f>
        <v/>
      </c>
      <c r="I2405" t="str">
        <f t="shared" si="41"/>
        <v>MEDICARE TAXES</v>
      </c>
    </row>
    <row r="2406" spans="1:9" x14ac:dyDescent="0.3">
      <c r="A2406" t="str">
        <f>""</f>
        <v/>
      </c>
      <c r="F2406" t="str">
        <f>""</f>
        <v/>
      </c>
      <c r="G2406" t="str">
        <f>""</f>
        <v/>
      </c>
      <c r="I2406" t="str">
        <f t="shared" si="41"/>
        <v>MEDICARE TAXES</v>
      </c>
    </row>
    <row r="2407" spans="1:9" x14ac:dyDescent="0.3">
      <c r="A2407" t="str">
        <f>""</f>
        <v/>
      </c>
      <c r="F2407" t="str">
        <f>""</f>
        <v/>
      </c>
      <c r="G2407" t="str">
        <f>""</f>
        <v/>
      </c>
      <c r="I2407" t="str">
        <f t="shared" si="41"/>
        <v>MEDICARE TAXES</v>
      </c>
    </row>
    <row r="2408" spans="1:9" x14ac:dyDescent="0.3">
      <c r="A2408" t="str">
        <f>""</f>
        <v/>
      </c>
      <c r="F2408" t="str">
        <f>""</f>
        <v/>
      </c>
      <c r="G2408" t="str">
        <f>""</f>
        <v/>
      </c>
      <c r="I2408" t="str">
        <f t="shared" si="41"/>
        <v>MEDICARE TAXES</v>
      </c>
    </row>
    <row r="2409" spans="1:9" x14ac:dyDescent="0.3">
      <c r="A2409" t="str">
        <f>""</f>
        <v/>
      </c>
      <c r="F2409" t="str">
        <f>""</f>
        <v/>
      </c>
      <c r="G2409" t="str">
        <f>""</f>
        <v/>
      </c>
      <c r="I2409" t="str">
        <f t="shared" si="41"/>
        <v>MEDICARE TAXES</v>
      </c>
    </row>
    <row r="2410" spans="1:9" x14ac:dyDescent="0.3">
      <c r="A2410" t="str">
        <f>""</f>
        <v/>
      </c>
      <c r="F2410" t="str">
        <f>""</f>
        <v/>
      </c>
      <c r="G2410" t="str">
        <f>""</f>
        <v/>
      </c>
      <c r="I2410" t="str">
        <f t="shared" si="41"/>
        <v>MEDICARE TAXES</v>
      </c>
    </row>
    <row r="2411" spans="1:9" x14ac:dyDescent="0.3">
      <c r="A2411" t="str">
        <f>""</f>
        <v/>
      </c>
      <c r="F2411" t="str">
        <f>""</f>
        <v/>
      </c>
      <c r="G2411" t="str">
        <f>""</f>
        <v/>
      </c>
      <c r="I2411" t="str">
        <f t="shared" si="41"/>
        <v>MEDICARE TAXES</v>
      </c>
    </row>
    <row r="2412" spans="1:9" x14ac:dyDescent="0.3">
      <c r="A2412" t="str">
        <f>""</f>
        <v/>
      </c>
      <c r="F2412" t="str">
        <f>""</f>
        <v/>
      </c>
      <c r="G2412" t="str">
        <f>""</f>
        <v/>
      </c>
      <c r="I2412" t="str">
        <f t="shared" si="41"/>
        <v>MEDICARE TAXES</v>
      </c>
    </row>
    <row r="2413" spans="1:9" x14ac:dyDescent="0.3">
      <c r="A2413" t="str">
        <f>""</f>
        <v/>
      </c>
      <c r="F2413" t="str">
        <f>""</f>
        <v/>
      </c>
      <c r="G2413" t="str">
        <f>""</f>
        <v/>
      </c>
      <c r="I2413" t="str">
        <f t="shared" si="41"/>
        <v>MEDICARE TAXES</v>
      </c>
    </row>
    <row r="2414" spans="1:9" x14ac:dyDescent="0.3">
      <c r="A2414" t="str">
        <f>""</f>
        <v/>
      </c>
      <c r="F2414" t="str">
        <f>""</f>
        <v/>
      </c>
      <c r="G2414" t="str">
        <f>""</f>
        <v/>
      </c>
      <c r="I2414" t="str">
        <f t="shared" ref="I2414:I2436" si="42">"MEDICARE TAXES"</f>
        <v>MEDICARE TAXES</v>
      </c>
    </row>
    <row r="2415" spans="1:9" x14ac:dyDescent="0.3">
      <c r="A2415" t="str">
        <f>""</f>
        <v/>
      </c>
      <c r="F2415" t="str">
        <f>""</f>
        <v/>
      </c>
      <c r="G2415" t="str">
        <f>""</f>
        <v/>
      </c>
      <c r="I2415" t="str">
        <f t="shared" si="42"/>
        <v>MEDICARE TAXES</v>
      </c>
    </row>
    <row r="2416" spans="1:9" x14ac:dyDescent="0.3">
      <c r="A2416" t="str">
        <f>""</f>
        <v/>
      </c>
      <c r="F2416" t="str">
        <f>""</f>
        <v/>
      </c>
      <c r="G2416" t="str">
        <f>""</f>
        <v/>
      </c>
      <c r="I2416" t="str">
        <f t="shared" si="42"/>
        <v>MEDICARE TAXES</v>
      </c>
    </row>
    <row r="2417" spans="1:9" x14ac:dyDescent="0.3">
      <c r="A2417" t="str">
        <f>""</f>
        <v/>
      </c>
      <c r="F2417" t="str">
        <f>""</f>
        <v/>
      </c>
      <c r="G2417" t="str">
        <f>""</f>
        <v/>
      </c>
      <c r="I2417" t="str">
        <f t="shared" si="42"/>
        <v>MEDICARE TAXES</v>
      </c>
    </row>
    <row r="2418" spans="1:9" x14ac:dyDescent="0.3">
      <c r="A2418" t="str">
        <f>""</f>
        <v/>
      </c>
      <c r="F2418" t="str">
        <f>""</f>
        <v/>
      </c>
      <c r="G2418" t="str">
        <f>""</f>
        <v/>
      </c>
      <c r="I2418" t="str">
        <f t="shared" si="42"/>
        <v>MEDICARE TAXES</v>
      </c>
    </row>
    <row r="2419" spans="1:9" x14ac:dyDescent="0.3">
      <c r="A2419" t="str">
        <f>""</f>
        <v/>
      </c>
      <c r="F2419" t="str">
        <f>""</f>
        <v/>
      </c>
      <c r="G2419" t="str">
        <f>""</f>
        <v/>
      </c>
      <c r="I2419" t="str">
        <f t="shared" si="42"/>
        <v>MEDICARE TAXES</v>
      </c>
    </row>
    <row r="2420" spans="1:9" x14ac:dyDescent="0.3">
      <c r="A2420" t="str">
        <f>""</f>
        <v/>
      </c>
      <c r="F2420" t="str">
        <f>""</f>
        <v/>
      </c>
      <c r="G2420" t="str">
        <f>""</f>
        <v/>
      </c>
      <c r="I2420" t="str">
        <f t="shared" si="42"/>
        <v>MEDICARE TAXES</v>
      </c>
    </row>
    <row r="2421" spans="1:9" x14ac:dyDescent="0.3">
      <c r="A2421" t="str">
        <f>""</f>
        <v/>
      </c>
      <c r="F2421" t="str">
        <f>""</f>
        <v/>
      </c>
      <c r="G2421" t="str">
        <f>""</f>
        <v/>
      </c>
      <c r="I2421" t="str">
        <f t="shared" si="42"/>
        <v>MEDICARE TAXES</v>
      </c>
    </row>
    <row r="2422" spans="1:9" x14ac:dyDescent="0.3">
      <c r="A2422" t="str">
        <f>""</f>
        <v/>
      </c>
      <c r="F2422" t="str">
        <f>""</f>
        <v/>
      </c>
      <c r="G2422" t="str">
        <f>""</f>
        <v/>
      </c>
      <c r="I2422" t="str">
        <f t="shared" si="42"/>
        <v>MEDICARE TAXES</v>
      </c>
    </row>
    <row r="2423" spans="1:9" x14ac:dyDescent="0.3">
      <c r="A2423" t="str">
        <f>""</f>
        <v/>
      </c>
      <c r="F2423" t="str">
        <f>""</f>
        <v/>
      </c>
      <c r="G2423" t="str">
        <f>""</f>
        <v/>
      </c>
      <c r="I2423" t="str">
        <f t="shared" si="42"/>
        <v>MEDICARE TAXES</v>
      </c>
    </row>
    <row r="2424" spans="1:9" x14ac:dyDescent="0.3">
      <c r="A2424" t="str">
        <f>""</f>
        <v/>
      </c>
      <c r="F2424" t="str">
        <f>""</f>
        <v/>
      </c>
      <c r="G2424" t="str">
        <f>""</f>
        <v/>
      </c>
      <c r="I2424" t="str">
        <f t="shared" si="42"/>
        <v>MEDICARE TAXES</v>
      </c>
    </row>
    <row r="2425" spans="1:9" x14ac:dyDescent="0.3">
      <c r="A2425" t="str">
        <f>""</f>
        <v/>
      </c>
      <c r="F2425" t="str">
        <f>""</f>
        <v/>
      </c>
      <c r="G2425" t="str">
        <f>""</f>
        <v/>
      </c>
      <c r="I2425" t="str">
        <f t="shared" si="42"/>
        <v>MEDICARE TAXES</v>
      </c>
    </row>
    <row r="2426" spans="1:9" x14ac:dyDescent="0.3">
      <c r="A2426" t="str">
        <f>""</f>
        <v/>
      </c>
      <c r="F2426" t="str">
        <f>""</f>
        <v/>
      </c>
      <c r="G2426" t="str">
        <f>""</f>
        <v/>
      </c>
      <c r="I2426" t="str">
        <f t="shared" si="42"/>
        <v>MEDICARE TAXES</v>
      </c>
    </row>
    <row r="2427" spans="1:9" x14ac:dyDescent="0.3">
      <c r="A2427" t="str">
        <f>""</f>
        <v/>
      </c>
      <c r="F2427" t="str">
        <f>""</f>
        <v/>
      </c>
      <c r="G2427" t="str">
        <f>""</f>
        <v/>
      </c>
      <c r="I2427" t="str">
        <f t="shared" si="42"/>
        <v>MEDICARE TAXES</v>
      </c>
    </row>
    <row r="2428" spans="1:9" x14ac:dyDescent="0.3">
      <c r="A2428" t="str">
        <f>""</f>
        <v/>
      </c>
      <c r="F2428" t="str">
        <f>""</f>
        <v/>
      </c>
      <c r="G2428" t="str">
        <f>""</f>
        <v/>
      </c>
      <c r="I2428" t="str">
        <f t="shared" si="42"/>
        <v>MEDICARE TAXES</v>
      </c>
    </row>
    <row r="2429" spans="1:9" x14ac:dyDescent="0.3">
      <c r="A2429" t="str">
        <f>""</f>
        <v/>
      </c>
      <c r="F2429" t="str">
        <f>""</f>
        <v/>
      </c>
      <c r="G2429" t="str">
        <f>""</f>
        <v/>
      </c>
      <c r="I2429" t="str">
        <f t="shared" si="42"/>
        <v>MEDICARE TAXES</v>
      </c>
    </row>
    <row r="2430" spans="1:9" x14ac:dyDescent="0.3">
      <c r="A2430" t="str">
        <f>""</f>
        <v/>
      </c>
      <c r="F2430" t="str">
        <f>""</f>
        <v/>
      </c>
      <c r="G2430" t="str">
        <f>""</f>
        <v/>
      </c>
      <c r="I2430" t="str">
        <f t="shared" si="42"/>
        <v>MEDICARE TAXES</v>
      </c>
    </row>
    <row r="2431" spans="1:9" x14ac:dyDescent="0.3">
      <c r="A2431" t="str">
        <f>""</f>
        <v/>
      </c>
      <c r="F2431" t="str">
        <f>""</f>
        <v/>
      </c>
      <c r="G2431" t="str">
        <f>""</f>
        <v/>
      </c>
      <c r="I2431" t="str">
        <f t="shared" si="42"/>
        <v>MEDICARE TAXES</v>
      </c>
    </row>
    <row r="2432" spans="1:9" x14ac:dyDescent="0.3">
      <c r="A2432" t="str">
        <f>""</f>
        <v/>
      </c>
      <c r="F2432" t="str">
        <f>""</f>
        <v/>
      </c>
      <c r="G2432" t="str">
        <f>""</f>
        <v/>
      </c>
      <c r="I2432" t="str">
        <f t="shared" si="42"/>
        <v>MEDICARE TAXES</v>
      </c>
    </row>
    <row r="2433" spans="1:9" x14ac:dyDescent="0.3">
      <c r="A2433" t="str">
        <f>""</f>
        <v/>
      </c>
      <c r="F2433" t="str">
        <f>"T4 201711296860"</f>
        <v>T4 201711296860</v>
      </c>
      <c r="G2433" t="str">
        <f>"MEDICARE TAXES"</f>
        <v>MEDICARE TAXES</v>
      </c>
      <c r="H2433" s="2">
        <v>892.64</v>
      </c>
      <c r="I2433" t="str">
        <f t="shared" si="42"/>
        <v>MEDICARE TAXES</v>
      </c>
    </row>
    <row r="2434" spans="1:9" x14ac:dyDescent="0.3">
      <c r="A2434" t="str">
        <f>""</f>
        <v/>
      </c>
      <c r="F2434" t="str">
        <f>""</f>
        <v/>
      </c>
      <c r="G2434" t="str">
        <f>""</f>
        <v/>
      </c>
      <c r="I2434" t="str">
        <f t="shared" si="42"/>
        <v>MEDICARE TAXES</v>
      </c>
    </row>
    <row r="2435" spans="1:9" x14ac:dyDescent="0.3">
      <c r="A2435" t="str">
        <f>""</f>
        <v/>
      </c>
      <c r="F2435" t="str">
        <f>"T4 201711296861"</f>
        <v>T4 201711296861</v>
      </c>
      <c r="G2435" t="str">
        <f>"MEDICARE TAXES"</f>
        <v>MEDICARE TAXES</v>
      </c>
      <c r="H2435" s="2">
        <v>1345.74</v>
      </c>
      <c r="I2435" t="str">
        <f t="shared" si="42"/>
        <v>MEDICARE TAXES</v>
      </c>
    </row>
    <row r="2436" spans="1:9" x14ac:dyDescent="0.3">
      <c r="A2436" t="str">
        <f>""</f>
        <v/>
      </c>
      <c r="F2436" t="str">
        <f>""</f>
        <v/>
      </c>
      <c r="G2436" t="str">
        <f>""</f>
        <v/>
      </c>
      <c r="I2436" t="str">
        <f t="shared" si="42"/>
        <v>MEDICARE TAXES</v>
      </c>
    </row>
    <row r="2437" spans="1:9" x14ac:dyDescent="0.3">
      <c r="A2437" t="str">
        <f>"IRSPY"</f>
        <v>IRSPY</v>
      </c>
      <c r="B2437" t="s">
        <v>615</v>
      </c>
      <c r="C2437">
        <v>0</v>
      </c>
      <c r="D2437" s="2">
        <v>220499.03</v>
      </c>
      <c r="E2437" s="1">
        <v>43084</v>
      </c>
      <c r="F2437" t="str">
        <f>"T1 201712137295"</f>
        <v>T1 201712137295</v>
      </c>
      <c r="G2437" t="str">
        <f>"FEDERAL WITHHOLDING"</f>
        <v>FEDERAL WITHHOLDING</v>
      </c>
      <c r="H2437" s="2">
        <v>80110.97</v>
      </c>
      <c r="I2437" t="str">
        <f>"FEDERAL WITHHOLDING"</f>
        <v>FEDERAL WITHHOLDING</v>
      </c>
    </row>
    <row r="2438" spans="1:9" x14ac:dyDescent="0.3">
      <c r="A2438" t="str">
        <f>""</f>
        <v/>
      </c>
      <c r="F2438" t="str">
        <f>"T1 201712137296"</f>
        <v>T1 201712137296</v>
      </c>
      <c r="G2438" t="str">
        <f>"FEDERAL WITHHOLDING"</f>
        <v>FEDERAL WITHHOLDING</v>
      </c>
      <c r="H2438" s="2">
        <v>3420.28</v>
      </c>
      <c r="I2438" t="str">
        <f>"FEDERAL WITHHOLDING"</f>
        <v>FEDERAL WITHHOLDING</v>
      </c>
    </row>
    <row r="2439" spans="1:9" x14ac:dyDescent="0.3">
      <c r="A2439" t="str">
        <f>""</f>
        <v/>
      </c>
      <c r="F2439" t="str">
        <f>"T1 201712137297"</f>
        <v>T1 201712137297</v>
      </c>
      <c r="G2439" t="str">
        <f>"FEDERAL WITHHOLDING"</f>
        <v>FEDERAL WITHHOLDING</v>
      </c>
      <c r="H2439" s="2">
        <v>4659.34</v>
      </c>
      <c r="I2439" t="str">
        <f>"FEDERAL WITHHOLDING"</f>
        <v>FEDERAL WITHHOLDING</v>
      </c>
    </row>
    <row r="2440" spans="1:9" x14ac:dyDescent="0.3">
      <c r="A2440" t="str">
        <f>""</f>
        <v/>
      </c>
      <c r="F2440" t="str">
        <f>"T3 201712137295"</f>
        <v>T3 201712137295</v>
      </c>
      <c r="G2440" t="str">
        <f>"SOCIAL SECURITY TAXES"</f>
        <v>SOCIAL SECURITY TAXES</v>
      </c>
      <c r="H2440" s="2">
        <v>97502.46</v>
      </c>
      <c r="I2440" t="str">
        <f t="shared" ref="I2440:I2471" si="43">"SOCIAL SECURITY TAXES"</f>
        <v>SOCIAL SECURITY TAXES</v>
      </c>
    </row>
    <row r="2441" spans="1:9" x14ac:dyDescent="0.3">
      <c r="A2441" t="str">
        <f>""</f>
        <v/>
      </c>
      <c r="F2441" t="str">
        <f>""</f>
        <v/>
      </c>
      <c r="G2441" t="str">
        <f>""</f>
        <v/>
      </c>
      <c r="I2441" t="str">
        <f t="shared" si="43"/>
        <v>SOCIAL SECURITY TAXES</v>
      </c>
    </row>
    <row r="2442" spans="1:9" x14ac:dyDescent="0.3">
      <c r="A2442" t="str">
        <f>""</f>
        <v/>
      </c>
      <c r="F2442" t="str">
        <f>""</f>
        <v/>
      </c>
      <c r="G2442" t="str">
        <f>""</f>
        <v/>
      </c>
      <c r="I2442" t="str">
        <f t="shared" si="43"/>
        <v>SOCIAL SECURITY TAXES</v>
      </c>
    </row>
    <row r="2443" spans="1:9" x14ac:dyDescent="0.3">
      <c r="A2443" t="str">
        <f>""</f>
        <v/>
      </c>
      <c r="F2443" t="str">
        <f>""</f>
        <v/>
      </c>
      <c r="G2443" t="str">
        <f>""</f>
        <v/>
      </c>
      <c r="I2443" t="str">
        <f t="shared" si="43"/>
        <v>SOCIAL SECURITY TAXES</v>
      </c>
    </row>
    <row r="2444" spans="1:9" x14ac:dyDescent="0.3">
      <c r="A2444" t="str">
        <f>""</f>
        <v/>
      </c>
      <c r="F2444" t="str">
        <f>""</f>
        <v/>
      </c>
      <c r="G2444" t="str">
        <f>""</f>
        <v/>
      </c>
      <c r="I2444" t="str">
        <f t="shared" si="43"/>
        <v>SOCIAL SECURITY TAXES</v>
      </c>
    </row>
    <row r="2445" spans="1:9" x14ac:dyDescent="0.3">
      <c r="A2445" t="str">
        <f>""</f>
        <v/>
      </c>
      <c r="F2445" t="str">
        <f>""</f>
        <v/>
      </c>
      <c r="G2445" t="str">
        <f>""</f>
        <v/>
      </c>
      <c r="I2445" t="str">
        <f t="shared" si="43"/>
        <v>SOCIAL SECURITY TAXES</v>
      </c>
    </row>
    <row r="2446" spans="1:9" x14ac:dyDescent="0.3">
      <c r="A2446" t="str">
        <f>""</f>
        <v/>
      </c>
      <c r="F2446" t="str">
        <f>""</f>
        <v/>
      </c>
      <c r="G2446" t="str">
        <f>""</f>
        <v/>
      </c>
      <c r="I2446" t="str">
        <f t="shared" si="43"/>
        <v>SOCIAL SECURITY TAXES</v>
      </c>
    </row>
    <row r="2447" spans="1:9" x14ac:dyDescent="0.3">
      <c r="A2447" t="str">
        <f>""</f>
        <v/>
      </c>
      <c r="F2447" t="str">
        <f>""</f>
        <v/>
      </c>
      <c r="G2447" t="str">
        <f>""</f>
        <v/>
      </c>
      <c r="I2447" t="str">
        <f t="shared" si="43"/>
        <v>SOCIAL SECURITY TAXES</v>
      </c>
    </row>
    <row r="2448" spans="1:9" x14ac:dyDescent="0.3">
      <c r="A2448" t="str">
        <f>""</f>
        <v/>
      </c>
      <c r="F2448" t="str">
        <f>""</f>
        <v/>
      </c>
      <c r="G2448" t="str">
        <f>""</f>
        <v/>
      </c>
      <c r="I2448" t="str">
        <f t="shared" si="43"/>
        <v>SOCIAL SECURITY TAXES</v>
      </c>
    </row>
    <row r="2449" spans="1:9" x14ac:dyDescent="0.3">
      <c r="A2449" t="str">
        <f>""</f>
        <v/>
      </c>
      <c r="F2449" t="str">
        <f>""</f>
        <v/>
      </c>
      <c r="G2449" t="str">
        <f>""</f>
        <v/>
      </c>
      <c r="I2449" t="str">
        <f t="shared" si="43"/>
        <v>SOCIAL SECURITY TAXES</v>
      </c>
    </row>
    <row r="2450" spans="1:9" x14ac:dyDescent="0.3">
      <c r="A2450" t="str">
        <f>""</f>
        <v/>
      </c>
      <c r="F2450" t="str">
        <f>""</f>
        <v/>
      </c>
      <c r="G2450" t="str">
        <f>""</f>
        <v/>
      </c>
      <c r="I2450" t="str">
        <f t="shared" si="43"/>
        <v>SOCIAL SECURITY TAXES</v>
      </c>
    </row>
    <row r="2451" spans="1:9" x14ac:dyDescent="0.3">
      <c r="A2451" t="str">
        <f>""</f>
        <v/>
      </c>
      <c r="F2451" t="str">
        <f>""</f>
        <v/>
      </c>
      <c r="G2451" t="str">
        <f>""</f>
        <v/>
      </c>
      <c r="I2451" t="str">
        <f t="shared" si="43"/>
        <v>SOCIAL SECURITY TAXES</v>
      </c>
    </row>
    <row r="2452" spans="1:9" x14ac:dyDescent="0.3">
      <c r="A2452" t="str">
        <f>""</f>
        <v/>
      </c>
      <c r="F2452" t="str">
        <f>""</f>
        <v/>
      </c>
      <c r="G2452" t="str">
        <f>""</f>
        <v/>
      </c>
      <c r="I2452" t="str">
        <f t="shared" si="43"/>
        <v>SOCIAL SECURITY TAXES</v>
      </c>
    </row>
    <row r="2453" spans="1:9" x14ac:dyDescent="0.3">
      <c r="A2453" t="str">
        <f>""</f>
        <v/>
      </c>
      <c r="F2453" t="str">
        <f>""</f>
        <v/>
      </c>
      <c r="G2453" t="str">
        <f>""</f>
        <v/>
      </c>
      <c r="I2453" t="str">
        <f t="shared" si="43"/>
        <v>SOCIAL SECURITY TAXES</v>
      </c>
    </row>
    <row r="2454" spans="1:9" x14ac:dyDescent="0.3">
      <c r="A2454" t="str">
        <f>""</f>
        <v/>
      </c>
      <c r="F2454" t="str">
        <f>""</f>
        <v/>
      </c>
      <c r="G2454" t="str">
        <f>""</f>
        <v/>
      </c>
      <c r="I2454" t="str">
        <f t="shared" si="43"/>
        <v>SOCIAL SECURITY TAXES</v>
      </c>
    </row>
    <row r="2455" spans="1:9" x14ac:dyDescent="0.3">
      <c r="A2455" t="str">
        <f>""</f>
        <v/>
      </c>
      <c r="F2455" t="str">
        <f>""</f>
        <v/>
      </c>
      <c r="G2455" t="str">
        <f>""</f>
        <v/>
      </c>
      <c r="I2455" t="str">
        <f t="shared" si="43"/>
        <v>SOCIAL SECURITY TAXES</v>
      </c>
    </row>
    <row r="2456" spans="1:9" x14ac:dyDescent="0.3">
      <c r="A2456" t="str">
        <f>""</f>
        <v/>
      </c>
      <c r="F2456" t="str">
        <f>""</f>
        <v/>
      </c>
      <c r="G2456" t="str">
        <f>""</f>
        <v/>
      </c>
      <c r="I2456" t="str">
        <f t="shared" si="43"/>
        <v>SOCIAL SECURITY TAXES</v>
      </c>
    </row>
    <row r="2457" spans="1:9" x14ac:dyDescent="0.3">
      <c r="A2457" t="str">
        <f>""</f>
        <v/>
      </c>
      <c r="F2457" t="str">
        <f>""</f>
        <v/>
      </c>
      <c r="G2457" t="str">
        <f>""</f>
        <v/>
      </c>
      <c r="I2457" t="str">
        <f t="shared" si="43"/>
        <v>SOCIAL SECURITY TAXES</v>
      </c>
    </row>
    <row r="2458" spans="1:9" x14ac:dyDescent="0.3">
      <c r="A2458" t="str">
        <f>""</f>
        <v/>
      </c>
      <c r="F2458" t="str">
        <f>""</f>
        <v/>
      </c>
      <c r="G2458" t="str">
        <f>""</f>
        <v/>
      </c>
      <c r="I2458" t="str">
        <f t="shared" si="43"/>
        <v>SOCIAL SECURITY TAXES</v>
      </c>
    </row>
    <row r="2459" spans="1:9" x14ac:dyDescent="0.3">
      <c r="A2459" t="str">
        <f>""</f>
        <v/>
      </c>
      <c r="F2459" t="str">
        <f>""</f>
        <v/>
      </c>
      <c r="G2459" t="str">
        <f>""</f>
        <v/>
      </c>
      <c r="I2459" t="str">
        <f t="shared" si="43"/>
        <v>SOCIAL SECURITY TAXES</v>
      </c>
    </row>
    <row r="2460" spans="1:9" x14ac:dyDescent="0.3">
      <c r="A2460" t="str">
        <f>""</f>
        <v/>
      </c>
      <c r="F2460" t="str">
        <f>""</f>
        <v/>
      </c>
      <c r="G2460" t="str">
        <f>""</f>
        <v/>
      </c>
      <c r="I2460" t="str">
        <f t="shared" si="43"/>
        <v>SOCIAL SECURITY TAXES</v>
      </c>
    </row>
    <row r="2461" spans="1:9" x14ac:dyDescent="0.3">
      <c r="A2461" t="str">
        <f>""</f>
        <v/>
      </c>
      <c r="F2461" t="str">
        <f>""</f>
        <v/>
      </c>
      <c r="G2461" t="str">
        <f>""</f>
        <v/>
      </c>
      <c r="I2461" t="str">
        <f t="shared" si="43"/>
        <v>SOCIAL SECURITY TAXES</v>
      </c>
    </row>
    <row r="2462" spans="1:9" x14ac:dyDescent="0.3">
      <c r="A2462" t="str">
        <f>""</f>
        <v/>
      </c>
      <c r="F2462" t="str">
        <f>""</f>
        <v/>
      </c>
      <c r="G2462" t="str">
        <f>""</f>
        <v/>
      </c>
      <c r="I2462" t="str">
        <f t="shared" si="43"/>
        <v>SOCIAL SECURITY TAXES</v>
      </c>
    </row>
    <row r="2463" spans="1:9" x14ac:dyDescent="0.3">
      <c r="A2463" t="str">
        <f>""</f>
        <v/>
      </c>
      <c r="F2463" t="str">
        <f>""</f>
        <v/>
      </c>
      <c r="G2463" t="str">
        <f>""</f>
        <v/>
      </c>
      <c r="I2463" t="str">
        <f t="shared" si="43"/>
        <v>SOCIAL SECURITY TAXES</v>
      </c>
    </row>
    <row r="2464" spans="1:9" x14ac:dyDescent="0.3">
      <c r="A2464" t="str">
        <f>""</f>
        <v/>
      </c>
      <c r="F2464" t="str">
        <f>""</f>
        <v/>
      </c>
      <c r="G2464" t="str">
        <f>""</f>
        <v/>
      </c>
      <c r="I2464" t="str">
        <f t="shared" si="43"/>
        <v>SOCIAL SECURITY TAXES</v>
      </c>
    </row>
    <row r="2465" spans="1:9" x14ac:dyDescent="0.3">
      <c r="A2465" t="str">
        <f>""</f>
        <v/>
      </c>
      <c r="F2465" t="str">
        <f>""</f>
        <v/>
      </c>
      <c r="G2465" t="str">
        <f>""</f>
        <v/>
      </c>
      <c r="I2465" t="str">
        <f t="shared" si="43"/>
        <v>SOCIAL SECURITY TAXES</v>
      </c>
    </row>
    <row r="2466" spans="1:9" x14ac:dyDescent="0.3">
      <c r="A2466" t="str">
        <f>""</f>
        <v/>
      </c>
      <c r="F2466" t="str">
        <f>""</f>
        <v/>
      </c>
      <c r="G2466" t="str">
        <f>""</f>
        <v/>
      </c>
      <c r="I2466" t="str">
        <f t="shared" si="43"/>
        <v>SOCIAL SECURITY TAXES</v>
      </c>
    </row>
    <row r="2467" spans="1:9" x14ac:dyDescent="0.3">
      <c r="A2467" t="str">
        <f>""</f>
        <v/>
      </c>
      <c r="F2467" t="str">
        <f>""</f>
        <v/>
      </c>
      <c r="G2467" t="str">
        <f>""</f>
        <v/>
      </c>
      <c r="I2467" t="str">
        <f t="shared" si="43"/>
        <v>SOCIAL SECURITY TAXES</v>
      </c>
    </row>
    <row r="2468" spans="1:9" x14ac:dyDescent="0.3">
      <c r="A2468" t="str">
        <f>""</f>
        <v/>
      </c>
      <c r="F2468" t="str">
        <f>""</f>
        <v/>
      </c>
      <c r="G2468" t="str">
        <f>""</f>
        <v/>
      </c>
      <c r="I2468" t="str">
        <f t="shared" si="43"/>
        <v>SOCIAL SECURITY TAXES</v>
      </c>
    </row>
    <row r="2469" spans="1:9" x14ac:dyDescent="0.3">
      <c r="A2469" t="str">
        <f>""</f>
        <v/>
      </c>
      <c r="F2469" t="str">
        <f>""</f>
        <v/>
      </c>
      <c r="G2469" t="str">
        <f>""</f>
        <v/>
      </c>
      <c r="I2469" t="str">
        <f t="shared" si="43"/>
        <v>SOCIAL SECURITY TAXES</v>
      </c>
    </row>
    <row r="2470" spans="1:9" x14ac:dyDescent="0.3">
      <c r="A2470" t="str">
        <f>""</f>
        <v/>
      </c>
      <c r="F2470" t="str">
        <f>""</f>
        <v/>
      </c>
      <c r="G2470" t="str">
        <f>""</f>
        <v/>
      </c>
      <c r="I2470" t="str">
        <f t="shared" si="43"/>
        <v>SOCIAL SECURITY TAXES</v>
      </c>
    </row>
    <row r="2471" spans="1:9" x14ac:dyDescent="0.3">
      <c r="A2471" t="str">
        <f>""</f>
        <v/>
      </c>
      <c r="F2471" t="str">
        <f>""</f>
        <v/>
      </c>
      <c r="G2471" t="str">
        <f>""</f>
        <v/>
      </c>
      <c r="I2471" t="str">
        <f t="shared" si="43"/>
        <v>SOCIAL SECURITY TAXES</v>
      </c>
    </row>
    <row r="2472" spans="1:9" x14ac:dyDescent="0.3">
      <c r="A2472" t="str">
        <f>""</f>
        <v/>
      </c>
      <c r="F2472" t="str">
        <f>""</f>
        <v/>
      </c>
      <c r="G2472" t="str">
        <f>""</f>
        <v/>
      </c>
      <c r="I2472" t="str">
        <f t="shared" ref="I2472:I2494" si="44">"SOCIAL SECURITY TAXES"</f>
        <v>SOCIAL SECURITY TAXES</v>
      </c>
    </row>
    <row r="2473" spans="1:9" x14ac:dyDescent="0.3">
      <c r="A2473" t="str">
        <f>""</f>
        <v/>
      </c>
      <c r="F2473" t="str">
        <f>""</f>
        <v/>
      </c>
      <c r="G2473" t="str">
        <f>""</f>
        <v/>
      </c>
      <c r="I2473" t="str">
        <f t="shared" si="44"/>
        <v>SOCIAL SECURITY TAXES</v>
      </c>
    </row>
    <row r="2474" spans="1:9" x14ac:dyDescent="0.3">
      <c r="A2474" t="str">
        <f>""</f>
        <v/>
      </c>
      <c r="F2474" t="str">
        <f>""</f>
        <v/>
      </c>
      <c r="G2474" t="str">
        <f>""</f>
        <v/>
      </c>
      <c r="I2474" t="str">
        <f t="shared" si="44"/>
        <v>SOCIAL SECURITY TAXES</v>
      </c>
    </row>
    <row r="2475" spans="1:9" x14ac:dyDescent="0.3">
      <c r="A2475" t="str">
        <f>""</f>
        <v/>
      </c>
      <c r="F2475" t="str">
        <f>""</f>
        <v/>
      </c>
      <c r="G2475" t="str">
        <f>""</f>
        <v/>
      </c>
      <c r="I2475" t="str">
        <f t="shared" si="44"/>
        <v>SOCIAL SECURITY TAXES</v>
      </c>
    </row>
    <row r="2476" spans="1:9" x14ac:dyDescent="0.3">
      <c r="A2476" t="str">
        <f>""</f>
        <v/>
      </c>
      <c r="F2476" t="str">
        <f>""</f>
        <v/>
      </c>
      <c r="G2476" t="str">
        <f>""</f>
        <v/>
      </c>
      <c r="I2476" t="str">
        <f t="shared" si="44"/>
        <v>SOCIAL SECURITY TAXES</v>
      </c>
    </row>
    <row r="2477" spans="1:9" x14ac:dyDescent="0.3">
      <c r="A2477" t="str">
        <f>""</f>
        <v/>
      </c>
      <c r="F2477" t="str">
        <f>""</f>
        <v/>
      </c>
      <c r="G2477" t="str">
        <f>""</f>
        <v/>
      </c>
      <c r="I2477" t="str">
        <f t="shared" si="44"/>
        <v>SOCIAL SECURITY TAXES</v>
      </c>
    </row>
    <row r="2478" spans="1:9" x14ac:dyDescent="0.3">
      <c r="A2478" t="str">
        <f>""</f>
        <v/>
      </c>
      <c r="F2478" t="str">
        <f>""</f>
        <v/>
      </c>
      <c r="G2478" t="str">
        <f>""</f>
        <v/>
      </c>
      <c r="I2478" t="str">
        <f t="shared" si="44"/>
        <v>SOCIAL SECURITY TAXES</v>
      </c>
    </row>
    <row r="2479" spans="1:9" x14ac:dyDescent="0.3">
      <c r="A2479" t="str">
        <f>""</f>
        <v/>
      </c>
      <c r="F2479" t="str">
        <f>""</f>
        <v/>
      </c>
      <c r="G2479" t="str">
        <f>""</f>
        <v/>
      </c>
      <c r="I2479" t="str">
        <f t="shared" si="44"/>
        <v>SOCIAL SECURITY TAXES</v>
      </c>
    </row>
    <row r="2480" spans="1:9" x14ac:dyDescent="0.3">
      <c r="A2480" t="str">
        <f>""</f>
        <v/>
      </c>
      <c r="F2480" t="str">
        <f>""</f>
        <v/>
      </c>
      <c r="G2480" t="str">
        <f>""</f>
        <v/>
      </c>
      <c r="I2480" t="str">
        <f t="shared" si="44"/>
        <v>SOCIAL SECURITY TAXES</v>
      </c>
    </row>
    <row r="2481" spans="1:9" x14ac:dyDescent="0.3">
      <c r="A2481" t="str">
        <f>""</f>
        <v/>
      </c>
      <c r="F2481" t="str">
        <f>""</f>
        <v/>
      </c>
      <c r="G2481" t="str">
        <f>""</f>
        <v/>
      </c>
      <c r="I2481" t="str">
        <f t="shared" si="44"/>
        <v>SOCIAL SECURITY TAXES</v>
      </c>
    </row>
    <row r="2482" spans="1:9" x14ac:dyDescent="0.3">
      <c r="A2482" t="str">
        <f>""</f>
        <v/>
      </c>
      <c r="F2482" t="str">
        <f>""</f>
        <v/>
      </c>
      <c r="G2482" t="str">
        <f>""</f>
        <v/>
      </c>
      <c r="I2482" t="str">
        <f t="shared" si="44"/>
        <v>SOCIAL SECURITY TAXES</v>
      </c>
    </row>
    <row r="2483" spans="1:9" x14ac:dyDescent="0.3">
      <c r="A2483" t="str">
        <f>""</f>
        <v/>
      </c>
      <c r="F2483" t="str">
        <f>""</f>
        <v/>
      </c>
      <c r="G2483" t="str">
        <f>""</f>
        <v/>
      </c>
      <c r="I2483" t="str">
        <f t="shared" si="44"/>
        <v>SOCIAL SECURITY TAXES</v>
      </c>
    </row>
    <row r="2484" spans="1:9" x14ac:dyDescent="0.3">
      <c r="A2484" t="str">
        <f>""</f>
        <v/>
      </c>
      <c r="F2484" t="str">
        <f>""</f>
        <v/>
      </c>
      <c r="G2484" t="str">
        <f>""</f>
        <v/>
      </c>
      <c r="I2484" t="str">
        <f t="shared" si="44"/>
        <v>SOCIAL SECURITY TAXES</v>
      </c>
    </row>
    <row r="2485" spans="1:9" x14ac:dyDescent="0.3">
      <c r="A2485" t="str">
        <f>""</f>
        <v/>
      </c>
      <c r="F2485" t="str">
        <f>""</f>
        <v/>
      </c>
      <c r="G2485" t="str">
        <f>""</f>
        <v/>
      </c>
      <c r="I2485" t="str">
        <f t="shared" si="44"/>
        <v>SOCIAL SECURITY TAXES</v>
      </c>
    </row>
    <row r="2486" spans="1:9" x14ac:dyDescent="0.3">
      <c r="A2486" t="str">
        <f>""</f>
        <v/>
      </c>
      <c r="F2486" t="str">
        <f>""</f>
        <v/>
      </c>
      <c r="G2486" t="str">
        <f>""</f>
        <v/>
      </c>
      <c r="I2486" t="str">
        <f t="shared" si="44"/>
        <v>SOCIAL SECURITY TAXES</v>
      </c>
    </row>
    <row r="2487" spans="1:9" x14ac:dyDescent="0.3">
      <c r="A2487" t="str">
        <f>""</f>
        <v/>
      </c>
      <c r="F2487" t="str">
        <f>""</f>
        <v/>
      </c>
      <c r="G2487" t="str">
        <f>""</f>
        <v/>
      </c>
      <c r="I2487" t="str">
        <f t="shared" si="44"/>
        <v>SOCIAL SECURITY TAXES</v>
      </c>
    </row>
    <row r="2488" spans="1:9" x14ac:dyDescent="0.3">
      <c r="A2488" t="str">
        <f>""</f>
        <v/>
      </c>
      <c r="F2488" t="str">
        <f>""</f>
        <v/>
      </c>
      <c r="G2488" t="str">
        <f>""</f>
        <v/>
      </c>
      <c r="I2488" t="str">
        <f t="shared" si="44"/>
        <v>SOCIAL SECURITY TAXES</v>
      </c>
    </row>
    <row r="2489" spans="1:9" x14ac:dyDescent="0.3">
      <c r="A2489" t="str">
        <f>""</f>
        <v/>
      </c>
      <c r="F2489" t="str">
        <f>""</f>
        <v/>
      </c>
      <c r="G2489" t="str">
        <f>""</f>
        <v/>
      </c>
      <c r="I2489" t="str">
        <f t="shared" si="44"/>
        <v>SOCIAL SECURITY TAXES</v>
      </c>
    </row>
    <row r="2490" spans="1:9" x14ac:dyDescent="0.3">
      <c r="A2490" t="str">
        <f>""</f>
        <v/>
      </c>
      <c r="F2490" t="str">
        <f>""</f>
        <v/>
      </c>
      <c r="G2490" t="str">
        <f>""</f>
        <v/>
      </c>
      <c r="I2490" t="str">
        <f t="shared" si="44"/>
        <v>SOCIAL SECURITY TAXES</v>
      </c>
    </row>
    <row r="2491" spans="1:9" x14ac:dyDescent="0.3">
      <c r="A2491" t="str">
        <f>""</f>
        <v/>
      </c>
      <c r="F2491" t="str">
        <f>"T3 201712137296"</f>
        <v>T3 201712137296</v>
      </c>
      <c r="G2491" t="str">
        <f>"SOCIAL SECURITY TAXES"</f>
        <v>SOCIAL SECURITY TAXES</v>
      </c>
      <c r="H2491" s="2">
        <v>3967.46</v>
      </c>
      <c r="I2491" t="str">
        <f t="shared" si="44"/>
        <v>SOCIAL SECURITY TAXES</v>
      </c>
    </row>
    <row r="2492" spans="1:9" x14ac:dyDescent="0.3">
      <c r="A2492" t="str">
        <f>""</f>
        <v/>
      </c>
      <c r="F2492" t="str">
        <f>""</f>
        <v/>
      </c>
      <c r="G2492" t="str">
        <f>""</f>
        <v/>
      </c>
      <c r="I2492" t="str">
        <f t="shared" si="44"/>
        <v>SOCIAL SECURITY TAXES</v>
      </c>
    </row>
    <row r="2493" spans="1:9" x14ac:dyDescent="0.3">
      <c r="A2493" t="str">
        <f>""</f>
        <v/>
      </c>
      <c r="F2493" t="str">
        <f>"T3 201712137297"</f>
        <v>T3 201712137297</v>
      </c>
      <c r="G2493" t="str">
        <f>"SOCIAL SECURITY TAXES"</f>
        <v>SOCIAL SECURITY TAXES</v>
      </c>
      <c r="H2493" s="2">
        <v>5634.28</v>
      </c>
      <c r="I2493" t="str">
        <f t="shared" si="44"/>
        <v>SOCIAL SECURITY TAXES</v>
      </c>
    </row>
    <row r="2494" spans="1:9" x14ac:dyDescent="0.3">
      <c r="A2494" t="str">
        <f>""</f>
        <v/>
      </c>
      <c r="F2494" t="str">
        <f>""</f>
        <v/>
      </c>
      <c r="G2494" t="str">
        <f>""</f>
        <v/>
      </c>
      <c r="I2494" t="str">
        <f t="shared" si="44"/>
        <v>SOCIAL SECURITY TAXES</v>
      </c>
    </row>
    <row r="2495" spans="1:9" x14ac:dyDescent="0.3">
      <c r="A2495" t="str">
        <f>""</f>
        <v/>
      </c>
      <c r="F2495" t="str">
        <f>"T4 201712137295"</f>
        <v>T4 201712137295</v>
      </c>
      <c r="G2495" t="str">
        <f>"MEDICARE TAXES"</f>
        <v>MEDICARE TAXES</v>
      </c>
      <c r="H2495" s="2">
        <v>22958.639999999999</v>
      </c>
      <c r="I2495" t="str">
        <f t="shared" ref="I2495:I2526" si="45">"MEDICARE TAXES"</f>
        <v>MEDICARE TAXES</v>
      </c>
    </row>
    <row r="2496" spans="1:9" x14ac:dyDescent="0.3">
      <c r="A2496" t="str">
        <f>""</f>
        <v/>
      </c>
      <c r="F2496" t="str">
        <f>""</f>
        <v/>
      </c>
      <c r="G2496" t="str">
        <f>""</f>
        <v/>
      </c>
      <c r="I2496" t="str">
        <f t="shared" si="45"/>
        <v>MEDICARE TAXES</v>
      </c>
    </row>
    <row r="2497" spans="1:9" x14ac:dyDescent="0.3">
      <c r="A2497" t="str">
        <f>""</f>
        <v/>
      </c>
      <c r="F2497" t="str">
        <f>""</f>
        <v/>
      </c>
      <c r="G2497" t="str">
        <f>""</f>
        <v/>
      </c>
      <c r="I2497" t="str">
        <f t="shared" si="45"/>
        <v>MEDICARE TAXES</v>
      </c>
    </row>
    <row r="2498" spans="1:9" x14ac:dyDescent="0.3">
      <c r="A2498" t="str">
        <f>""</f>
        <v/>
      </c>
      <c r="F2498" t="str">
        <f>""</f>
        <v/>
      </c>
      <c r="G2498" t="str">
        <f>""</f>
        <v/>
      </c>
      <c r="I2498" t="str">
        <f t="shared" si="45"/>
        <v>MEDICARE TAXES</v>
      </c>
    </row>
    <row r="2499" spans="1:9" x14ac:dyDescent="0.3">
      <c r="A2499" t="str">
        <f>""</f>
        <v/>
      </c>
      <c r="F2499" t="str">
        <f>""</f>
        <v/>
      </c>
      <c r="G2499" t="str">
        <f>""</f>
        <v/>
      </c>
      <c r="I2499" t="str">
        <f t="shared" si="45"/>
        <v>MEDICARE TAXES</v>
      </c>
    </row>
    <row r="2500" spans="1:9" x14ac:dyDescent="0.3">
      <c r="A2500" t="str">
        <f>""</f>
        <v/>
      </c>
      <c r="F2500" t="str">
        <f>""</f>
        <v/>
      </c>
      <c r="G2500" t="str">
        <f>""</f>
        <v/>
      </c>
      <c r="I2500" t="str">
        <f t="shared" si="45"/>
        <v>MEDICARE TAXES</v>
      </c>
    </row>
    <row r="2501" spans="1:9" x14ac:dyDescent="0.3">
      <c r="A2501" t="str">
        <f>""</f>
        <v/>
      </c>
      <c r="F2501" t="str">
        <f>""</f>
        <v/>
      </c>
      <c r="G2501" t="str">
        <f>""</f>
        <v/>
      </c>
      <c r="I2501" t="str">
        <f t="shared" si="45"/>
        <v>MEDICARE TAXES</v>
      </c>
    </row>
    <row r="2502" spans="1:9" x14ac:dyDescent="0.3">
      <c r="A2502" t="str">
        <f>""</f>
        <v/>
      </c>
      <c r="F2502" t="str">
        <f>""</f>
        <v/>
      </c>
      <c r="G2502" t="str">
        <f>""</f>
        <v/>
      </c>
      <c r="I2502" t="str">
        <f t="shared" si="45"/>
        <v>MEDICARE TAXES</v>
      </c>
    </row>
    <row r="2503" spans="1:9" x14ac:dyDescent="0.3">
      <c r="A2503" t="str">
        <f>""</f>
        <v/>
      </c>
      <c r="F2503" t="str">
        <f>""</f>
        <v/>
      </c>
      <c r="G2503" t="str">
        <f>""</f>
        <v/>
      </c>
      <c r="I2503" t="str">
        <f t="shared" si="45"/>
        <v>MEDICARE TAXES</v>
      </c>
    </row>
    <row r="2504" spans="1:9" x14ac:dyDescent="0.3">
      <c r="A2504" t="str">
        <f>""</f>
        <v/>
      </c>
      <c r="F2504" t="str">
        <f>""</f>
        <v/>
      </c>
      <c r="G2504" t="str">
        <f>""</f>
        <v/>
      </c>
      <c r="I2504" t="str">
        <f t="shared" si="45"/>
        <v>MEDICARE TAXES</v>
      </c>
    </row>
    <row r="2505" spans="1:9" x14ac:dyDescent="0.3">
      <c r="A2505" t="str">
        <f>""</f>
        <v/>
      </c>
      <c r="F2505" t="str">
        <f>""</f>
        <v/>
      </c>
      <c r="G2505" t="str">
        <f>""</f>
        <v/>
      </c>
      <c r="I2505" t="str">
        <f t="shared" si="45"/>
        <v>MEDICARE TAXES</v>
      </c>
    </row>
    <row r="2506" spans="1:9" x14ac:dyDescent="0.3">
      <c r="A2506" t="str">
        <f>""</f>
        <v/>
      </c>
      <c r="F2506" t="str">
        <f>""</f>
        <v/>
      </c>
      <c r="G2506" t="str">
        <f>""</f>
        <v/>
      </c>
      <c r="I2506" t="str">
        <f t="shared" si="45"/>
        <v>MEDICARE TAXES</v>
      </c>
    </row>
    <row r="2507" spans="1:9" x14ac:dyDescent="0.3">
      <c r="A2507" t="str">
        <f>""</f>
        <v/>
      </c>
      <c r="F2507" t="str">
        <f>""</f>
        <v/>
      </c>
      <c r="G2507" t="str">
        <f>""</f>
        <v/>
      </c>
      <c r="I2507" t="str">
        <f t="shared" si="45"/>
        <v>MEDICARE TAXES</v>
      </c>
    </row>
    <row r="2508" spans="1:9" x14ac:dyDescent="0.3">
      <c r="A2508" t="str">
        <f>""</f>
        <v/>
      </c>
      <c r="F2508" t="str">
        <f>""</f>
        <v/>
      </c>
      <c r="G2508" t="str">
        <f>""</f>
        <v/>
      </c>
      <c r="I2508" t="str">
        <f t="shared" si="45"/>
        <v>MEDICARE TAXES</v>
      </c>
    </row>
    <row r="2509" spans="1:9" x14ac:dyDescent="0.3">
      <c r="A2509" t="str">
        <f>""</f>
        <v/>
      </c>
      <c r="F2509" t="str">
        <f>""</f>
        <v/>
      </c>
      <c r="G2509" t="str">
        <f>""</f>
        <v/>
      </c>
      <c r="I2509" t="str">
        <f t="shared" si="45"/>
        <v>MEDICARE TAXES</v>
      </c>
    </row>
    <row r="2510" spans="1:9" x14ac:dyDescent="0.3">
      <c r="A2510" t="str">
        <f>""</f>
        <v/>
      </c>
      <c r="F2510" t="str">
        <f>""</f>
        <v/>
      </c>
      <c r="G2510" t="str">
        <f>""</f>
        <v/>
      </c>
      <c r="I2510" t="str">
        <f t="shared" si="45"/>
        <v>MEDICARE TAXES</v>
      </c>
    </row>
    <row r="2511" spans="1:9" x14ac:dyDescent="0.3">
      <c r="A2511" t="str">
        <f>""</f>
        <v/>
      </c>
      <c r="F2511" t="str">
        <f>""</f>
        <v/>
      </c>
      <c r="G2511" t="str">
        <f>""</f>
        <v/>
      </c>
      <c r="I2511" t="str">
        <f t="shared" si="45"/>
        <v>MEDICARE TAXES</v>
      </c>
    </row>
    <row r="2512" spans="1:9" x14ac:dyDescent="0.3">
      <c r="A2512" t="str">
        <f>""</f>
        <v/>
      </c>
      <c r="F2512" t="str">
        <f>""</f>
        <v/>
      </c>
      <c r="G2512" t="str">
        <f>""</f>
        <v/>
      </c>
      <c r="I2512" t="str">
        <f t="shared" si="45"/>
        <v>MEDICARE TAXES</v>
      </c>
    </row>
    <row r="2513" spans="1:9" x14ac:dyDescent="0.3">
      <c r="A2513" t="str">
        <f>""</f>
        <v/>
      </c>
      <c r="F2513" t="str">
        <f>""</f>
        <v/>
      </c>
      <c r="G2513" t="str">
        <f>""</f>
        <v/>
      </c>
      <c r="I2513" t="str">
        <f t="shared" si="45"/>
        <v>MEDICARE TAXES</v>
      </c>
    </row>
    <row r="2514" spans="1:9" x14ac:dyDescent="0.3">
      <c r="A2514" t="str">
        <f>""</f>
        <v/>
      </c>
      <c r="F2514" t="str">
        <f>""</f>
        <v/>
      </c>
      <c r="G2514" t="str">
        <f>""</f>
        <v/>
      </c>
      <c r="I2514" t="str">
        <f t="shared" si="45"/>
        <v>MEDICARE TAXES</v>
      </c>
    </row>
    <row r="2515" spans="1:9" x14ac:dyDescent="0.3">
      <c r="A2515" t="str">
        <f>""</f>
        <v/>
      </c>
      <c r="F2515" t="str">
        <f>""</f>
        <v/>
      </c>
      <c r="G2515" t="str">
        <f>""</f>
        <v/>
      </c>
      <c r="I2515" t="str">
        <f t="shared" si="45"/>
        <v>MEDICARE TAXES</v>
      </c>
    </row>
    <row r="2516" spans="1:9" x14ac:dyDescent="0.3">
      <c r="A2516" t="str">
        <f>""</f>
        <v/>
      </c>
      <c r="F2516" t="str">
        <f>""</f>
        <v/>
      </c>
      <c r="G2516" t="str">
        <f>""</f>
        <v/>
      </c>
      <c r="I2516" t="str">
        <f t="shared" si="45"/>
        <v>MEDICARE TAXES</v>
      </c>
    </row>
    <row r="2517" spans="1:9" x14ac:dyDescent="0.3">
      <c r="A2517" t="str">
        <f>""</f>
        <v/>
      </c>
      <c r="F2517" t="str">
        <f>""</f>
        <v/>
      </c>
      <c r="G2517" t="str">
        <f>""</f>
        <v/>
      </c>
      <c r="I2517" t="str">
        <f t="shared" si="45"/>
        <v>MEDICARE TAXES</v>
      </c>
    </row>
    <row r="2518" spans="1:9" x14ac:dyDescent="0.3">
      <c r="A2518" t="str">
        <f>""</f>
        <v/>
      </c>
      <c r="F2518" t="str">
        <f>""</f>
        <v/>
      </c>
      <c r="G2518" t="str">
        <f>""</f>
        <v/>
      </c>
      <c r="I2518" t="str">
        <f t="shared" si="45"/>
        <v>MEDICARE TAXES</v>
      </c>
    </row>
    <row r="2519" spans="1:9" x14ac:dyDescent="0.3">
      <c r="A2519" t="str">
        <f>""</f>
        <v/>
      </c>
      <c r="F2519" t="str">
        <f>""</f>
        <v/>
      </c>
      <c r="G2519" t="str">
        <f>""</f>
        <v/>
      </c>
      <c r="I2519" t="str">
        <f t="shared" si="45"/>
        <v>MEDICARE TAXES</v>
      </c>
    </row>
    <row r="2520" spans="1:9" x14ac:dyDescent="0.3">
      <c r="A2520" t="str">
        <f>""</f>
        <v/>
      </c>
      <c r="F2520" t="str">
        <f>""</f>
        <v/>
      </c>
      <c r="G2520" t="str">
        <f>""</f>
        <v/>
      </c>
      <c r="I2520" t="str">
        <f t="shared" si="45"/>
        <v>MEDICARE TAXES</v>
      </c>
    </row>
    <row r="2521" spans="1:9" x14ac:dyDescent="0.3">
      <c r="A2521" t="str">
        <f>""</f>
        <v/>
      </c>
      <c r="F2521" t="str">
        <f>""</f>
        <v/>
      </c>
      <c r="G2521" t="str">
        <f>""</f>
        <v/>
      </c>
      <c r="I2521" t="str">
        <f t="shared" si="45"/>
        <v>MEDICARE TAXES</v>
      </c>
    </row>
    <row r="2522" spans="1:9" x14ac:dyDescent="0.3">
      <c r="A2522" t="str">
        <f>""</f>
        <v/>
      </c>
      <c r="F2522" t="str">
        <f>""</f>
        <v/>
      </c>
      <c r="G2522" t="str">
        <f>""</f>
        <v/>
      </c>
      <c r="I2522" t="str">
        <f t="shared" si="45"/>
        <v>MEDICARE TAXES</v>
      </c>
    </row>
    <row r="2523" spans="1:9" x14ac:dyDescent="0.3">
      <c r="A2523" t="str">
        <f>""</f>
        <v/>
      </c>
      <c r="F2523" t="str">
        <f>""</f>
        <v/>
      </c>
      <c r="G2523" t="str">
        <f>""</f>
        <v/>
      </c>
      <c r="I2523" t="str">
        <f t="shared" si="45"/>
        <v>MEDICARE TAXES</v>
      </c>
    </row>
    <row r="2524" spans="1:9" x14ac:dyDescent="0.3">
      <c r="A2524" t="str">
        <f>""</f>
        <v/>
      </c>
      <c r="F2524" t="str">
        <f>""</f>
        <v/>
      </c>
      <c r="G2524" t="str">
        <f>""</f>
        <v/>
      </c>
      <c r="I2524" t="str">
        <f t="shared" si="45"/>
        <v>MEDICARE TAXES</v>
      </c>
    </row>
    <row r="2525" spans="1:9" x14ac:dyDescent="0.3">
      <c r="A2525" t="str">
        <f>""</f>
        <v/>
      </c>
      <c r="F2525" t="str">
        <f>""</f>
        <v/>
      </c>
      <c r="G2525" t="str">
        <f>""</f>
        <v/>
      </c>
      <c r="I2525" t="str">
        <f t="shared" si="45"/>
        <v>MEDICARE TAXES</v>
      </c>
    </row>
    <row r="2526" spans="1:9" x14ac:dyDescent="0.3">
      <c r="A2526" t="str">
        <f>""</f>
        <v/>
      </c>
      <c r="F2526" t="str">
        <f>""</f>
        <v/>
      </c>
      <c r="G2526" t="str">
        <f>""</f>
        <v/>
      </c>
      <c r="I2526" t="str">
        <f t="shared" si="45"/>
        <v>MEDICARE TAXES</v>
      </c>
    </row>
    <row r="2527" spans="1:9" x14ac:dyDescent="0.3">
      <c r="A2527" t="str">
        <f>""</f>
        <v/>
      </c>
      <c r="F2527" t="str">
        <f>""</f>
        <v/>
      </c>
      <c r="G2527" t="str">
        <f>""</f>
        <v/>
      </c>
      <c r="I2527" t="str">
        <f t="shared" ref="I2527:I2549" si="46">"MEDICARE TAXES"</f>
        <v>MEDICARE TAXES</v>
      </c>
    </row>
    <row r="2528" spans="1:9" x14ac:dyDescent="0.3">
      <c r="A2528" t="str">
        <f>""</f>
        <v/>
      </c>
      <c r="F2528" t="str">
        <f>""</f>
        <v/>
      </c>
      <c r="G2528" t="str">
        <f>""</f>
        <v/>
      </c>
      <c r="I2528" t="str">
        <f t="shared" si="46"/>
        <v>MEDICARE TAXES</v>
      </c>
    </row>
    <row r="2529" spans="1:9" x14ac:dyDescent="0.3">
      <c r="A2529" t="str">
        <f>""</f>
        <v/>
      </c>
      <c r="F2529" t="str">
        <f>""</f>
        <v/>
      </c>
      <c r="G2529" t="str">
        <f>""</f>
        <v/>
      </c>
      <c r="I2529" t="str">
        <f t="shared" si="46"/>
        <v>MEDICARE TAXES</v>
      </c>
    </row>
    <row r="2530" spans="1:9" x14ac:dyDescent="0.3">
      <c r="A2530" t="str">
        <f>""</f>
        <v/>
      </c>
      <c r="F2530" t="str">
        <f>""</f>
        <v/>
      </c>
      <c r="G2530" t="str">
        <f>""</f>
        <v/>
      </c>
      <c r="I2530" t="str">
        <f t="shared" si="46"/>
        <v>MEDICARE TAXES</v>
      </c>
    </row>
    <row r="2531" spans="1:9" x14ac:dyDescent="0.3">
      <c r="A2531" t="str">
        <f>""</f>
        <v/>
      </c>
      <c r="F2531" t="str">
        <f>""</f>
        <v/>
      </c>
      <c r="G2531" t="str">
        <f>""</f>
        <v/>
      </c>
      <c r="I2531" t="str">
        <f t="shared" si="46"/>
        <v>MEDICARE TAXES</v>
      </c>
    </row>
    <row r="2532" spans="1:9" x14ac:dyDescent="0.3">
      <c r="A2532" t="str">
        <f>""</f>
        <v/>
      </c>
      <c r="F2532" t="str">
        <f>""</f>
        <v/>
      </c>
      <c r="G2532" t="str">
        <f>""</f>
        <v/>
      </c>
      <c r="I2532" t="str">
        <f t="shared" si="46"/>
        <v>MEDICARE TAXES</v>
      </c>
    </row>
    <row r="2533" spans="1:9" x14ac:dyDescent="0.3">
      <c r="A2533" t="str">
        <f>""</f>
        <v/>
      </c>
      <c r="F2533" t="str">
        <f>""</f>
        <v/>
      </c>
      <c r="G2533" t="str">
        <f>""</f>
        <v/>
      </c>
      <c r="I2533" t="str">
        <f t="shared" si="46"/>
        <v>MEDICARE TAXES</v>
      </c>
    </row>
    <row r="2534" spans="1:9" x14ac:dyDescent="0.3">
      <c r="A2534" t="str">
        <f>""</f>
        <v/>
      </c>
      <c r="F2534" t="str">
        <f>""</f>
        <v/>
      </c>
      <c r="G2534" t="str">
        <f>""</f>
        <v/>
      </c>
      <c r="I2534" t="str">
        <f t="shared" si="46"/>
        <v>MEDICARE TAXES</v>
      </c>
    </row>
    <row r="2535" spans="1:9" x14ac:dyDescent="0.3">
      <c r="A2535" t="str">
        <f>""</f>
        <v/>
      </c>
      <c r="F2535" t="str">
        <f>""</f>
        <v/>
      </c>
      <c r="G2535" t="str">
        <f>""</f>
        <v/>
      </c>
      <c r="I2535" t="str">
        <f t="shared" si="46"/>
        <v>MEDICARE TAXES</v>
      </c>
    </row>
    <row r="2536" spans="1:9" x14ac:dyDescent="0.3">
      <c r="A2536" t="str">
        <f>""</f>
        <v/>
      </c>
      <c r="F2536" t="str">
        <f>""</f>
        <v/>
      </c>
      <c r="G2536" t="str">
        <f>""</f>
        <v/>
      </c>
      <c r="I2536" t="str">
        <f t="shared" si="46"/>
        <v>MEDICARE TAXES</v>
      </c>
    </row>
    <row r="2537" spans="1:9" x14ac:dyDescent="0.3">
      <c r="A2537" t="str">
        <f>""</f>
        <v/>
      </c>
      <c r="F2537" t="str">
        <f>""</f>
        <v/>
      </c>
      <c r="G2537" t="str">
        <f>""</f>
        <v/>
      </c>
      <c r="I2537" t="str">
        <f t="shared" si="46"/>
        <v>MEDICARE TAXES</v>
      </c>
    </row>
    <row r="2538" spans="1:9" x14ac:dyDescent="0.3">
      <c r="A2538" t="str">
        <f>""</f>
        <v/>
      </c>
      <c r="F2538" t="str">
        <f>""</f>
        <v/>
      </c>
      <c r="G2538" t="str">
        <f>""</f>
        <v/>
      </c>
      <c r="I2538" t="str">
        <f t="shared" si="46"/>
        <v>MEDICARE TAXES</v>
      </c>
    </row>
    <row r="2539" spans="1:9" x14ac:dyDescent="0.3">
      <c r="A2539" t="str">
        <f>""</f>
        <v/>
      </c>
      <c r="F2539" t="str">
        <f>""</f>
        <v/>
      </c>
      <c r="G2539" t="str">
        <f>""</f>
        <v/>
      </c>
      <c r="I2539" t="str">
        <f t="shared" si="46"/>
        <v>MEDICARE TAXES</v>
      </c>
    </row>
    <row r="2540" spans="1:9" x14ac:dyDescent="0.3">
      <c r="A2540" t="str">
        <f>""</f>
        <v/>
      </c>
      <c r="F2540" t="str">
        <f>""</f>
        <v/>
      </c>
      <c r="G2540" t="str">
        <f>""</f>
        <v/>
      </c>
      <c r="I2540" t="str">
        <f t="shared" si="46"/>
        <v>MEDICARE TAXES</v>
      </c>
    </row>
    <row r="2541" spans="1:9" x14ac:dyDescent="0.3">
      <c r="A2541" t="str">
        <f>""</f>
        <v/>
      </c>
      <c r="F2541" t="str">
        <f>""</f>
        <v/>
      </c>
      <c r="G2541" t="str">
        <f>""</f>
        <v/>
      </c>
      <c r="I2541" t="str">
        <f t="shared" si="46"/>
        <v>MEDICARE TAXES</v>
      </c>
    </row>
    <row r="2542" spans="1:9" x14ac:dyDescent="0.3">
      <c r="A2542" t="str">
        <f>""</f>
        <v/>
      </c>
      <c r="F2542" t="str">
        <f>""</f>
        <v/>
      </c>
      <c r="G2542" t="str">
        <f>""</f>
        <v/>
      </c>
      <c r="I2542" t="str">
        <f t="shared" si="46"/>
        <v>MEDICARE TAXES</v>
      </c>
    </row>
    <row r="2543" spans="1:9" x14ac:dyDescent="0.3">
      <c r="A2543" t="str">
        <f>""</f>
        <v/>
      </c>
      <c r="F2543" t="str">
        <f>""</f>
        <v/>
      </c>
      <c r="G2543" t="str">
        <f>""</f>
        <v/>
      </c>
      <c r="I2543" t="str">
        <f t="shared" si="46"/>
        <v>MEDICARE TAXES</v>
      </c>
    </row>
    <row r="2544" spans="1:9" x14ac:dyDescent="0.3">
      <c r="A2544" t="str">
        <f>""</f>
        <v/>
      </c>
      <c r="F2544" t="str">
        <f>""</f>
        <v/>
      </c>
      <c r="G2544" t="str">
        <f>""</f>
        <v/>
      </c>
      <c r="I2544" t="str">
        <f t="shared" si="46"/>
        <v>MEDICARE TAXES</v>
      </c>
    </row>
    <row r="2545" spans="1:9" x14ac:dyDescent="0.3">
      <c r="A2545" t="str">
        <f>""</f>
        <v/>
      </c>
      <c r="F2545" t="str">
        <f>""</f>
        <v/>
      </c>
      <c r="G2545" t="str">
        <f>""</f>
        <v/>
      </c>
      <c r="I2545" t="str">
        <f t="shared" si="46"/>
        <v>MEDICARE TAXES</v>
      </c>
    </row>
    <row r="2546" spans="1:9" x14ac:dyDescent="0.3">
      <c r="A2546" t="str">
        <f>""</f>
        <v/>
      </c>
      <c r="F2546" t="str">
        <f>"T4 201712137296"</f>
        <v>T4 201712137296</v>
      </c>
      <c r="G2546" t="str">
        <f>"MEDICARE TAXES"</f>
        <v>MEDICARE TAXES</v>
      </c>
      <c r="H2546" s="2">
        <v>927.88</v>
      </c>
      <c r="I2546" t="str">
        <f t="shared" si="46"/>
        <v>MEDICARE TAXES</v>
      </c>
    </row>
    <row r="2547" spans="1:9" x14ac:dyDescent="0.3">
      <c r="A2547" t="str">
        <f>""</f>
        <v/>
      </c>
      <c r="F2547" t="str">
        <f>""</f>
        <v/>
      </c>
      <c r="G2547" t="str">
        <f>""</f>
        <v/>
      </c>
      <c r="I2547" t="str">
        <f t="shared" si="46"/>
        <v>MEDICARE TAXES</v>
      </c>
    </row>
    <row r="2548" spans="1:9" x14ac:dyDescent="0.3">
      <c r="A2548" t="str">
        <f>""</f>
        <v/>
      </c>
      <c r="F2548" t="str">
        <f>"T4 201712137297"</f>
        <v>T4 201712137297</v>
      </c>
      <c r="G2548" t="str">
        <f>"MEDICARE TAXES"</f>
        <v>MEDICARE TAXES</v>
      </c>
      <c r="H2548" s="2">
        <v>1317.72</v>
      </c>
      <c r="I2548" t="str">
        <f t="shared" si="46"/>
        <v>MEDICARE TAXES</v>
      </c>
    </row>
    <row r="2549" spans="1:9" x14ac:dyDescent="0.3">
      <c r="A2549" t="str">
        <f>""</f>
        <v/>
      </c>
      <c r="F2549" t="str">
        <f>""</f>
        <v/>
      </c>
      <c r="G2549" t="str">
        <f>""</f>
        <v/>
      </c>
      <c r="I2549" t="str">
        <f t="shared" si="46"/>
        <v>MEDICARE TAXES</v>
      </c>
    </row>
    <row r="2550" spans="1:9" x14ac:dyDescent="0.3">
      <c r="A2550" t="str">
        <f>"IRSPY"</f>
        <v>IRSPY</v>
      </c>
      <c r="B2550" t="s">
        <v>615</v>
      </c>
      <c r="C2550">
        <v>0</v>
      </c>
      <c r="D2550" s="2">
        <v>229596.36</v>
      </c>
      <c r="E2550" s="1">
        <v>43098</v>
      </c>
      <c r="F2550" t="str">
        <f>"T1 201712287505"</f>
        <v>T1 201712287505</v>
      </c>
      <c r="G2550" t="str">
        <f>"FEDERAL WITHHOLDING"</f>
        <v>FEDERAL WITHHOLDING</v>
      </c>
      <c r="H2550" s="2">
        <v>84566.84</v>
      </c>
      <c r="I2550" t="str">
        <f>"FEDERAL WITHHOLDING"</f>
        <v>FEDERAL WITHHOLDING</v>
      </c>
    </row>
    <row r="2551" spans="1:9" x14ac:dyDescent="0.3">
      <c r="A2551" t="str">
        <f>""</f>
        <v/>
      </c>
      <c r="F2551" t="str">
        <f>"T1 201712287506"</f>
        <v>T1 201712287506</v>
      </c>
      <c r="G2551" t="str">
        <f>"FEDERAL WITHHOLDING"</f>
        <v>FEDERAL WITHHOLDING</v>
      </c>
      <c r="H2551" s="2">
        <v>3684.57</v>
      </c>
      <c r="I2551" t="str">
        <f>"FEDERAL WITHHOLDING"</f>
        <v>FEDERAL WITHHOLDING</v>
      </c>
    </row>
    <row r="2552" spans="1:9" x14ac:dyDescent="0.3">
      <c r="A2552" t="str">
        <f>""</f>
        <v/>
      </c>
      <c r="F2552" t="str">
        <f>"T1 201712287507"</f>
        <v>T1 201712287507</v>
      </c>
      <c r="G2552" t="str">
        <f>"FEDERAL WITHHOLDING"</f>
        <v>FEDERAL WITHHOLDING</v>
      </c>
      <c r="H2552" s="2">
        <v>4983.2299999999996</v>
      </c>
      <c r="I2552" t="str">
        <f>"FEDERAL WITHHOLDING"</f>
        <v>FEDERAL WITHHOLDING</v>
      </c>
    </row>
    <row r="2553" spans="1:9" x14ac:dyDescent="0.3">
      <c r="A2553" t="str">
        <f>""</f>
        <v/>
      </c>
      <c r="F2553" t="str">
        <f>"T3 201712287505"</f>
        <v>T3 201712287505</v>
      </c>
      <c r="G2553" t="str">
        <f>"SOCIAL SECURITY TAXES"</f>
        <v>SOCIAL SECURITY TAXES</v>
      </c>
      <c r="H2553" s="2">
        <v>100396.34</v>
      </c>
      <c r="I2553" t="str">
        <f t="shared" ref="I2553:I2584" si="47">"SOCIAL SECURITY TAXES"</f>
        <v>SOCIAL SECURITY TAXES</v>
      </c>
    </row>
    <row r="2554" spans="1:9" x14ac:dyDescent="0.3">
      <c r="A2554" t="str">
        <f>""</f>
        <v/>
      </c>
      <c r="F2554" t="str">
        <f>""</f>
        <v/>
      </c>
      <c r="G2554" t="str">
        <f>""</f>
        <v/>
      </c>
      <c r="I2554" t="str">
        <f t="shared" si="47"/>
        <v>SOCIAL SECURITY TAXES</v>
      </c>
    </row>
    <row r="2555" spans="1:9" x14ac:dyDescent="0.3">
      <c r="A2555" t="str">
        <f>""</f>
        <v/>
      </c>
      <c r="F2555" t="str">
        <f>""</f>
        <v/>
      </c>
      <c r="G2555" t="str">
        <f>""</f>
        <v/>
      </c>
      <c r="I2555" t="str">
        <f t="shared" si="47"/>
        <v>SOCIAL SECURITY TAXES</v>
      </c>
    </row>
    <row r="2556" spans="1:9" x14ac:dyDescent="0.3">
      <c r="A2556" t="str">
        <f>""</f>
        <v/>
      </c>
      <c r="F2556" t="str">
        <f>""</f>
        <v/>
      </c>
      <c r="G2556" t="str">
        <f>""</f>
        <v/>
      </c>
      <c r="I2556" t="str">
        <f t="shared" si="47"/>
        <v>SOCIAL SECURITY TAXES</v>
      </c>
    </row>
    <row r="2557" spans="1:9" x14ac:dyDescent="0.3">
      <c r="A2557" t="str">
        <f>""</f>
        <v/>
      </c>
      <c r="F2557" t="str">
        <f>""</f>
        <v/>
      </c>
      <c r="G2557" t="str">
        <f>""</f>
        <v/>
      </c>
      <c r="I2557" t="str">
        <f t="shared" si="47"/>
        <v>SOCIAL SECURITY TAXES</v>
      </c>
    </row>
    <row r="2558" spans="1:9" x14ac:dyDescent="0.3">
      <c r="A2558" t="str">
        <f>""</f>
        <v/>
      </c>
      <c r="F2558" t="str">
        <f>""</f>
        <v/>
      </c>
      <c r="G2558" t="str">
        <f>""</f>
        <v/>
      </c>
      <c r="I2558" t="str">
        <f t="shared" si="47"/>
        <v>SOCIAL SECURITY TAXES</v>
      </c>
    </row>
    <row r="2559" spans="1:9" x14ac:dyDescent="0.3">
      <c r="A2559" t="str">
        <f>""</f>
        <v/>
      </c>
      <c r="F2559" t="str">
        <f>""</f>
        <v/>
      </c>
      <c r="G2559" t="str">
        <f>""</f>
        <v/>
      </c>
      <c r="I2559" t="str">
        <f t="shared" si="47"/>
        <v>SOCIAL SECURITY TAXES</v>
      </c>
    </row>
    <row r="2560" spans="1:9" x14ac:dyDescent="0.3">
      <c r="A2560" t="str">
        <f>""</f>
        <v/>
      </c>
      <c r="F2560" t="str">
        <f>""</f>
        <v/>
      </c>
      <c r="G2560" t="str">
        <f>""</f>
        <v/>
      </c>
      <c r="I2560" t="str">
        <f t="shared" si="47"/>
        <v>SOCIAL SECURITY TAXES</v>
      </c>
    </row>
    <row r="2561" spans="1:9" x14ac:dyDescent="0.3">
      <c r="A2561" t="str">
        <f>""</f>
        <v/>
      </c>
      <c r="F2561" t="str">
        <f>""</f>
        <v/>
      </c>
      <c r="G2561" t="str">
        <f>""</f>
        <v/>
      </c>
      <c r="I2561" t="str">
        <f t="shared" si="47"/>
        <v>SOCIAL SECURITY TAXES</v>
      </c>
    </row>
    <row r="2562" spans="1:9" x14ac:dyDescent="0.3">
      <c r="A2562" t="str">
        <f>""</f>
        <v/>
      </c>
      <c r="F2562" t="str">
        <f>""</f>
        <v/>
      </c>
      <c r="G2562" t="str">
        <f>""</f>
        <v/>
      </c>
      <c r="I2562" t="str">
        <f t="shared" si="47"/>
        <v>SOCIAL SECURITY TAXES</v>
      </c>
    </row>
    <row r="2563" spans="1:9" x14ac:dyDescent="0.3">
      <c r="A2563" t="str">
        <f>""</f>
        <v/>
      </c>
      <c r="F2563" t="str">
        <f>""</f>
        <v/>
      </c>
      <c r="G2563" t="str">
        <f>""</f>
        <v/>
      </c>
      <c r="I2563" t="str">
        <f t="shared" si="47"/>
        <v>SOCIAL SECURITY TAXES</v>
      </c>
    </row>
    <row r="2564" spans="1:9" x14ac:dyDescent="0.3">
      <c r="A2564" t="str">
        <f>""</f>
        <v/>
      </c>
      <c r="F2564" t="str">
        <f>""</f>
        <v/>
      </c>
      <c r="G2564" t="str">
        <f>""</f>
        <v/>
      </c>
      <c r="I2564" t="str">
        <f t="shared" si="47"/>
        <v>SOCIAL SECURITY TAXES</v>
      </c>
    </row>
    <row r="2565" spans="1:9" x14ac:dyDescent="0.3">
      <c r="A2565" t="str">
        <f>""</f>
        <v/>
      </c>
      <c r="F2565" t="str">
        <f>""</f>
        <v/>
      </c>
      <c r="G2565" t="str">
        <f>""</f>
        <v/>
      </c>
      <c r="I2565" t="str">
        <f t="shared" si="47"/>
        <v>SOCIAL SECURITY TAXES</v>
      </c>
    </row>
    <row r="2566" spans="1:9" x14ac:dyDescent="0.3">
      <c r="A2566" t="str">
        <f>""</f>
        <v/>
      </c>
      <c r="F2566" t="str">
        <f>""</f>
        <v/>
      </c>
      <c r="G2566" t="str">
        <f>""</f>
        <v/>
      </c>
      <c r="I2566" t="str">
        <f t="shared" si="47"/>
        <v>SOCIAL SECURITY TAXES</v>
      </c>
    </row>
    <row r="2567" spans="1:9" x14ac:dyDescent="0.3">
      <c r="A2567" t="str">
        <f>""</f>
        <v/>
      </c>
      <c r="F2567" t="str">
        <f>""</f>
        <v/>
      </c>
      <c r="G2567" t="str">
        <f>""</f>
        <v/>
      </c>
      <c r="I2567" t="str">
        <f t="shared" si="47"/>
        <v>SOCIAL SECURITY TAXES</v>
      </c>
    </row>
    <row r="2568" spans="1:9" x14ac:dyDescent="0.3">
      <c r="A2568" t="str">
        <f>""</f>
        <v/>
      </c>
      <c r="F2568" t="str">
        <f>""</f>
        <v/>
      </c>
      <c r="G2568" t="str">
        <f>""</f>
        <v/>
      </c>
      <c r="I2568" t="str">
        <f t="shared" si="47"/>
        <v>SOCIAL SECURITY TAXES</v>
      </c>
    </row>
    <row r="2569" spans="1:9" x14ac:dyDescent="0.3">
      <c r="A2569" t="str">
        <f>""</f>
        <v/>
      </c>
      <c r="F2569" t="str">
        <f>""</f>
        <v/>
      </c>
      <c r="G2569" t="str">
        <f>""</f>
        <v/>
      </c>
      <c r="I2569" t="str">
        <f t="shared" si="47"/>
        <v>SOCIAL SECURITY TAXES</v>
      </c>
    </row>
    <row r="2570" spans="1:9" x14ac:dyDescent="0.3">
      <c r="A2570" t="str">
        <f>""</f>
        <v/>
      </c>
      <c r="F2570" t="str">
        <f>""</f>
        <v/>
      </c>
      <c r="G2570" t="str">
        <f>""</f>
        <v/>
      </c>
      <c r="I2570" t="str">
        <f t="shared" si="47"/>
        <v>SOCIAL SECURITY TAXES</v>
      </c>
    </row>
    <row r="2571" spans="1:9" x14ac:dyDescent="0.3">
      <c r="A2571" t="str">
        <f>""</f>
        <v/>
      </c>
      <c r="F2571" t="str">
        <f>""</f>
        <v/>
      </c>
      <c r="G2571" t="str">
        <f>""</f>
        <v/>
      </c>
      <c r="I2571" t="str">
        <f t="shared" si="47"/>
        <v>SOCIAL SECURITY TAXES</v>
      </c>
    </row>
    <row r="2572" spans="1:9" x14ac:dyDescent="0.3">
      <c r="A2572" t="str">
        <f>""</f>
        <v/>
      </c>
      <c r="F2572" t="str">
        <f>""</f>
        <v/>
      </c>
      <c r="G2572" t="str">
        <f>""</f>
        <v/>
      </c>
      <c r="I2572" t="str">
        <f t="shared" si="47"/>
        <v>SOCIAL SECURITY TAXES</v>
      </c>
    </row>
    <row r="2573" spans="1:9" x14ac:dyDescent="0.3">
      <c r="A2573" t="str">
        <f>""</f>
        <v/>
      </c>
      <c r="F2573" t="str">
        <f>""</f>
        <v/>
      </c>
      <c r="G2573" t="str">
        <f>""</f>
        <v/>
      </c>
      <c r="I2573" t="str">
        <f t="shared" si="47"/>
        <v>SOCIAL SECURITY TAXES</v>
      </c>
    </row>
    <row r="2574" spans="1:9" x14ac:dyDescent="0.3">
      <c r="A2574" t="str">
        <f>""</f>
        <v/>
      </c>
      <c r="F2574" t="str">
        <f>""</f>
        <v/>
      </c>
      <c r="G2574" t="str">
        <f>""</f>
        <v/>
      </c>
      <c r="I2574" t="str">
        <f t="shared" si="47"/>
        <v>SOCIAL SECURITY TAXES</v>
      </c>
    </row>
    <row r="2575" spans="1:9" x14ac:dyDescent="0.3">
      <c r="A2575" t="str">
        <f>""</f>
        <v/>
      </c>
      <c r="F2575" t="str">
        <f>""</f>
        <v/>
      </c>
      <c r="G2575" t="str">
        <f>""</f>
        <v/>
      </c>
      <c r="I2575" t="str">
        <f t="shared" si="47"/>
        <v>SOCIAL SECURITY TAXES</v>
      </c>
    </row>
    <row r="2576" spans="1:9" x14ac:dyDescent="0.3">
      <c r="A2576" t="str">
        <f>""</f>
        <v/>
      </c>
      <c r="F2576" t="str">
        <f>""</f>
        <v/>
      </c>
      <c r="G2576" t="str">
        <f>""</f>
        <v/>
      </c>
      <c r="I2576" t="str">
        <f t="shared" si="47"/>
        <v>SOCIAL SECURITY TAXES</v>
      </c>
    </row>
    <row r="2577" spans="1:9" x14ac:dyDescent="0.3">
      <c r="A2577" t="str">
        <f>""</f>
        <v/>
      </c>
      <c r="F2577" t="str">
        <f>""</f>
        <v/>
      </c>
      <c r="G2577" t="str">
        <f>""</f>
        <v/>
      </c>
      <c r="I2577" t="str">
        <f t="shared" si="47"/>
        <v>SOCIAL SECURITY TAXES</v>
      </c>
    </row>
    <row r="2578" spans="1:9" x14ac:dyDescent="0.3">
      <c r="A2578" t="str">
        <f>""</f>
        <v/>
      </c>
      <c r="F2578" t="str">
        <f>""</f>
        <v/>
      </c>
      <c r="G2578" t="str">
        <f>""</f>
        <v/>
      </c>
      <c r="I2578" t="str">
        <f t="shared" si="47"/>
        <v>SOCIAL SECURITY TAXES</v>
      </c>
    </row>
    <row r="2579" spans="1:9" x14ac:dyDescent="0.3">
      <c r="A2579" t="str">
        <f>""</f>
        <v/>
      </c>
      <c r="F2579" t="str">
        <f>""</f>
        <v/>
      </c>
      <c r="G2579" t="str">
        <f>""</f>
        <v/>
      </c>
      <c r="I2579" t="str">
        <f t="shared" si="47"/>
        <v>SOCIAL SECURITY TAXES</v>
      </c>
    </row>
    <row r="2580" spans="1:9" x14ac:dyDescent="0.3">
      <c r="A2580" t="str">
        <f>""</f>
        <v/>
      </c>
      <c r="F2580" t="str">
        <f>""</f>
        <v/>
      </c>
      <c r="G2580" t="str">
        <f>""</f>
        <v/>
      </c>
      <c r="I2580" t="str">
        <f t="shared" si="47"/>
        <v>SOCIAL SECURITY TAXES</v>
      </c>
    </row>
    <row r="2581" spans="1:9" x14ac:dyDescent="0.3">
      <c r="A2581" t="str">
        <f>""</f>
        <v/>
      </c>
      <c r="F2581" t="str">
        <f>""</f>
        <v/>
      </c>
      <c r="G2581" t="str">
        <f>""</f>
        <v/>
      </c>
      <c r="I2581" t="str">
        <f t="shared" si="47"/>
        <v>SOCIAL SECURITY TAXES</v>
      </c>
    </row>
    <row r="2582" spans="1:9" x14ac:dyDescent="0.3">
      <c r="A2582" t="str">
        <f>""</f>
        <v/>
      </c>
      <c r="F2582" t="str">
        <f>""</f>
        <v/>
      </c>
      <c r="G2582" t="str">
        <f>""</f>
        <v/>
      </c>
      <c r="I2582" t="str">
        <f t="shared" si="47"/>
        <v>SOCIAL SECURITY TAXES</v>
      </c>
    </row>
    <row r="2583" spans="1:9" x14ac:dyDescent="0.3">
      <c r="A2583" t="str">
        <f>""</f>
        <v/>
      </c>
      <c r="F2583" t="str">
        <f>""</f>
        <v/>
      </c>
      <c r="G2583" t="str">
        <f>""</f>
        <v/>
      </c>
      <c r="I2583" t="str">
        <f t="shared" si="47"/>
        <v>SOCIAL SECURITY TAXES</v>
      </c>
    </row>
    <row r="2584" spans="1:9" x14ac:dyDescent="0.3">
      <c r="A2584" t="str">
        <f>""</f>
        <v/>
      </c>
      <c r="F2584" t="str">
        <f>""</f>
        <v/>
      </c>
      <c r="G2584" t="str">
        <f>""</f>
        <v/>
      </c>
      <c r="I2584" t="str">
        <f t="shared" si="47"/>
        <v>SOCIAL SECURITY TAXES</v>
      </c>
    </row>
    <row r="2585" spans="1:9" x14ac:dyDescent="0.3">
      <c r="A2585" t="str">
        <f>""</f>
        <v/>
      </c>
      <c r="F2585" t="str">
        <f>""</f>
        <v/>
      </c>
      <c r="G2585" t="str">
        <f>""</f>
        <v/>
      </c>
      <c r="I2585" t="str">
        <f t="shared" ref="I2585:I2608" si="48">"SOCIAL SECURITY TAXES"</f>
        <v>SOCIAL SECURITY TAXES</v>
      </c>
    </row>
    <row r="2586" spans="1:9" x14ac:dyDescent="0.3">
      <c r="A2586" t="str">
        <f>""</f>
        <v/>
      </c>
      <c r="F2586" t="str">
        <f>""</f>
        <v/>
      </c>
      <c r="G2586" t="str">
        <f>""</f>
        <v/>
      </c>
      <c r="I2586" t="str">
        <f t="shared" si="48"/>
        <v>SOCIAL SECURITY TAXES</v>
      </c>
    </row>
    <row r="2587" spans="1:9" x14ac:dyDescent="0.3">
      <c r="A2587" t="str">
        <f>""</f>
        <v/>
      </c>
      <c r="F2587" t="str">
        <f>""</f>
        <v/>
      </c>
      <c r="G2587" t="str">
        <f>""</f>
        <v/>
      </c>
      <c r="I2587" t="str">
        <f t="shared" si="48"/>
        <v>SOCIAL SECURITY TAXES</v>
      </c>
    </row>
    <row r="2588" spans="1:9" x14ac:dyDescent="0.3">
      <c r="A2588" t="str">
        <f>""</f>
        <v/>
      </c>
      <c r="F2588" t="str">
        <f>""</f>
        <v/>
      </c>
      <c r="G2588" t="str">
        <f>""</f>
        <v/>
      </c>
      <c r="I2588" t="str">
        <f t="shared" si="48"/>
        <v>SOCIAL SECURITY TAXES</v>
      </c>
    </row>
    <row r="2589" spans="1:9" x14ac:dyDescent="0.3">
      <c r="A2589" t="str">
        <f>""</f>
        <v/>
      </c>
      <c r="F2589" t="str">
        <f>""</f>
        <v/>
      </c>
      <c r="G2589" t="str">
        <f>""</f>
        <v/>
      </c>
      <c r="I2589" t="str">
        <f t="shared" si="48"/>
        <v>SOCIAL SECURITY TAXES</v>
      </c>
    </row>
    <row r="2590" spans="1:9" x14ac:dyDescent="0.3">
      <c r="A2590" t="str">
        <f>""</f>
        <v/>
      </c>
      <c r="F2590" t="str">
        <f>""</f>
        <v/>
      </c>
      <c r="G2590" t="str">
        <f>""</f>
        <v/>
      </c>
      <c r="I2590" t="str">
        <f t="shared" si="48"/>
        <v>SOCIAL SECURITY TAXES</v>
      </c>
    </row>
    <row r="2591" spans="1:9" x14ac:dyDescent="0.3">
      <c r="A2591" t="str">
        <f>""</f>
        <v/>
      </c>
      <c r="F2591" t="str">
        <f>""</f>
        <v/>
      </c>
      <c r="G2591" t="str">
        <f>""</f>
        <v/>
      </c>
      <c r="I2591" t="str">
        <f t="shared" si="48"/>
        <v>SOCIAL SECURITY TAXES</v>
      </c>
    </row>
    <row r="2592" spans="1:9" x14ac:dyDescent="0.3">
      <c r="A2592" t="str">
        <f>""</f>
        <v/>
      </c>
      <c r="F2592" t="str">
        <f>""</f>
        <v/>
      </c>
      <c r="G2592" t="str">
        <f>""</f>
        <v/>
      </c>
      <c r="I2592" t="str">
        <f t="shared" si="48"/>
        <v>SOCIAL SECURITY TAXES</v>
      </c>
    </row>
    <row r="2593" spans="1:9" x14ac:dyDescent="0.3">
      <c r="A2593" t="str">
        <f>""</f>
        <v/>
      </c>
      <c r="F2593" t="str">
        <f>""</f>
        <v/>
      </c>
      <c r="G2593" t="str">
        <f>""</f>
        <v/>
      </c>
      <c r="I2593" t="str">
        <f t="shared" si="48"/>
        <v>SOCIAL SECURITY TAXES</v>
      </c>
    </row>
    <row r="2594" spans="1:9" x14ac:dyDescent="0.3">
      <c r="A2594" t="str">
        <f>""</f>
        <v/>
      </c>
      <c r="F2594" t="str">
        <f>""</f>
        <v/>
      </c>
      <c r="G2594" t="str">
        <f>""</f>
        <v/>
      </c>
      <c r="I2594" t="str">
        <f t="shared" si="48"/>
        <v>SOCIAL SECURITY TAXES</v>
      </c>
    </row>
    <row r="2595" spans="1:9" x14ac:dyDescent="0.3">
      <c r="A2595" t="str">
        <f>""</f>
        <v/>
      </c>
      <c r="F2595" t="str">
        <f>""</f>
        <v/>
      </c>
      <c r="G2595" t="str">
        <f>""</f>
        <v/>
      </c>
      <c r="I2595" t="str">
        <f t="shared" si="48"/>
        <v>SOCIAL SECURITY TAXES</v>
      </c>
    </row>
    <row r="2596" spans="1:9" x14ac:dyDescent="0.3">
      <c r="A2596" t="str">
        <f>""</f>
        <v/>
      </c>
      <c r="F2596" t="str">
        <f>""</f>
        <v/>
      </c>
      <c r="G2596" t="str">
        <f>""</f>
        <v/>
      </c>
      <c r="I2596" t="str">
        <f t="shared" si="48"/>
        <v>SOCIAL SECURITY TAXES</v>
      </c>
    </row>
    <row r="2597" spans="1:9" x14ac:dyDescent="0.3">
      <c r="A2597" t="str">
        <f>""</f>
        <v/>
      </c>
      <c r="F2597" t="str">
        <f>""</f>
        <v/>
      </c>
      <c r="G2597" t="str">
        <f>""</f>
        <v/>
      </c>
      <c r="I2597" t="str">
        <f t="shared" si="48"/>
        <v>SOCIAL SECURITY TAXES</v>
      </c>
    </row>
    <row r="2598" spans="1:9" x14ac:dyDescent="0.3">
      <c r="A2598" t="str">
        <f>""</f>
        <v/>
      </c>
      <c r="F2598" t="str">
        <f>""</f>
        <v/>
      </c>
      <c r="G2598" t="str">
        <f>""</f>
        <v/>
      </c>
      <c r="I2598" t="str">
        <f t="shared" si="48"/>
        <v>SOCIAL SECURITY TAXES</v>
      </c>
    </row>
    <row r="2599" spans="1:9" x14ac:dyDescent="0.3">
      <c r="A2599" t="str">
        <f>""</f>
        <v/>
      </c>
      <c r="F2599" t="str">
        <f>""</f>
        <v/>
      </c>
      <c r="G2599" t="str">
        <f>""</f>
        <v/>
      </c>
      <c r="I2599" t="str">
        <f t="shared" si="48"/>
        <v>SOCIAL SECURITY TAXES</v>
      </c>
    </row>
    <row r="2600" spans="1:9" x14ac:dyDescent="0.3">
      <c r="A2600" t="str">
        <f>""</f>
        <v/>
      </c>
      <c r="F2600" t="str">
        <f>""</f>
        <v/>
      </c>
      <c r="G2600" t="str">
        <f>""</f>
        <v/>
      </c>
      <c r="I2600" t="str">
        <f t="shared" si="48"/>
        <v>SOCIAL SECURITY TAXES</v>
      </c>
    </row>
    <row r="2601" spans="1:9" x14ac:dyDescent="0.3">
      <c r="A2601" t="str">
        <f>""</f>
        <v/>
      </c>
      <c r="F2601" t="str">
        <f>""</f>
        <v/>
      </c>
      <c r="G2601" t="str">
        <f>""</f>
        <v/>
      </c>
      <c r="I2601" t="str">
        <f t="shared" si="48"/>
        <v>SOCIAL SECURITY TAXES</v>
      </c>
    </row>
    <row r="2602" spans="1:9" x14ac:dyDescent="0.3">
      <c r="A2602" t="str">
        <f>""</f>
        <v/>
      </c>
      <c r="F2602" t="str">
        <f>""</f>
        <v/>
      </c>
      <c r="G2602" t="str">
        <f>""</f>
        <v/>
      </c>
      <c r="I2602" t="str">
        <f t="shared" si="48"/>
        <v>SOCIAL SECURITY TAXES</v>
      </c>
    </row>
    <row r="2603" spans="1:9" x14ac:dyDescent="0.3">
      <c r="A2603" t="str">
        <f>""</f>
        <v/>
      </c>
      <c r="F2603" t="str">
        <f>""</f>
        <v/>
      </c>
      <c r="G2603" t="str">
        <f>""</f>
        <v/>
      </c>
      <c r="I2603" t="str">
        <f t="shared" si="48"/>
        <v>SOCIAL SECURITY TAXES</v>
      </c>
    </row>
    <row r="2604" spans="1:9" x14ac:dyDescent="0.3">
      <c r="A2604" t="str">
        <f>""</f>
        <v/>
      </c>
      <c r="F2604" t="str">
        <f>""</f>
        <v/>
      </c>
      <c r="G2604" t="str">
        <f>""</f>
        <v/>
      </c>
      <c r="I2604" t="str">
        <f t="shared" si="48"/>
        <v>SOCIAL SECURITY TAXES</v>
      </c>
    </row>
    <row r="2605" spans="1:9" x14ac:dyDescent="0.3">
      <c r="A2605" t="str">
        <f>""</f>
        <v/>
      </c>
      <c r="F2605" t="str">
        <f>"T3 201712287506"</f>
        <v>T3 201712287506</v>
      </c>
      <c r="G2605" t="str">
        <f>"SOCIAL SECURITY TAXES"</f>
        <v>SOCIAL SECURITY TAXES</v>
      </c>
      <c r="H2605" s="2">
        <v>4137.12</v>
      </c>
      <c r="I2605" t="str">
        <f t="shared" si="48"/>
        <v>SOCIAL SECURITY TAXES</v>
      </c>
    </row>
    <row r="2606" spans="1:9" x14ac:dyDescent="0.3">
      <c r="A2606" t="str">
        <f>""</f>
        <v/>
      </c>
      <c r="F2606" t="str">
        <f>""</f>
        <v/>
      </c>
      <c r="G2606" t="str">
        <f>""</f>
        <v/>
      </c>
      <c r="I2606" t="str">
        <f t="shared" si="48"/>
        <v>SOCIAL SECURITY TAXES</v>
      </c>
    </row>
    <row r="2607" spans="1:9" x14ac:dyDescent="0.3">
      <c r="A2607" t="str">
        <f>""</f>
        <v/>
      </c>
      <c r="F2607" t="str">
        <f>"T3 201712287507"</f>
        <v>T3 201712287507</v>
      </c>
      <c r="G2607" t="str">
        <f>"SOCIAL SECURITY TAXES"</f>
        <v>SOCIAL SECURITY TAXES</v>
      </c>
      <c r="H2607" s="2">
        <v>5856.3</v>
      </c>
      <c r="I2607" t="str">
        <f t="shared" si="48"/>
        <v>SOCIAL SECURITY TAXES</v>
      </c>
    </row>
    <row r="2608" spans="1:9" x14ac:dyDescent="0.3">
      <c r="A2608" t="str">
        <f>""</f>
        <v/>
      </c>
      <c r="F2608" t="str">
        <f>""</f>
        <v/>
      </c>
      <c r="G2608" t="str">
        <f>""</f>
        <v/>
      </c>
      <c r="I2608" t="str">
        <f t="shared" si="48"/>
        <v>SOCIAL SECURITY TAXES</v>
      </c>
    </row>
    <row r="2609" spans="1:9" x14ac:dyDescent="0.3">
      <c r="A2609" t="str">
        <f>""</f>
        <v/>
      </c>
      <c r="F2609" t="str">
        <f>"T4 201712287505"</f>
        <v>T4 201712287505</v>
      </c>
      <c r="G2609" t="str">
        <f>"MEDICARE TAXES"</f>
        <v>MEDICARE TAXES</v>
      </c>
      <c r="H2609" s="2">
        <v>23634.799999999999</v>
      </c>
      <c r="I2609" t="str">
        <f t="shared" ref="I2609:I2640" si="49">"MEDICARE TAXES"</f>
        <v>MEDICARE TAXES</v>
      </c>
    </row>
    <row r="2610" spans="1:9" x14ac:dyDescent="0.3">
      <c r="A2610" t="str">
        <f>""</f>
        <v/>
      </c>
      <c r="F2610" t="str">
        <f>""</f>
        <v/>
      </c>
      <c r="G2610" t="str">
        <f>""</f>
        <v/>
      </c>
      <c r="I2610" t="str">
        <f t="shared" si="49"/>
        <v>MEDICARE TAXES</v>
      </c>
    </row>
    <row r="2611" spans="1:9" x14ac:dyDescent="0.3">
      <c r="A2611" t="str">
        <f>""</f>
        <v/>
      </c>
      <c r="F2611" t="str">
        <f>""</f>
        <v/>
      </c>
      <c r="G2611" t="str">
        <f>""</f>
        <v/>
      </c>
      <c r="I2611" t="str">
        <f t="shared" si="49"/>
        <v>MEDICARE TAXES</v>
      </c>
    </row>
    <row r="2612" spans="1:9" x14ac:dyDescent="0.3">
      <c r="A2612" t="str">
        <f>""</f>
        <v/>
      </c>
      <c r="F2612" t="str">
        <f>""</f>
        <v/>
      </c>
      <c r="G2612" t="str">
        <f>""</f>
        <v/>
      </c>
      <c r="I2612" t="str">
        <f t="shared" si="49"/>
        <v>MEDICARE TAXES</v>
      </c>
    </row>
    <row r="2613" spans="1:9" x14ac:dyDescent="0.3">
      <c r="A2613" t="str">
        <f>""</f>
        <v/>
      </c>
      <c r="F2613" t="str">
        <f>""</f>
        <v/>
      </c>
      <c r="G2613" t="str">
        <f>""</f>
        <v/>
      </c>
      <c r="I2613" t="str">
        <f t="shared" si="49"/>
        <v>MEDICARE TAXES</v>
      </c>
    </row>
    <row r="2614" spans="1:9" x14ac:dyDescent="0.3">
      <c r="A2614" t="str">
        <f>""</f>
        <v/>
      </c>
      <c r="F2614" t="str">
        <f>""</f>
        <v/>
      </c>
      <c r="G2614" t="str">
        <f>""</f>
        <v/>
      </c>
      <c r="I2614" t="str">
        <f t="shared" si="49"/>
        <v>MEDICARE TAXES</v>
      </c>
    </row>
    <row r="2615" spans="1:9" x14ac:dyDescent="0.3">
      <c r="A2615" t="str">
        <f>""</f>
        <v/>
      </c>
      <c r="F2615" t="str">
        <f>""</f>
        <v/>
      </c>
      <c r="G2615" t="str">
        <f>""</f>
        <v/>
      </c>
      <c r="I2615" t="str">
        <f t="shared" si="49"/>
        <v>MEDICARE TAXES</v>
      </c>
    </row>
    <row r="2616" spans="1:9" x14ac:dyDescent="0.3">
      <c r="A2616" t="str">
        <f>""</f>
        <v/>
      </c>
      <c r="F2616" t="str">
        <f>""</f>
        <v/>
      </c>
      <c r="G2616" t="str">
        <f>""</f>
        <v/>
      </c>
      <c r="I2616" t="str">
        <f t="shared" si="49"/>
        <v>MEDICARE TAXES</v>
      </c>
    </row>
    <row r="2617" spans="1:9" x14ac:dyDescent="0.3">
      <c r="A2617" t="str">
        <f>""</f>
        <v/>
      </c>
      <c r="F2617" t="str">
        <f>""</f>
        <v/>
      </c>
      <c r="G2617" t="str">
        <f>""</f>
        <v/>
      </c>
      <c r="I2617" t="str">
        <f t="shared" si="49"/>
        <v>MEDICARE TAXES</v>
      </c>
    </row>
    <row r="2618" spans="1:9" x14ac:dyDescent="0.3">
      <c r="A2618" t="str">
        <f>""</f>
        <v/>
      </c>
      <c r="F2618" t="str">
        <f>""</f>
        <v/>
      </c>
      <c r="G2618" t="str">
        <f>""</f>
        <v/>
      </c>
      <c r="I2618" t="str">
        <f t="shared" si="49"/>
        <v>MEDICARE TAXES</v>
      </c>
    </row>
    <row r="2619" spans="1:9" x14ac:dyDescent="0.3">
      <c r="A2619" t="str">
        <f>""</f>
        <v/>
      </c>
      <c r="F2619" t="str">
        <f>""</f>
        <v/>
      </c>
      <c r="G2619" t="str">
        <f>""</f>
        <v/>
      </c>
      <c r="I2619" t="str">
        <f t="shared" si="49"/>
        <v>MEDICARE TAXES</v>
      </c>
    </row>
    <row r="2620" spans="1:9" x14ac:dyDescent="0.3">
      <c r="A2620" t="str">
        <f>""</f>
        <v/>
      </c>
      <c r="F2620" t="str">
        <f>""</f>
        <v/>
      </c>
      <c r="G2620" t="str">
        <f>""</f>
        <v/>
      </c>
      <c r="I2620" t="str">
        <f t="shared" si="49"/>
        <v>MEDICARE TAXES</v>
      </c>
    </row>
    <row r="2621" spans="1:9" x14ac:dyDescent="0.3">
      <c r="A2621" t="str">
        <f>""</f>
        <v/>
      </c>
      <c r="F2621" t="str">
        <f>""</f>
        <v/>
      </c>
      <c r="G2621" t="str">
        <f>""</f>
        <v/>
      </c>
      <c r="I2621" t="str">
        <f t="shared" si="49"/>
        <v>MEDICARE TAXES</v>
      </c>
    </row>
    <row r="2622" spans="1:9" x14ac:dyDescent="0.3">
      <c r="A2622" t="str">
        <f>""</f>
        <v/>
      </c>
      <c r="F2622" t="str">
        <f>""</f>
        <v/>
      </c>
      <c r="G2622" t="str">
        <f>""</f>
        <v/>
      </c>
      <c r="I2622" t="str">
        <f t="shared" si="49"/>
        <v>MEDICARE TAXES</v>
      </c>
    </row>
    <row r="2623" spans="1:9" x14ac:dyDescent="0.3">
      <c r="A2623" t="str">
        <f>""</f>
        <v/>
      </c>
      <c r="F2623" t="str">
        <f>""</f>
        <v/>
      </c>
      <c r="G2623" t="str">
        <f>""</f>
        <v/>
      </c>
      <c r="I2623" t="str">
        <f t="shared" si="49"/>
        <v>MEDICARE TAXES</v>
      </c>
    </row>
    <row r="2624" spans="1:9" x14ac:dyDescent="0.3">
      <c r="A2624" t="str">
        <f>""</f>
        <v/>
      </c>
      <c r="F2624" t="str">
        <f>""</f>
        <v/>
      </c>
      <c r="G2624" t="str">
        <f>""</f>
        <v/>
      </c>
      <c r="I2624" t="str">
        <f t="shared" si="49"/>
        <v>MEDICARE TAXES</v>
      </c>
    </row>
    <row r="2625" spans="1:9" x14ac:dyDescent="0.3">
      <c r="A2625" t="str">
        <f>""</f>
        <v/>
      </c>
      <c r="F2625" t="str">
        <f>""</f>
        <v/>
      </c>
      <c r="G2625" t="str">
        <f>""</f>
        <v/>
      </c>
      <c r="I2625" t="str">
        <f t="shared" si="49"/>
        <v>MEDICARE TAXES</v>
      </c>
    </row>
    <row r="2626" spans="1:9" x14ac:dyDescent="0.3">
      <c r="A2626" t="str">
        <f>""</f>
        <v/>
      </c>
      <c r="F2626" t="str">
        <f>""</f>
        <v/>
      </c>
      <c r="G2626" t="str">
        <f>""</f>
        <v/>
      </c>
      <c r="I2626" t="str">
        <f t="shared" si="49"/>
        <v>MEDICARE TAXES</v>
      </c>
    </row>
    <row r="2627" spans="1:9" x14ac:dyDescent="0.3">
      <c r="A2627" t="str">
        <f>""</f>
        <v/>
      </c>
      <c r="F2627" t="str">
        <f>""</f>
        <v/>
      </c>
      <c r="G2627" t="str">
        <f>""</f>
        <v/>
      </c>
      <c r="I2627" t="str">
        <f t="shared" si="49"/>
        <v>MEDICARE TAXES</v>
      </c>
    </row>
    <row r="2628" spans="1:9" x14ac:dyDescent="0.3">
      <c r="A2628" t="str">
        <f>""</f>
        <v/>
      </c>
      <c r="F2628" t="str">
        <f>""</f>
        <v/>
      </c>
      <c r="G2628" t="str">
        <f>""</f>
        <v/>
      </c>
      <c r="I2628" t="str">
        <f t="shared" si="49"/>
        <v>MEDICARE TAXES</v>
      </c>
    </row>
    <row r="2629" spans="1:9" x14ac:dyDescent="0.3">
      <c r="A2629" t="str">
        <f>""</f>
        <v/>
      </c>
      <c r="F2629" t="str">
        <f>""</f>
        <v/>
      </c>
      <c r="G2629" t="str">
        <f>""</f>
        <v/>
      </c>
      <c r="I2629" t="str">
        <f t="shared" si="49"/>
        <v>MEDICARE TAXES</v>
      </c>
    </row>
    <row r="2630" spans="1:9" x14ac:dyDescent="0.3">
      <c r="A2630" t="str">
        <f>""</f>
        <v/>
      </c>
      <c r="F2630" t="str">
        <f>""</f>
        <v/>
      </c>
      <c r="G2630" t="str">
        <f>""</f>
        <v/>
      </c>
      <c r="I2630" t="str">
        <f t="shared" si="49"/>
        <v>MEDICARE TAXES</v>
      </c>
    </row>
    <row r="2631" spans="1:9" x14ac:dyDescent="0.3">
      <c r="A2631" t="str">
        <f>""</f>
        <v/>
      </c>
      <c r="F2631" t="str">
        <f>""</f>
        <v/>
      </c>
      <c r="G2631" t="str">
        <f>""</f>
        <v/>
      </c>
      <c r="I2631" t="str">
        <f t="shared" si="49"/>
        <v>MEDICARE TAXES</v>
      </c>
    </row>
    <row r="2632" spans="1:9" x14ac:dyDescent="0.3">
      <c r="A2632" t="str">
        <f>""</f>
        <v/>
      </c>
      <c r="F2632" t="str">
        <f>""</f>
        <v/>
      </c>
      <c r="G2632" t="str">
        <f>""</f>
        <v/>
      </c>
      <c r="I2632" t="str">
        <f t="shared" si="49"/>
        <v>MEDICARE TAXES</v>
      </c>
    </row>
    <row r="2633" spans="1:9" x14ac:dyDescent="0.3">
      <c r="A2633" t="str">
        <f>""</f>
        <v/>
      </c>
      <c r="F2633" t="str">
        <f>""</f>
        <v/>
      </c>
      <c r="G2633" t="str">
        <f>""</f>
        <v/>
      </c>
      <c r="I2633" t="str">
        <f t="shared" si="49"/>
        <v>MEDICARE TAXES</v>
      </c>
    </row>
    <row r="2634" spans="1:9" x14ac:dyDescent="0.3">
      <c r="A2634" t="str">
        <f>""</f>
        <v/>
      </c>
      <c r="F2634" t="str">
        <f>""</f>
        <v/>
      </c>
      <c r="G2634" t="str">
        <f>""</f>
        <v/>
      </c>
      <c r="I2634" t="str">
        <f t="shared" si="49"/>
        <v>MEDICARE TAXES</v>
      </c>
    </row>
    <row r="2635" spans="1:9" x14ac:dyDescent="0.3">
      <c r="A2635" t="str">
        <f>""</f>
        <v/>
      </c>
      <c r="F2635" t="str">
        <f>""</f>
        <v/>
      </c>
      <c r="G2635" t="str">
        <f>""</f>
        <v/>
      </c>
      <c r="I2635" t="str">
        <f t="shared" si="49"/>
        <v>MEDICARE TAXES</v>
      </c>
    </row>
    <row r="2636" spans="1:9" x14ac:dyDescent="0.3">
      <c r="A2636" t="str">
        <f>""</f>
        <v/>
      </c>
      <c r="F2636" t="str">
        <f>""</f>
        <v/>
      </c>
      <c r="G2636" t="str">
        <f>""</f>
        <v/>
      </c>
      <c r="I2636" t="str">
        <f t="shared" si="49"/>
        <v>MEDICARE TAXES</v>
      </c>
    </row>
    <row r="2637" spans="1:9" x14ac:dyDescent="0.3">
      <c r="A2637" t="str">
        <f>""</f>
        <v/>
      </c>
      <c r="F2637" t="str">
        <f>""</f>
        <v/>
      </c>
      <c r="G2637" t="str">
        <f>""</f>
        <v/>
      </c>
      <c r="I2637" t="str">
        <f t="shared" si="49"/>
        <v>MEDICARE TAXES</v>
      </c>
    </row>
    <row r="2638" spans="1:9" x14ac:dyDescent="0.3">
      <c r="A2638" t="str">
        <f>""</f>
        <v/>
      </c>
      <c r="F2638" t="str">
        <f>""</f>
        <v/>
      </c>
      <c r="G2638" t="str">
        <f>""</f>
        <v/>
      </c>
      <c r="I2638" t="str">
        <f t="shared" si="49"/>
        <v>MEDICARE TAXES</v>
      </c>
    </row>
    <row r="2639" spans="1:9" x14ac:dyDescent="0.3">
      <c r="A2639" t="str">
        <f>""</f>
        <v/>
      </c>
      <c r="F2639" t="str">
        <f>""</f>
        <v/>
      </c>
      <c r="G2639" t="str">
        <f>""</f>
        <v/>
      </c>
      <c r="I2639" t="str">
        <f t="shared" si="49"/>
        <v>MEDICARE TAXES</v>
      </c>
    </row>
    <row r="2640" spans="1:9" x14ac:dyDescent="0.3">
      <c r="A2640" t="str">
        <f>""</f>
        <v/>
      </c>
      <c r="F2640" t="str">
        <f>""</f>
        <v/>
      </c>
      <c r="G2640" t="str">
        <f>""</f>
        <v/>
      </c>
      <c r="I2640" t="str">
        <f t="shared" si="49"/>
        <v>MEDICARE TAXES</v>
      </c>
    </row>
    <row r="2641" spans="1:9" x14ac:dyDescent="0.3">
      <c r="A2641" t="str">
        <f>""</f>
        <v/>
      </c>
      <c r="F2641" t="str">
        <f>""</f>
        <v/>
      </c>
      <c r="G2641" t="str">
        <f>""</f>
        <v/>
      </c>
      <c r="I2641" t="str">
        <f t="shared" ref="I2641:I2664" si="50">"MEDICARE TAXES"</f>
        <v>MEDICARE TAXES</v>
      </c>
    </row>
    <row r="2642" spans="1:9" x14ac:dyDescent="0.3">
      <c r="A2642" t="str">
        <f>""</f>
        <v/>
      </c>
      <c r="F2642" t="str">
        <f>""</f>
        <v/>
      </c>
      <c r="G2642" t="str">
        <f>""</f>
        <v/>
      </c>
      <c r="I2642" t="str">
        <f t="shared" si="50"/>
        <v>MEDICARE TAXES</v>
      </c>
    </row>
    <row r="2643" spans="1:9" x14ac:dyDescent="0.3">
      <c r="A2643" t="str">
        <f>""</f>
        <v/>
      </c>
      <c r="F2643" t="str">
        <f>""</f>
        <v/>
      </c>
      <c r="G2643" t="str">
        <f>""</f>
        <v/>
      </c>
      <c r="I2643" t="str">
        <f t="shared" si="50"/>
        <v>MEDICARE TAXES</v>
      </c>
    </row>
    <row r="2644" spans="1:9" x14ac:dyDescent="0.3">
      <c r="A2644" t="str">
        <f>""</f>
        <v/>
      </c>
      <c r="F2644" t="str">
        <f>""</f>
        <v/>
      </c>
      <c r="G2644" t="str">
        <f>""</f>
        <v/>
      </c>
      <c r="I2644" t="str">
        <f t="shared" si="50"/>
        <v>MEDICARE TAXES</v>
      </c>
    </row>
    <row r="2645" spans="1:9" x14ac:dyDescent="0.3">
      <c r="A2645" t="str">
        <f>""</f>
        <v/>
      </c>
      <c r="F2645" t="str">
        <f>""</f>
        <v/>
      </c>
      <c r="G2645" t="str">
        <f>""</f>
        <v/>
      </c>
      <c r="I2645" t="str">
        <f t="shared" si="50"/>
        <v>MEDICARE TAXES</v>
      </c>
    </row>
    <row r="2646" spans="1:9" x14ac:dyDescent="0.3">
      <c r="A2646" t="str">
        <f>""</f>
        <v/>
      </c>
      <c r="F2646" t="str">
        <f>""</f>
        <v/>
      </c>
      <c r="G2646" t="str">
        <f>""</f>
        <v/>
      </c>
      <c r="I2646" t="str">
        <f t="shared" si="50"/>
        <v>MEDICARE TAXES</v>
      </c>
    </row>
    <row r="2647" spans="1:9" x14ac:dyDescent="0.3">
      <c r="A2647" t="str">
        <f>""</f>
        <v/>
      </c>
      <c r="F2647" t="str">
        <f>""</f>
        <v/>
      </c>
      <c r="G2647" t="str">
        <f>""</f>
        <v/>
      </c>
      <c r="I2647" t="str">
        <f t="shared" si="50"/>
        <v>MEDICARE TAXES</v>
      </c>
    </row>
    <row r="2648" spans="1:9" x14ac:dyDescent="0.3">
      <c r="A2648" t="str">
        <f>""</f>
        <v/>
      </c>
      <c r="F2648" t="str">
        <f>""</f>
        <v/>
      </c>
      <c r="G2648" t="str">
        <f>""</f>
        <v/>
      </c>
      <c r="I2648" t="str">
        <f t="shared" si="50"/>
        <v>MEDICARE TAXES</v>
      </c>
    </row>
    <row r="2649" spans="1:9" x14ac:dyDescent="0.3">
      <c r="A2649" t="str">
        <f>""</f>
        <v/>
      </c>
      <c r="F2649" t="str">
        <f>""</f>
        <v/>
      </c>
      <c r="G2649" t="str">
        <f>""</f>
        <v/>
      </c>
      <c r="I2649" t="str">
        <f t="shared" si="50"/>
        <v>MEDICARE TAXES</v>
      </c>
    </row>
    <row r="2650" spans="1:9" x14ac:dyDescent="0.3">
      <c r="A2650" t="str">
        <f>""</f>
        <v/>
      </c>
      <c r="F2650" t="str">
        <f>""</f>
        <v/>
      </c>
      <c r="G2650" t="str">
        <f>""</f>
        <v/>
      </c>
      <c r="I2650" t="str">
        <f t="shared" si="50"/>
        <v>MEDICARE TAXES</v>
      </c>
    </row>
    <row r="2651" spans="1:9" x14ac:dyDescent="0.3">
      <c r="A2651" t="str">
        <f>""</f>
        <v/>
      </c>
      <c r="F2651" t="str">
        <f>""</f>
        <v/>
      </c>
      <c r="G2651" t="str">
        <f>""</f>
        <v/>
      </c>
      <c r="I2651" t="str">
        <f t="shared" si="50"/>
        <v>MEDICARE TAXES</v>
      </c>
    </row>
    <row r="2652" spans="1:9" x14ac:dyDescent="0.3">
      <c r="A2652" t="str">
        <f>""</f>
        <v/>
      </c>
      <c r="F2652" t="str">
        <f>""</f>
        <v/>
      </c>
      <c r="G2652" t="str">
        <f>""</f>
        <v/>
      </c>
      <c r="I2652" t="str">
        <f t="shared" si="50"/>
        <v>MEDICARE TAXES</v>
      </c>
    </row>
    <row r="2653" spans="1:9" x14ac:dyDescent="0.3">
      <c r="A2653" t="str">
        <f>""</f>
        <v/>
      </c>
      <c r="F2653" t="str">
        <f>""</f>
        <v/>
      </c>
      <c r="G2653" t="str">
        <f>""</f>
        <v/>
      </c>
      <c r="I2653" t="str">
        <f t="shared" si="50"/>
        <v>MEDICARE TAXES</v>
      </c>
    </row>
    <row r="2654" spans="1:9" x14ac:dyDescent="0.3">
      <c r="A2654" t="str">
        <f>""</f>
        <v/>
      </c>
      <c r="F2654" t="str">
        <f>""</f>
        <v/>
      </c>
      <c r="G2654" t="str">
        <f>""</f>
        <v/>
      </c>
      <c r="I2654" t="str">
        <f t="shared" si="50"/>
        <v>MEDICARE TAXES</v>
      </c>
    </row>
    <row r="2655" spans="1:9" x14ac:dyDescent="0.3">
      <c r="A2655" t="str">
        <f>""</f>
        <v/>
      </c>
      <c r="F2655" t="str">
        <f>""</f>
        <v/>
      </c>
      <c r="G2655" t="str">
        <f>""</f>
        <v/>
      </c>
      <c r="I2655" t="str">
        <f t="shared" si="50"/>
        <v>MEDICARE TAXES</v>
      </c>
    </row>
    <row r="2656" spans="1:9" x14ac:dyDescent="0.3">
      <c r="A2656" t="str">
        <f>""</f>
        <v/>
      </c>
      <c r="F2656" t="str">
        <f>""</f>
        <v/>
      </c>
      <c r="G2656" t="str">
        <f>""</f>
        <v/>
      </c>
      <c r="I2656" t="str">
        <f t="shared" si="50"/>
        <v>MEDICARE TAXES</v>
      </c>
    </row>
    <row r="2657" spans="1:9" x14ac:dyDescent="0.3">
      <c r="A2657" t="str">
        <f>""</f>
        <v/>
      </c>
      <c r="F2657" t="str">
        <f>""</f>
        <v/>
      </c>
      <c r="G2657" t="str">
        <f>""</f>
        <v/>
      </c>
      <c r="I2657" t="str">
        <f t="shared" si="50"/>
        <v>MEDICARE TAXES</v>
      </c>
    </row>
    <row r="2658" spans="1:9" x14ac:dyDescent="0.3">
      <c r="A2658" t="str">
        <f>""</f>
        <v/>
      </c>
      <c r="F2658" t="str">
        <f>""</f>
        <v/>
      </c>
      <c r="G2658" t="str">
        <f>""</f>
        <v/>
      </c>
      <c r="I2658" t="str">
        <f t="shared" si="50"/>
        <v>MEDICARE TAXES</v>
      </c>
    </row>
    <row r="2659" spans="1:9" x14ac:dyDescent="0.3">
      <c r="A2659" t="str">
        <f>""</f>
        <v/>
      </c>
      <c r="F2659" t="str">
        <f>""</f>
        <v/>
      </c>
      <c r="G2659" t="str">
        <f>""</f>
        <v/>
      </c>
      <c r="I2659" t="str">
        <f t="shared" si="50"/>
        <v>MEDICARE TAXES</v>
      </c>
    </row>
    <row r="2660" spans="1:9" x14ac:dyDescent="0.3">
      <c r="A2660" t="str">
        <f>""</f>
        <v/>
      </c>
      <c r="F2660" t="str">
        <f>""</f>
        <v/>
      </c>
      <c r="G2660" t="str">
        <f>""</f>
        <v/>
      </c>
      <c r="I2660" t="str">
        <f t="shared" si="50"/>
        <v>MEDICARE TAXES</v>
      </c>
    </row>
    <row r="2661" spans="1:9" x14ac:dyDescent="0.3">
      <c r="A2661" t="str">
        <f>""</f>
        <v/>
      </c>
      <c r="F2661" t="str">
        <f>"T4 201712287506"</f>
        <v>T4 201712287506</v>
      </c>
      <c r="G2661" t="str">
        <f>"MEDICARE TAXES"</f>
        <v>MEDICARE TAXES</v>
      </c>
      <c r="H2661" s="2">
        <v>967.52</v>
      </c>
      <c r="I2661" t="str">
        <f t="shared" si="50"/>
        <v>MEDICARE TAXES</v>
      </c>
    </row>
    <row r="2662" spans="1:9" x14ac:dyDescent="0.3">
      <c r="A2662" t="str">
        <f>""</f>
        <v/>
      </c>
      <c r="F2662" t="str">
        <f>""</f>
        <v/>
      </c>
      <c r="G2662" t="str">
        <f>""</f>
        <v/>
      </c>
      <c r="I2662" t="str">
        <f t="shared" si="50"/>
        <v>MEDICARE TAXES</v>
      </c>
    </row>
    <row r="2663" spans="1:9" x14ac:dyDescent="0.3">
      <c r="A2663" t="str">
        <f>""</f>
        <v/>
      </c>
      <c r="F2663" t="str">
        <f>"T4 201712287507"</f>
        <v>T4 201712287507</v>
      </c>
      <c r="G2663" t="str">
        <f>"MEDICARE TAXES"</f>
        <v>MEDICARE TAXES</v>
      </c>
      <c r="H2663" s="2">
        <v>1369.64</v>
      </c>
      <c r="I2663" t="str">
        <f t="shared" si="50"/>
        <v>MEDICARE TAXES</v>
      </c>
    </row>
    <row r="2664" spans="1:9" x14ac:dyDescent="0.3">
      <c r="A2664" t="str">
        <f>""</f>
        <v/>
      </c>
      <c r="F2664" t="str">
        <f>""</f>
        <v/>
      </c>
      <c r="G2664" t="str">
        <f>""</f>
        <v/>
      </c>
      <c r="I2664" t="str">
        <f t="shared" si="50"/>
        <v>MEDICARE TAXES</v>
      </c>
    </row>
    <row r="2665" spans="1:9" x14ac:dyDescent="0.3">
      <c r="A2665" t="str">
        <f>"004638"</f>
        <v>004638</v>
      </c>
      <c r="B2665" t="s">
        <v>616</v>
      </c>
      <c r="C2665">
        <v>46036</v>
      </c>
      <c r="D2665" s="2">
        <v>268.74</v>
      </c>
      <c r="E2665" s="1">
        <v>43070</v>
      </c>
      <c r="F2665" t="str">
        <f>"C64201711296859"</f>
        <v>C64201711296859</v>
      </c>
      <c r="G2665" t="str">
        <f>"CASE #912745322"</f>
        <v>CASE #912745322</v>
      </c>
      <c r="H2665" s="2">
        <v>268.74</v>
      </c>
      <c r="I2665" t="str">
        <f>"CASE #912745322"</f>
        <v>CASE #912745322</v>
      </c>
    </row>
    <row r="2666" spans="1:9" x14ac:dyDescent="0.3">
      <c r="A2666" t="str">
        <f>"004638"</f>
        <v>004638</v>
      </c>
      <c r="B2666" t="s">
        <v>616</v>
      </c>
      <c r="C2666">
        <v>46056</v>
      </c>
      <c r="D2666" s="2">
        <v>268.74</v>
      </c>
      <c r="E2666" s="1">
        <v>43084</v>
      </c>
      <c r="F2666" t="str">
        <f>"C64201712137295"</f>
        <v>C64201712137295</v>
      </c>
      <c r="G2666" t="str">
        <f>"CASE #912745322"</f>
        <v>CASE #912745322</v>
      </c>
      <c r="H2666" s="2">
        <v>268.74</v>
      </c>
      <c r="I2666" t="str">
        <f>"CASE #912745322"</f>
        <v>CASE #912745322</v>
      </c>
    </row>
    <row r="2667" spans="1:9" x14ac:dyDescent="0.3">
      <c r="A2667" t="str">
        <f>"004638"</f>
        <v>004638</v>
      </c>
      <c r="B2667" t="s">
        <v>616</v>
      </c>
      <c r="C2667">
        <v>46082</v>
      </c>
      <c r="D2667" s="2">
        <v>268.74</v>
      </c>
      <c r="E2667" s="1">
        <v>43098</v>
      </c>
      <c r="F2667" t="str">
        <f>"C64201712287505"</f>
        <v>C64201712287505</v>
      </c>
      <c r="G2667" t="str">
        <f>"CASE #912745322"</f>
        <v>CASE #912745322</v>
      </c>
      <c r="H2667" s="2">
        <v>268.74</v>
      </c>
      <c r="I2667" t="str">
        <f>"CASE #912745322"</f>
        <v>CASE #912745322</v>
      </c>
    </row>
    <row r="2668" spans="1:9" x14ac:dyDescent="0.3">
      <c r="A2668" t="str">
        <f>"001507"</f>
        <v>001507</v>
      </c>
      <c r="B2668" t="s">
        <v>617</v>
      </c>
      <c r="C2668">
        <v>0</v>
      </c>
      <c r="D2668" s="2">
        <v>39998.07</v>
      </c>
      <c r="E2668" s="1">
        <v>43091</v>
      </c>
      <c r="F2668" t="str">
        <f>"201712207464"</f>
        <v>201712207464</v>
      </c>
      <c r="G2668" t="str">
        <f>"MONUMENTAL LIFE INS CO Dec '17"</f>
        <v>MONUMENTAL LIFE INS CO Dec '17</v>
      </c>
      <c r="H2668" s="2">
        <v>39998.07</v>
      </c>
      <c r="I2668" t="str">
        <f>"MONUMENTAL LIFE INS CO Dec '17"</f>
        <v>MONUMENTAL LIFE INS CO Dec '17</v>
      </c>
    </row>
    <row r="2669" spans="1:9" x14ac:dyDescent="0.3">
      <c r="A2669" t="str">
        <f>"002456"</f>
        <v>002456</v>
      </c>
      <c r="B2669" t="s">
        <v>618</v>
      </c>
      <c r="C2669">
        <v>0</v>
      </c>
      <c r="D2669" s="2">
        <v>731.02</v>
      </c>
      <c r="E2669" s="1">
        <v>43091</v>
      </c>
      <c r="F2669" t="str">
        <f>"LIX201711296859"</f>
        <v>LIX201711296859</v>
      </c>
      <c r="G2669" t="str">
        <f>"TEXAS LIFE/OLIVO GROUP"</f>
        <v>TEXAS LIFE/OLIVO GROUP</v>
      </c>
      <c r="H2669" s="2">
        <v>365.51</v>
      </c>
      <c r="I2669" t="str">
        <f>"TEXAS LIFE/OLIVO GROUP"</f>
        <v>TEXAS LIFE/OLIVO GROUP</v>
      </c>
    </row>
    <row r="2670" spans="1:9" x14ac:dyDescent="0.3">
      <c r="A2670" t="str">
        <f>""</f>
        <v/>
      </c>
      <c r="F2670" t="str">
        <f>"LIX201712137295"</f>
        <v>LIX201712137295</v>
      </c>
      <c r="G2670" t="str">
        <f>"TEXAS LIFE/OLIVO GROUP"</f>
        <v>TEXAS LIFE/OLIVO GROUP</v>
      </c>
      <c r="H2670" s="2">
        <v>365.51</v>
      </c>
      <c r="I2670" t="str">
        <f>"TEXAS LIFE/OLIVO GROUP"</f>
        <v>TEXAS LIFE/OLIVO GROUP</v>
      </c>
    </row>
    <row r="2671" spans="1:9" x14ac:dyDescent="0.3">
      <c r="A2671" t="str">
        <f>"TACHEB"</f>
        <v>TACHEB</v>
      </c>
      <c r="B2671" t="s">
        <v>619</v>
      </c>
      <c r="C2671">
        <v>46062</v>
      </c>
      <c r="D2671" s="2">
        <v>330698.65999999997</v>
      </c>
      <c r="E2671" s="1">
        <v>43091</v>
      </c>
      <c r="F2671" t="str">
        <f>"201712207497"</f>
        <v>201712207497</v>
      </c>
      <c r="G2671" t="str">
        <f>"Retirees Dec 2017"</f>
        <v>Retirees Dec 2017</v>
      </c>
      <c r="H2671" s="2">
        <v>15116.16</v>
      </c>
      <c r="I2671" t="str">
        <f>"TAC HEALTH BENEFITS POOL"</f>
        <v>TAC HEALTH BENEFITS POOL</v>
      </c>
    </row>
    <row r="2672" spans="1:9" x14ac:dyDescent="0.3">
      <c r="A2672" t="str">
        <f>""</f>
        <v/>
      </c>
      <c r="F2672" t="str">
        <f>"201712207498"</f>
        <v>201712207498</v>
      </c>
      <c r="G2672" t="str">
        <f>"COBRA Dec 2017"</f>
        <v>COBRA Dec 2017</v>
      </c>
      <c r="H2672" s="2">
        <v>1306.1199999999999</v>
      </c>
      <c r="I2672" t="str">
        <f>"TAC HEALTH BENEFITS POOL"</f>
        <v>TAC HEALTH BENEFITS POOL</v>
      </c>
    </row>
    <row r="2673" spans="1:9" x14ac:dyDescent="0.3">
      <c r="A2673" t="str">
        <f>""</f>
        <v/>
      </c>
      <c r="F2673" t="str">
        <f>"2EC201711296859"</f>
        <v>2EC201711296859</v>
      </c>
      <c r="G2673" t="str">
        <f>"BCBS PAYABLE"</f>
        <v>BCBS PAYABLE</v>
      </c>
      <c r="H2673" s="2">
        <v>45329.81</v>
      </c>
      <c r="I2673" t="str">
        <f t="shared" ref="I2673:I2704" si="51">"BCBS PAYABLE"</f>
        <v>BCBS PAYABLE</v>
      </c>
    </row>
    <row r="2674" spans="1:9" x14ac:dyDescent="0.3">
      <c r="A2674" t="str">
        <f>""</f>
        <v/>
      </c>
      <c r="F2674" t="str">
        <f>""</f>
        <v/>
      </c>
      <c r="G2674" t="str">
        <f>""</f>
        <v/>
      </c>
      <c r="I2674" t="str">
        <f t="shared" si="51"/>
        <v>BCBS PAYABLE</v>
      </c>
    </row>
    <row r="2675" spans="1:9" x14ac:dyDescent="0.3">
      <c r="A2675" t="str">
        <f>""</f>
        <v/>
      </c>
      <c r="F2675" t="str">
        <f>""</f>
        <v/>
      </c>
      <c r="G2675" t="str">
        <f>""</f>
        <v/>
      </c>
      <c r="I2675" t="str">
        <f t="shared" si="51"/>
        <v>BCBS PAYABLE</v>
      </c>
    </row>
    <row r="2676" spans="1:9" x14ac:dyDescent="0.3">
      <c r="A2676" t="str">
        <f>""</f>
        <v/>
      </c>
      <c r="F2676" t="str">
        <f>""</f>
        <v/>
      </c>
      <c r="G2676" t="str">
        <f>""</f>
        <v/>
      </c>
      <c r="I2676" t="str">
        <f t="shared" si="51"/>
        <v>BCBS PAYABLE</v>
      </c>
    </row>
    <row r="2677" spans="1:9" x14ac:dyDescent="0.3">
      <c r="A2677" t="str">
        <f>""</f>
        <v/>
      </c>
      <c r="F2677" t="str">
        <f>""</f>
        <v/>
      </c>
      <c r="G2677" t="str">
        <f>""</f>
        <v/>
      </c>
      <c r="I2677" t="str">
        <f t="shared" si="51"/>
        <v>BCBS PAYABLE</v>
      </c>
    </row>
    <row r="2678" spans="1:9" x14ac:dyDescent="0.3">
      <c r="A2678" t="str">
        <f>""</f>
        <v/>
      </c>
      <c r="F2678" t="str">
        <f>""</f>
        <v/>
      </c>
      <c r="G2678" t="str">
        <f>""</f>
        <v/>
      </c>
      <c r="I2678" t="str">
        <f t="shared" si="51"/>
        <v>BCBS PAYABLE</v>
      </c>
    </row>
    <row r="2679" spans="1:9" x14ac:dyDescent="0.3">
      <c r="A2679" t="str">
        <f>""</f>
        <v/>
      </c>
      <c r="F2679" t="str">
        <f>""</f>
        <v/>
      </c>
      <c r="G2679" t="str">
        <f>""</f>
        <v/>
      </c>
      <c r="I2679" t="str">
        <f t="shared" si="51"/>
        <v>BCBS PAYABLE</v>
      </c>
    </row>
    <row r="2680" spans="1:9" x14ac:dyDescent="0.3">
      <c r="A2680" t="str">
        <f>""</f>
        <v/>
      </c>
      <c r="F2680" t="str">
        <f>""</f>
        <v/>
      </c>
      <c r="G2680" t="str">
        <f>""</f>
        <v/>
      </c>
      <c r="I2680" t="str">
        <f t="shared" si="51"/>
        <v>BCBS PAYABLE</v>
      </c>
    </row>
    <row r="2681" spans="1:9" x14ac:dyDescent="0.3">
      <c r="A2681" t="str">
        <f>""</f>
        <v/>
      </c>
      <c r="F2681" t="str">
        <f>""</f>
        <v/>
      </c>
      <c r="G2681" t="str">
        <f>""</f>
        <v/>
      </c>
      <c r="I2681" t="str">
        <f t="shared" si="51"/>
        <v>BCBS PAYABLE</v>
      </c>
    </row>
    <row r="2682" spans="1:9" x14ac:dyDescent="0.3">
      <c r="A2682" t="str">
        <f>""</f>
        <v/>
      </c>
      <c r="F2682" t="str">
        <f>""</f>
        <v/>
      </c>
      <c r="G2682" t="str">
        <f>""</f>
        <v/>
      </c>
      <c r="I2682" t="str">
        <f t="shared" si="51"/>
        <v>BCBS PAYABLE</v>
      </c>
    </row>
    <row r="2683" spans="1:9" x14ac:dyDescent="0.3">
      <c r="A2683" t="str">
        <f>""</f>
        <v/>
      </c>
      <c r="F2683" t="str">
        <f>""</f>
        <v/>
      </c>
      <c r="G2683" t="str">
        <f>""</f>
        <v/>
      </c>
      <c r="I2683" t="str">
        <f t="shared" si="51"/>
        <v>BCBS PAYABLE</v>
      </c>
    </row>
    <row r="2684" spans="1:9" x14ac:dyDescent="0.3">
      <c r="A2684" t="str">
        <f>""</f>
        <v/>
      </c>
      <c r="F2684" t="str">
        <f>""</f>
        <v/>
      </c>
      <c r="G2684" t="str">
        <f>""</f>
        <v/>
      </c>
      <c r="I2684" t="str">
        <f t="shared" si="51"/>
        <v>BCBS PAYABLE</v>
      </c>
    </row>
    <row r="2685" spans="1:9" x14ac:dyDescent="0.3">
      <c r="A2685" t="str">
        <f>""</f>
        <v/>
      </c>
      <c r="F2685" t="str">
        <f>""</f>
        <v/>
      </c>
      <c r="G2685" t="str">
        <f>""</f>
        <v/>
      </c>
      <c r="I2685" t="str">
        <f t="shared" si="51"/>
        <v>BCBS PAYABLE</v>
      </c>
    </row>
    <row r="2686" spans="1:9" x14ac:dyDescent="0.3">
      <c r="A2686" t="str">
        <f>""</f>
        <v/>
      </c>
      <c r="F2686" t="str">
        <f>""</f>
        <v/>
      </c>
      <c r="G2686" t="str">
        <f>""</f>
        <v/>
      </c>
      <c r="I2686" t="str">
        <f t="shared" si="51"/>
        <v>BCBS PAYABLE</v>
      </c>
    </row>
    <row r="2687" spans="1:9" x14ac:dyDescent="0.3">
      <c r="A2687" t="str">
        <f>""</f>
        <v/>
      </c>
      <c r="F2687" t="str">
        <f>""</f>
        <v/>
      </c>
      <c r="G2687" t="str">
        <f>""</f>
        <v/>
      </c>
      <c r="I2687" t="str">
        <f t="shared" si="51"/>
        <v>BCBS PAYABLE</v>
      </c>
    </row>
    <row r="2688" spans="1:9" x14ac:dyDescent="0.3">
      <c r="A2688" t="str">
        <f>""</f>
        <v/>
      </c>
      <c r="F2688" t="str">
        <f>""</f>
        <v/>
      </c>
      <c r="G2688" t="str">
        <f>""</f>
        <v/>
      </c>
      <c r="I2688" t="str">
        <f t="shared" si="51"/>
        <v>BCBS PAYABLE</v>
      </c>
    </row>
    <row r="2689" spans="1:9" x14ac:dyDescent="0.3">
      <c r="A2689" t="str">
        <f>""</f>
        <v/>
      </c>
      <c r="F2689" t="str">
        <f>""</f>
        <v/>
      </c>
      <c r="G2689" t="str">
        <f>""</f>
        <v/>
      </c>
      <c r="I2689" t="str">
        <f t="shared" si="51"/>
        <v>BCBS PAYABLE</v>
      </c>
    </row>
    <row r="2690" spans="1:9" x14ac:dyDescent="0.3">
      <c r="A2690" t="str">
        <f>""</f>
        <v/>
      </c>
      <c r="F2690" t="str">
        <f>""</f>
        <v/>
      </c>
      <c r="G2690" t="str">
        <f>""</f>
        <v/>
      </c>
      <c r="I2690" t="str">
        <f t="shared" si="51"/>
        <v>BCBS PAYABLE</v>
      </c>
    </row>
    <row r="2691" spans="1:9" x14ac:dyDescent="0.3">
      <c r="A2691" t="str">
        <f>""</f>
        <v/>
      </c>
      <c r="F2691" t="str">
        <f>""</f>
        <v/>
      </c>
      <c r="G2691" t="str">
        <f>""</f>
        <v/>
      </c>
      <c r="I2691" t="str">
        <f t="shared" si="51"/>
        <v>BCBS PAYABLE</v>
      </c>
    </row>
    <row r="2692" spans="1:9" x14ac:dyDescent="0.3">
      <c r="A2692" t="str">
        <f>""</f>
        <v/>
      </c>
      <c r="F2692" t="str">
        <f>""</f>
        <v/>
      </c>
      <c r="G2692" t="str">
        <f>""</f>
        <v/>
      </c>
      <c r="I2692" t="str">
        <f t="shared" si="51"/>
        <v>BCBS PAYABLE</v>
      </c>
    </row>
    <row r="2693" spans="1:9" x14ac:dyDescent="0.3">
      <c r="A2693" t="str">
        <f>""</f>
        <v/>
      </c>
      <c r="F2693" t="str">
        <f>""</f>
        <v/>
      </c>
      <c r="G2693" t="str">
        <f>""</f>
        <v/>
      </c>
      <c r="I2693" t="str">
        <f t="shared" si="51"/>
        <v>BCBS PAYABLE</v>
      </c>
    </row>
    <row r="2694" spans="1:9" x14ac:dyDescent="0.3">
      <c r="A2694" t="str">
        <f>""</f>
        <v/>
      </c>
      <c r="F2694" t="str">
        <f>""</f>
        <v/>
      </c>
      <c r="G2694" t="str">
        <f>""</f>
        <v/>
      </c>
      <c r="I2694" t="str">
        <f t="shared" si="51"/>
        <v>BCBS PAYABLE</v>
      </c>
    </row>
    <row r="2695" spans="1:9" x14ac:dyDescent="0.3">
      <c r="A2695" t="str">
        <f>""</f>
        <v/>
      </c>
      <c r="F2695" t="str">
        <f>""</f>
        <v/>
      </c>
      <c r="G2695" t="str">
        <f>""</f>
        <v/>
      </c>
      <c r="I2695" t="str">
        <f t="shared" si="51"/>
        <v>BCBS PAYABLE</v>
      </c>
    </row>
    <row r="2696" spans="1:9" x14ac:dyDescent="0.3">
      <c r="A2696" t="str">
        <f>""</f>
        <v/>
      </c>
      <c r="F2696" t="str">
        <f>""</f>
        <v/>
      </c>
      <c r="G2696" t="str">
        <f>""</f>
        <v/>
      </c>
      <c r="I2696" t="str">
        <f t="shared" si="51"/>
        <v>BCBS PAYABLE</v>
      </c>
    </row>
    <row r="2697" spans="1:9" x14ac:dyDescent="0.3">
      <c r="A2697" t="str">
        <f>""</f>
        <v/>
      </c>
      <c r="F2697" t="str">
        <f>""</f>
        <v/>
      </c>
      <c r="G2697" t="str">
        <f>""</f>
        <v/>
      </c>
      <c r="I2697" t="str">
        <f t="shared" si="51"/>
        <v>BCBS PAYABLE</v>
      </c>
    </row>
    <row r="2698" spans="1:9" x14ac:dyDescent="0.3">
      <c r="A2698" t="str">
        <f>""</f>
        <v/>
      </c>
      <c r="F2698" t="str">
        <f>""</f>
        <v/>
      </c>
      <c r="G2698" t="str">
        <f>""</f>
        <v/>
      </c>
      <c r="I2698" t="str">
        <f t="shared" si="51"/>
        <v>BCBS PAYABLE</v>
      </c>
    </row>
    <row r="2699" spans="1:9" x14ac:dyDescent="0.3">
      <c r="A2699" t="str">
        <f>""</f>
        <v/>
      </c>
      <c r="F2699" t="str">
        <f>""</f>
        <v/>
      </c>
      <c r="G2699" t="str">
        <f>""</f>
        <v/>
      </c>
      <c r="I2699" t="str">
        <f t="shared" si="51"/>
        <v>BCBS PAYABLE</v>
      </c>
    </row>
    <row r="2700" spans="1:9" x14ac:dyDescent="0.3">
      <c r="A2700" t="str">
        <f>""</f>
        <v/>
      </c>
      <c r="F2700" t="str">
        <f>""</f>
        <v/>
      </c>
      <c r="G2700" t="str">
        <f>""</f>
        <v/>
      </c>
      <c r="I2700" t="str">
        <f t="shared" si="51"/>
        <v>BCBS PAYABLE</v>
      </c>
    </row>
    <row r="2701" spans="1:9" x14ac:dyDescent="0.3">
      <c r="A2701" t="str">
        <f>""</f>
        <v/>
      </c>
      <c r="F2701" t="str">
        <f>""</f>
        <v/>
      </c>
      <c r="G2701" t="str">
        <f>""</f>
        <v/>
      </c>
      <c r="I2701" t="str">
        <f t="shared" si="51"/>
        <v>BCBS PAYABLE</v>
      </c>
    </row>
    <row r="2702" spans="1:9" x14ac:dyDescent="0.3">
      <c r="A2702" t="str">
        <f>""</f>
        <v/>
      </c>
      <c r="F2702" t="str">
        <f>""</f>
        <v/>
      </c>
      <c r="G2702" t="str">
        <f>""</f>
        <v/>
      </c>
      <c r="I2702" t="str">
        <f t="shared" si="51"/>
        <v>BCBS PAYABLE</v>
      </c>
    </row>
    <row r="2703" spans="1:9" x14ac:dyDescent="0.3">
      <c r="A2703" t="str">
        <f>""</f>
        <v/>
      </c>
      <c r="F2703" t="str">
        <f>""</f>
        <v/>
      </c>
      <c r="G2703" t="str">
        <f>""</f>
        <v/>
      </c>
      <c r="I2703" t="str">
        <f t="shared" si="51"/>
        <v>BCBS PAYABLE</v>
      </c>
    </row>
    <row r="2704" spans="1:9" x14ac:dyDescent="0.3">
      <c r="A2704" t="str">
        <f>""</f>
        <v/>
      </c>
      <c r="F2704" t="str">
        <f>""</f>
        <v/>
      </c>
      <c r="G2704" t="str">
        <f>""</f>
        <v/>
      </c>
      <c r="I2704" t="str">
        <f t="shared" si="51"/>
        <v>BCBS PAYABLE</v>
      </c>
    </row>
    <row r="2705" spans="1:9" x14ac:dyDescent="0.3">
      <c r="A2705" t="str">
        <f>""</f>
        <v/>
      </c>
      <c r="F2705" t="str">
        <f>""</f>
        <v/>
      </c>
      <c r="G2705" t="str">
        <f>""</f>
        <v/>
      </c>
      <c r="I2705" t="str">
        <f t="shared" ref="I2705:I2736" si="52">"BCBS PAYABLE"</f>
        <v>BCBS PAYABLE</v>
      </c>
    </row>
    <row r="2706" spans="1:9" x14ac:dyDescent="0.3">
      <c r="A2706" t="str">
        <f>""</f>
        <v/>
      </c>
      <c r="F2706" t="str">
        <f>"2EC201711296860"</f>
        <v>2EC201711296860</v>
      </c>
      <c r="G2706" t="str">
        <f>"BCBS PAYABLE"</f>
        <v>BCBS PAYABLE</v>
      </c>
      <c r="H2706" s="2">
        <v>1795.24</v>
      </c>
      <c r="I2706" t="str">
        <f t="shared" si="52"/>
        <v>BCBS PAYABLE</v>
      </c>
    </row>
    <row r="2707" spans="1:9" x14ac:dyDescent="0.3">
      <c r="A2707" t="str">
        <f>""</f>
        <v/>
      </c>
      <c r="F2707" t="str">
        <f>""</f>
        <v/>
      </c>
      <c r="G2707" t="str">
        <f>""</f>
        <v/>
      </c>
      <c r="I2707" t="str">
        <f t="shared" si="52"/>
        <v>BCBS PAYABLE</v>
      </c>
    </row>
    <row r="2708" spans="1:9" x14ac:dyDescent="0.3">
      <c r="A2708" t="str">
        <f>""</f>
        <v/>
      </c>
      <c r="F2708" t="str">
        <f>"2EC201712137295"</f>
        <v>2EC201712137295</v>
      </c>
      <c r="G2708" t="str">
        <f>"BCBS PAYABLE"</f>
        <v>BCBS PAYABLE</v>
      </c>
      <c r="H2708" s="2">
        <v>45329.81</v>
      </c>
      <c r="I2708" t="str">
        <f t="shared" si="52"/>
        <v>BCBS PAYABLE</v>
      </c>
    </row>
    <row r="2709" spans="1:9" x14ac:dyDescent="0.3">
      <c r="A2709" t="str">
        <f>""</f>
        <v/>
      </c>
      <c r="F2709" t="str">
        <f>""</f>
        <v/>
      </c>
      <c r="G2709" t="str">
        <f>""</f>
        <v/>
      </c>
      <c r="I2709" t="str">
        <f t="shared" si="52"/>
        <v>BCBS PAYABLE</v>
      </c>
    </row>
    <row r="2710" spans="1:9" x14ac:dyDescent="0.3">
      <c r="A2710" t="str">
        <f>""</f>
        <v/>
      </c>
      <c r="F2710" t="str">
        <f>""</f>
        <v/>
      </c>
      <c r="G2710" t="str">
        <f>""</f>
        <v/>
      </c>
      <c r="I2710" t="str">
        <f t="shared" si="52"/>
        <v>BCBS PAYABLE</v>
      </c>
    </row>
    <row r="2711" spans="1:9" x14ac:dyDescent="0.3">
      <c r="A2711" t="str">
        <f>""</f>
        <v/>
      </c>
      <c r="F2711" t="str">
        <f>""</f>
        <v/>
      </c>
      <c r="G2711" t="str">
        <f>""</f>
        <v/>
      </c>
      <c r="I2711" t="str">
        <f t="shared" si="52"/>
        <v>BCBS PAYABLE</v>
      </c>
    </row>
    <row r="2712" spans="1:9" x14ac:dyDescent="0.3">
      <c r="A2712" t="str">
        <f>""</f>
        <v/>
      </c>
      <c r="F2712" t="str">
        <f>""</f>
        <v/>
      </c>
      <c r="G2712" t="str">
        <f>""</f>
        <v/>
      </c>
      <c r="I2712" t="str">
        <f t="shared" si="52"/>
        <v>BCBS PAYABLE</v>
      </c>
    </row>
    <row r="2713" spans="1:9" x14ac:dyDescent="0.3">
      <c r="A2713" t="str">
        <f>""</f>
        <v/>
      </c>
      <c r="F2713" t="str">
        <f>""</f>
        <v/>
      </c>
      <c r="G2713" t="str">
        <f>""</f>
        <v/>
      </c>
      <c r="I2713" t="str">
        <f t="shared" si="52"/>
        <v>BCBS PAYABLE</v>
      </c>
    </row>
    <row r="2714" spans="1:9" x14ac:dyDescent="0.3">
      <c r="A2714" t="str">
        <f>""</f>
        <v/>
      </c>
      <c r="F2714" t="str">
        <f>""</f>
        <v/>
      </c>
      <c r="G2714" t="str">
        <f>""</f>
        <v/>
      </c>
      <c r="I2714" t="str">
        <f t="shared" si="52"/>
        <v>BCBS PAYABLE</v>
      </c>
    </row>
    <row r="2715" spans="1:9" x14ac:dyDescent="0.3">
      <c r="A2715" t="str">
        <f>""</f>
        <v/>
      </c>
      <c r="F2715" t="str">
        <f>""</f>
        <v/>
      </c>
      <c r="G2715" t="str">
        <f>""</f>
        <v/>
      </c>
      <c r="I2715" t="str">
        <f t="shared" si="52"/>
        <v>BCBS PAYABLE</v>
      </c>
    </row>
    <row r="2716" spans="1:9" x14ac:dyDescent="0.3">
      <c r="A2716" t="str">
        <f>""</f>
        <v/>
      </c>
      <c r="F2716" t="str">
        <f>""</f>
        <v/>
      </c>
      <c r="G2716" t="str">
        <f>""</f>
        <v/>
      </c>
      <c r="I2716" t="str">
        <f t="shared" si="52"/>
        <v>BCBS PAYABLE</v>
      </c>
    </row>
    <row r="2717" spans="1:9" x14ac:dyDescent="0.3">
      <c r="A2717" t="str">
        <f>""</f>
        <v/>
      </c>
      <c r="F2717" t="str">
        <f>""</f>
        <v/>
      </c>
      <c r="G2717" t="str">
        <f>""</f>
        <v/>
      </c>
      <c r="I2717" t="str">
        <f t="shared" si="52"/>
        <v>BCBS PAYABLE</v>
      </c>
    </row>
    <row r="2718" spans="1:9" x14ac:dyDescent="0.3">
      <c r="A2718" t="str">
        <f>""</f>
        <v/>
      </c>
      <c r="F2718" t="str">
        <f>""</f>
        <v/>
      </c>
      <c r="G2718" t="str">
        <f>""</f>
        <v/>
      </c>
      <c r="I2718" t="str">
        <f t="shared" si="52"/>
        <v>BCBS PAYABLE</v>
      </c>
    </row>
    <row r="2719" spans="1:9" x14ac:dyDescent="0.3">
      <c r="A2719" t="str">
        <f>""</f>
        <v/>
      </c>
      <c r="F2719" t="str">
        <f>""</f>
        <v/>
      </c>
      <c r="G2719" t="str">
        <f>""</f>
        <v/>
      </c>
      <c r="I2719" t="str">
        <f t="shared" si="52"/>
        <v>BCBS PAYABLE</v>
      </c>
    </row>
    <row r="2720" spans="1:9" x14ac:dyDescent="0.3">
      <c r="A2720" t="str">
        <f>""</f>
        <v/>
      </c>
      <c r="F2720" t="str">
        <f>""</f>
        <v/>
      </c>
      <c r="G2720" t="str">
        <f>""</f>
        <v/>
      </c>
      <c r="I2720" t="str">
        <f t="shared" si="52"/>
        <v>BCBS PAYABLE</v>
      </c>
    </row>
    <row r="2721" spans="1:9" x14ac:dyDescent="0.3">
      <c r="A2721" t="str">
        <f>""</f>
        <v/>
      </c>
      <c r="F2721" t="str">
        <f>""</f>
        <v/>
      </c>
      <c r="G2721" t="str">
        <f>""</f>
        <v/>
      </c>
      <c r="I2721" t="str">
        <f t="shared" si="52"/>
        <v>BCBS PAYABLE</v>
      </c>
    </row>
    <row r="2722" spans="1:9" x14ac:dyDescent="0.3">
      <c r="A2722" t="str">
        <f>""</f>
        <v/>
      </c>
      <c r="F2722" t="str">
        <f>""</f>
        <v/>
      </c>
      <c r="G2722" t="str">
        <f>""</f>
        <v/>
      </c>
      <c r="I2722" t="str">
        <f t="shared" si="52"/>
        <v>BCBS PAYABLE</v>
      </c>
    </row>
    <row r="2723" spans="1:9" x14ac:dyDescent="0.3">
      <c r="A2723" t="str">
        <f>""</f>
        <v/>
      </c>
      <c r="F2723" t="str">
        <f>""</f>
        <v/>
      </c>
      <c r="G2723" t="str">
        <f>""</f>
        <v/>
      </c>
      <c r="I2723" t="str">
        <f t="shared" si="52"/>
        <v>BCBS PAYABLE</v>
      </c>
    </row>
    <row r="2724" spans="1:9" x14ac:dyDescent="0.3">
      <c r="A2724" t="str">
        <f>""</f>
        <v/>
      </c>
      <c r="F2724" t="str">
        <f>""</f>
        <v/>
      </c>
      <c r="G2724" t="str">
        <f>""</f>
        <v/>
      </c>
      <c r="I2724" t="str">
        <f t="shared" si="52"/>
        <v>BCBS PAYABLE</v>
      </c>
    </row>
    <row r="2725" spans="1:9" x14ac:dyDescent="0.3">
      <c r="A2725" t="str">
        <f>""</f>
        <v/>
      </c>
      <c r="F2725" t="str">
        <f>""</f>
        <v/>
      </c>
      <c r="G2725" t="str">
        <f>""</f>
        <v/>
      </c>
      <c r="I2725" t="str">
        <f t="shared" si="52"/>
        <v>BCBS PAYABLE</v>
      </c>
    </row>
    <row r="2726" spans="1:9" x14ac:dyDescent="0.3">
      <c r="A2726" t="str">
        <f>""</f>
        <v/>
      </c>
      <c r="F2726" t="str">
        <f>""</f>
        <v/>
      </c>
      <c r="G2726" t="str">
        <f>""</f>
        <v/>
      </c>
      <c r="I2726" t="str">
        <f t="shared" si="52"/>
        <v>BCBS PAYABLE</v>
      </c>
    </row>
    <row r="2727" spans="1:9" x14ac:dyDescent="0.3">
      <c r="A2727" t="str">
        <f>""</f>
        <v/>
      </c>
      <c r="F2727" t="str">
        <f>""</f>
        <v/>
      </c>
      <c r="G2727" t="str">
        <f>""</f>
        <v/>
      </c>
      <c r="I2727" t="str">
        <f t="shared" si="52"/>
        <v>BCBS PAYABLE</v>
      </c>
    </row>
    <row r="2728" spans="1:9" x14ac:dyDescent="0.3">
      <c r="A2728" t="str">
        <f>""</f>
        <v/>
      </c>
      <c r="F2728" t="str">
        <f>""</f>
        <v/>
      </c>
      <c r="G2728" t="str">
        <f>""</f>
        <v/>
      </c>
      <c r="I2728" t="str">
        <f t="shared" si="52"/>
        <v>BCBS PAYABLE</v>
      </c>
    </row>
    <row r="2729" spans="1:9" x14ac:dyDescent="0.3">
      <c r="A2729" t="str">
        <f>""</f>
        <v/>
      </c>
      <c r="F2729" t="str">
        <f>""</f>
        <v/>
      </c>
      <c r="G2729" t="str">
        <f>""</f>
        <v/>
      </c>
      <c r="I2729" t="str">
        <f t="shared" si="52"/>
        <v>BCBS PAYABLE</v>
      </c>
    </row>
    <row r="2730" spans="1:9" x14ac:dyDescent="0.3">
      <c r="A2730" t="str">
        <f>""</f>
        <v/>
      </c>
      <c r="F2730" t="str">
        <f>""</f>
        <v/>
      </c>
      <c r="G2730" t="str">
        <f>""</f>
        <v/>
      </c>
      <c r="I2730" t="str">
        <f t="shared" si="52"/>
        <v>BCBS PAYABLE</v>
      </c>
    </row>
    <row r="2731" spans="1:9" x14ac:dyDescent="0.3">
      <c r="A2731" t="str">
        <f>""</f>
        <v/>
      </c>
      <c r="F2731" t="str">
        <f>""</f>
        <v/>
      </c>
      <c r="G2731" t="str">
        <f>""</f>
        <v/>
      </c>
      <c r="I2731" t="str">
        <f t="shared" si="52"/>
        <v>BCBS PAYABLE</v>
      </c>
    </row>
    <row r="2732" spans="1:9" x14ac:dyDescent="0.3">
      <c r="A2732" t="str">
        <f>""</f>
        <v/>
      </c>
      <c r="F2732" t="str">
        <f>""</f>
        <v/>
      </c>
      <c r="G2732" t="str">
        <f>""</f>
        <v/>
      </c>
      <c r="I2732" t="str">
        <f t="shared" si="52"/>
        <v>BCBS PAYABLE</v>
      </c>
    </row>
    <row r="2733" spans="1:9" x14ac:dyDescent="0.3">
      <c r="A2733" t="str">
        <f>""</f>
        <v/>
      </c>
      <c r="F2733" t="str">
        <f>""</f>
        <v/>
      </c>
      <c r="G2733" t="str">
        <f>""</f>
        <v/>
      </c>
      <c r="I2733" t="str">
        <f t="shared" si="52"/>
        <v>BCBS PAYABLE</v>
      </c>
    </row>
    <row r="2734" spans="1:9" x14ac:dyDescent="0.3">
      <c r="A2734" t="str">
        <f>""</f>
        <v/>
      </c>
      <c r="F2734" t="str">
        <f>""</f>
        <v/>
      </c>
      <c r="G2734" t="str">
        <f>""</f>
        <v/>
      </c>
      <c r="I2734" t="str">
        <f t="shared" si="52"/>
        <v>BCBS PAYABLE</v>
      </c>
    </row>
    <row r="2735" spans="1:9" x14ac:dyDescent="0.3">
      <c r="A2735" t="str">
        <f>""</f>
        <v/>
      </c>
      <c r="F2735" t="str">
        <f>""</f>
        <v/>
      </c>
      <c r="G2735" t="str">
        <f>""</f>
        <v/>
      </c>
      <c r="I2735" t="str">
        <f t="shared" si="52"/>
        <v>BCBS PAYABLE</v>
      </c>
    </row>
    <row r="2736" spans="1:9" x14ac:dyDescent="0.3">
      <c r="A2736" t="str">
        <f>""</f>
        <v/>
      </c>
      <c r="F2736" t="str">
        <f>""</f>
        <v/>
      </c>
      <c r="G2736" t="str">
        <f>""</f>
        <v/>
      </c>
      <c r="I2736" t="str">
        <f t="shared" si="52"/>
        <v>BCBS PAYABLE</v>
      </c>
    </row>
    <row r="2737" spans="1:9" x14ac:dyDescent="0.3">
      <c r="A2737" t="str">
        <f>""</f>
        <v/>
      </c>
      <c r="F2737" t="str">
        <f>""</f>
        <v/>
      </c>
      <c r="G2737" t="str">
        <f>""</f>
        <v/>
      </c>
      <c r="I2737" t="str">
        <f t="shared" ref="I2737:I2768" si="53">"BCBS PAYABLE"</f>
        <v>BCBS PAYABLE</v>
      </c>
    </row>
    <row r="2738" spans="1:9" x14ac:dyDescent="0.3">
      <c r="A2738" t="str">
        <f>""</f>
        <v/>
      </c>
      <c r="F2738" t="str">
        <f>""</f>
        <v/>
      </c>
      <c r="G2738" t="str">
        <f>""</f>
        <v/>
      </c>
      <c r="I2738" t="str">
        <f t="shared" si="53"/>
        <v>BCBS PAYABLE</v>
      </c>
    </row>
    <row r="2739" spans="1:9" x14ac:dyDescent="0.3">
      <c r="A2739" t="str">
        <f>""</f>
        <v/>
      </c>
      <c r="F2739" t="str">
        <f>""</f>
        <v/>
      </c>
      <c r="G2739" t="str">
        <f>""</f>
        <v/>
      </c>
      <c r="I2739" t="str">
        <f t="shared" si="53"/>
        <v>BCBS PAYABLE</v>
      </c>
    </row>
    <row r="2740" spans="1:9" x14ac:dyDescent="0.3">
      <c r="A2740" t="str">
        <f>""</f>
        <v/>
      </c>
      <c r="F2740" t="str">
        <f>""</f>
        <v/>
      </c>
      <c r="G2740" t="str">
        <f>""</f>
        <v/>
      </c>
      <c r="I2740" t="str">
        <f t="shared" si="53"/>
        <v>BCBS PAYABLE</v>
      </c>
    </row>
    <row r="2741" spans="1:9" x14ac:dyDescent="0.3">
      <c r="A2741" t="str">
        <f>""</f>
        <v/>
      </c>
      <c r="F2741" t="str">
        <f>"2EC201712137296"</f>
        <v>2EC201712137296</v>
      </c>
      <c r="G2741" t="str">
        <f>"BCBS PAYABLE"</f>
        <v>BCBS PAYABLE</v>
      </c>
      <c r="H2741" s="2">
        <v>1795.24</v>
      </c>
      <c r="I2741" t="str">
        <f t="shared" si="53"/>
        <v>BCBS PAYABLE</v>
      </c>
    </row>
    <row r="2742" spans="1:9" x14ac:dyDescent="0.3">
      <c r="A2742" t="str">
        <f>""</f>
        <v/>
      </c>
      <c r="F2742" t="str">
        <f>""</f>
        <v/>
      </c>
      <c r="G2742" t="str">
        <f>""</f>
        <v/>
      </c>
      <c r="I2742" t="str">
        <f t="shared" si="53"/>
        <v>BCBS PAYABLE</v>
      </c>
    </row>
    <row r="2743" spans="1:9" x14ac:dyDescent="0.3">
      <c r="A2743" t="str">
        <f>""</f>
        <v/>
      </c>
      <c r="F2743" t="str">
        <f>"2EF201711296859"</f>
        <v>2EF201711296859</v>
      </c>
      <c r="G2743" t="str">
        <f>"BCBS PAYABLE"</f>
        <v>BCBS PAYABLE</v>
      </c>
      <c r="H2743" s="2">
        <v>2675.61</v>
      </c>
      <c r="I2743" t="str">
        <f t="shared" si="53"/>
        <v>BCBS PAYABLE</v>
      </c>
    </row>
    <row r="2744" spans="1:9" x14ac:dyDescent="0.3">
      <c r="A2744" t="str">
        <f>""</f>
        <v/>
      </c>
      <c r="F2744" t="str">
        <f>""</f>
        <v/>
      </c>
      <c r="G2744" t="str">
        <f>""</f>
        <v/>
      </c>
      <c r="I2744" t="str">
        <f t="shared" si="53"/>
        <v>BCBS PAYABLE</v>
      </c>
    </row>
    <row r="2745" spans="1:9" x14ac:dyDescent="0.3">
      <c r="A2745" t="str">
        <f>""</f>
        <v/>
      </c>
      <c r="F2745" t="str">
        <f>""</f>
        <v/>
      </c>
      <c r="G2745" t="str">
        <f>""</f>
        <v/>
      </c>
      <c r="I2745" t="str">
        <f t="shared" si="53"/>
        <v>BCBS PAYABLE</v>
      </c>
    </row>
    <row r="2746" spans="1:9" x14ac:dyDescent="0.3">
      <c r="A2746" t="str">
        <f>""</f>
        <v/>
      </c>
      <c r="F2746" t="str">
        <f>""</f>
        <v/>
      </c>
      <c r="G2746" t="str">
        <f>""</f>
        <v/>
      </c>
      <c r="I2746" t="str">
        <f t="shared" si="53"/>
        <v>BCBS PAYABLE</v>
      </c>
    </row>
    <row r="2747" spans="1:9" x14ac:dyDescent="0.3">
      <c r="A2747" t="str">
        <f>""</f>
        <v/>
      </c>
      <c r="F2747" t="str">
        <f>"2EF201712137295"</f>
        <v>2EF201712137295</v>
      </c>
      <c r="G2747" t="str">
        <f>"BCBS PAYABLE"</f>
        <v>BCBS PAYABLE</v>
      </c>
      <c r="H2747" s="2">
        <v>2675.61</v>
      </c>
      <c r="I2747" t="str">
        <f t="shared" si="53"/>
        <v>BCBS PAYABLE</v>
      </c>
    </row>
    <row r="2748" spans="1:9" x14ac:dyDescent="0.3">
      <c r="A2748" t="str">
        <f>""</f>
        <v/>
      </c>
      <c r="F2748" t="str">
        <f>""</f>
        <v/>
      </c>
      <c r="G2748" t="str">
        <f>""</f>
        <v/>
      </c>
      <c r="I2748" t="str">
        <f t="shared" si="53"/>
        <v>BCBS PAYABLE</v>
      </c>
    </row>
    <row r="2749" spans="1:9" x14ac:dyDescent="0.3">
      <c r="A2749" t="str">
        <f>""</f>
        <v/>
      </c>
      <c r="F2749" t="str">
        <f>""</f>
        <v/>
      </c>
      <c r="G2749" t="str">
        <f>""</f>
        <v/>
      </c>
      <c r="I2749" t="str">
        <f t="shared" si="53"/>
        <v>BCBS PAYABLE</v>
      </c>
    </row>
    <row r="2750" spans="1:9" x14ac:dyDescent="0.3">
      <c r="A2750" t="str">
        <f>""</f>
        <v/>
      </c>
      <c r="F2750" t="str">
        <f>""</f>
        <v/>
      </c>
      <c r="G2750" t="str">
        <f>""</f>
        <v/>
      </c>
      <c r="I2750" t="str">
        <f t="shared" si="53"/>
        <v>BCBS PAYABLE</v>
      </c>
    </row>
    <row r="2751" spans="1:9" x14ac:dyDescent="0.3">
      <c r="A2751" t="str">
        <f>""</f>
        <v/>
      </c>
      <c r="F2751" t="str">
        <f>"2EO201711296859"</f>
        <v>2EO201711296859</v>
      </c>
      <c r="G2751" t="str">
        <f>"BCBS PAYABLE"</f>
        <v>BCBS PAYABLE</v>
      </c>
      <c r="H2751" s="2">
        <v>87836.57</v>
      </c>
      <c r="I2751" t="str">
        <f t="shared" si="53"/>
        <v>BCBS PAYABLE</v>
      </c>
    </row>
    <row r="2752" spans="1:9" x14ac:dyDescent="0.3">
      <c r="A2752" t="str">
        <f>""</f>
        <v/>
      </c>
      <c r="F2752" t="str">
        <f>""</f>
        <v/>
      </c>
      <c r="G2752" t="str">
        <f>""</f>
        <v/>
      </c>
      <c r="I2752" t="str">
        <f t="shared" si="53"/>
        <v>BCBS PAYABLE</v>
      </c>
    </row>
    <row r="2753" spans="1:9" x14ac:dyDescent="0.3">
      <c r="A2753" t="str">
        <f>""</f>
        <v/>
      </c>
      <c r="F2753" t="str">
        <f>""</f>
        <v/>
      </c>
      <c r="G2753" t="str">
        <f>""</f>
        <v/>
      </c>
      <c r="I2753" t="str">
        <f t="shared" si="53"/>
        <v>BCBS PAYABLE</v>
      </c>
    </row>
    <row r="2754" spans="1:9" x14ac:dyDescent="0.3">
      <c r="A2754" t="str">
        <f>""</f>
        <v/>
      </c>
      <c r="F2754" t="str">
        <f>""</f>
        <v/>
      </c>
      <c r="G2754" t="str">
        <f>""</f>
        <v/>
      </c>
      <c r="I2754" t="str">
        <f t="shared" si="53"/>
        <v>BCBS PAYABLE</v>
      </c>
    </row>
    <row r="2755" spans="1:9" x14ac:dyDescent="0.3">
      <c r="A2755" t="str">
        <f>""</f>
        <v/>
      </c>
      <c r="F2755" t="str">
        <f>""</f>
        <v/>
      </c>
      <c r="G2755" t="str">
        <f>""</f>
        <v/>
      </c>
      <c r="I2755" t="str">
        <f t="shared" si="53"/>
        <v>BCBS PAYABLE</v>
      </c>
    </row>
    <row r="2756" spans="1:9" x14ac:dyDescent="0.3">
      <c r="A2756" t="str">
        <f>""</f>
        <v/>
      </c>
      <c r="F2756" t="str">
        <f>""</f>
        <v/>
      </c>
      <c r="G2756" t="str">
        <f>""</f>
        <v/>
      </c>
      <c r="I2756" t="str">
        <f t="shared" si="53"/>
        <v>BCBS PAYABLE</v>
      </c>
    </row>
    <row r="2757" spans="1:9" x14ac:dyDescent="0.3">
      <c r="A2757" t="str">
        <f>""</f>
        <v/>
      </c>
      <c r="F2757" t="str">
        <f>""</f>
        <v/>
      </c>
      <c r="G2757" t="str">
        <f>""</f>
        <v/>
      </c>
      <c r="I2757" t="str">
        <f t="shared" si="53"/>
        <v>BCBS PAYABLE</v>
      </c>
    </row>
    <row r="2758" spans="1:9" x14ac:dyDescent="0.3">
      <c r="A2758" t="str">
        <f>""</f>
        <v/>
      </c>
      <c r="F2758" t="str">
        <f>""</f>
        <v/>
      </c>
      <c r="G2758" t="str">
        <f>""</f>
        <v/>
      </c>
      <c r="I2758" t="str">
        <f t="shared" si="53"/>
        <v>BCBS PAYABLE</v>
      </c>
    </row>
    <row r="2759" spans="1:9" x14ac:dyDescent="0.3">
      <c r="A2759" t="str">
        <f>""</f>
        <v/>
      </c>
      <c r="F2759" t="str">
        <f>""</f>
        <v/>
      </c>
      <c r="G2759" t="str">
        <f>""</f>
        <v/>
      </c>
      <c r="I2759" t="str">
        <f t="shared" si="53"/>
        <v>BCBS PAYABLE</v>
      </c>
    </row>
    <row r="2760" spans="1:9" x14ac:dyDescent="0.3">
      <c r="A2760" t="str">
        <f>""</f>
        <v/>
      </c>
      <c r="F2760" t="str">
        <f>""</f>
        <v/>
      </c>
      <c r="G2760" t="str">
        <f>""</f>
        <v/>
      </c>
      <c r="I2760" t="str">
        <f t="shared" si="53"/>
        <v>BCBS PAYABLE</v>
      </c>
    </row>
    <row r="2761" spans="1:9" x14ac:dyDescent="0.3">
      <c r="A2761" t="str">
        <f>""</f>
        <v/>
      </c>
      <c r="F2761" t="str">
        <f>""</f>
        <v/>
      </c>
      <c r="G2761" t="str">
        <f>""</f>
        <v/>
      </c>
      <c r="I2761" t="str">
        <f t="shared" si="53"/>
        <v>BCBS PAYABLE</v>
      </c>
    </row>
    <row r="2762" spans="1:9" x14ac:dyDescent="0.3">
      <c r="A2762" t="str">
        <f>""</f>
        <v/>
      </c>
      <c r="F2762" t="str">
        <f>""</f>
        <v/>
      </c>
      <c r="G2762" t="str">
        <f>""</f>
        <v/>
      </c>
      <c r="I2762" t="str">
        <f t="shared" si="53"/>
        <v>BCBS PAYABLE</v>
      </c>
    </row>
    <row r="2763" spans="1:9" x14ac:dyDescent="0.3">
      <c r="A2763" t="str">
        <f>""</f>
        <v/>
      </c>
      <c r="F2763" t="str">
        <f>""</f>
        <v/>
      </c>
      <c r="G2763" t="str">
        <f>""</f>
        <v/>
      </c>
      <c r="I2763" t="str">
        <f t="shared" si="53"/>
        <v>BCBS PAYABLE</v>
      </c>
    </row>
    <row r="2764" spans="1:9" x14ac:dyDescent="0.3">
      <c r="A2764" t="str">
        <f>""</f>
        <v/>
      </c>
      <c r="F2764" t="str">
        <f>""</f>
        <v/>
      </c>
      <c r="G2764" t="str">
        <f>""</f>
        <v/>
      </c>
      <c r="I2764" t="str">
        <f t="shared" si="53"/>
        <v>BCBS PAYABLE</v>
      </c>
    </row>
    <row r="2765" spans="1:9" x14ac:dyDescent="0.3">
      <c r="A2765" t="str">
        <f>""</f>
        <v/>
      </c>
      <c r="F2765" t="str">
        <f>""</f>
        <v/>
      </c>
      <c r="G2765" t="str">
        <f>""</f>
        <v/>
      </c>
      <c r="I2765" t="str">
        <f t="shared" si="53"/>
        <v>BCBS PAYABLE</v>
      </c>
    </row>
    <row r="2766" spans="1:9" x14ac:dyDescent="0.3">
      <c r="A2766" t="str">
        <f>""</f>
        <v/>
      </c>
      <c r="F2766" t="str">
        <f>""</f>
        <v/>
      </c>
      <c r="G2766" t="str">
        <f>""</f>
        <v/>
      </c>
      <c r="I2766" t="str">
        <f t="shared" si="53"/>
        <v>BCBS PAYABLE</v>
      </c>
    </row>
    <row r="2767" spans="1:9" x14ac:dyDescent="0.3">
      <c r="A2767" t="str">
        <f>""</f>
        <v/>
      </c>
      <c r="F2767" t="str">
        <f>""</f>
        <v/>
      </c>
      <c r="G2767" t="str">
        <f>""</f>
        <v/>
      </c>
      <c r="I2767" t="str">
        <f t="shared" si="53"/>
        <v>BCBS PAYABLE</v>
      </c>
    </row>
    <row r="2768" spans="1:9" x14ac:dyDescent="0.3">
      <c r="A2768" t="str">
        <f>""</f>
        <v/>
      </c>
      <c r="F2768" t="str">
        <f>""</f>
        <v/>
      </c>
      <c r="G2768" t="str">
        <f>""</f>
        <v/>
      </c>
      <c r="I2768" t="str">
        <f t="shared" si="53"/>
        <v>BCBS PAYABLE</v>
      </c>
    </row>
    <row r="2769" spans="1:9" x14ac:dyDescent="0.3">
      <c r="A2769" t="str">
        <f>""</f>
        <v/>
      </c>
      <c r="F2769" t="str">
        <f>""</f>
        <v/>
      </c>
      <c r="G2769" t="str">
        <f>""</f>
        <v/>
      </c>
      <c r="I2769" t="str">
        <f t="shared" ref="I2769:I2800" si="54">"BCBS PAYABLE"</f>
        <v>BCBS PAYABLE</v>
      </c>
    </row>
    <row r="2770" spans="1:9" x14ac:dyDescent="0.3">
      <c r="A2770" t="str">
        <f>""</f>
        <v/>
      </c>
      <c r="F2770" t="str">
        <f>""</f>
        <v/>
      </c>
      <c r="G2770" t="str">
        <f>""</f>
        <v/>
      </c>
      <c r="I2770" t="str">
        <f t="shared" si="54"/>
        <v>BCBS PAYABLE</v>
      </c>
    </row>
    <row r="2771" spans="1:9" x14ac:dyDescent="0.3">
      <c r="A2771" t="str">
        <f>""</f>
        <v/>
      </c>
      <c r="F2771" t="str">
        <f>""</f>
        <v/>
      </c>
      <c r="G2771" t="str">
        <f>""</f>
        <v/>
      </c>
      <c r="I2771" t="str">
        <f t="shared" si="54"/>
        <v>BCBS PAYABLE</v>
      </c>
    </row>
    <row r="2772" spans="1:9" x14ac:dyDescent="0.3">
      <c r="A2772" t="str">
        <f>""</f>
        <v/>
      </c>
      <c r="F2772" t="str">
        <f>""</f>
        <v/>
      </c>
      <c r="G2772" t="str">
        <f>""</f>
        <v/>
      </c>
      <c r="I2772" t="str">
        <f t="shared" si="54"/>
        <v>BCBS PAYABLE</v>
      </c>
    </row>
    <row r="2773" spans="1:9" x14ac:dyDescent="0.3">
      <c r="A2773" t="str">
        <f>""</f>
        <v/>
      </c>
      <c r="F2773" t="str">
        <f>""</f>
        <v/>
      </c>
      <c r="G2773" t="str">
        <f>""</f>
        <v/>
      </c>
      <c r="I2773" t="str">
        <f t="shared" si="54"/>
        <v>BCBS PAYABLE</v>
      </c>
    </row>
    <row r="2774" spans="1:9" x14ac:dyDescent="0.3">
      <c r="A2774" t="str">
        <f>""</f>
        <v/>
      </c>
      <c r="F2774" t="str">
        <f>""</f>
        <v/>
      </c>
      <c r="G2774" t="str">
        <f>""</f>
        <v/>
      </c>
      <c r="I2774" t="str">
        <f t="shared" si="54"/>
        <v>BCBS PAYABLE</v>
      </c>
    </row>
    <row r="2775" spans="1:9" x14ac:dyDescent="0.3">
      <c r="A2775" t="str">
        <f>""</f>
        <v/>
      </c>
      <c r="F2775" t="str">
        <f>""</f>
        <v/>
      </c>
      <c r="G2775" t="str">
        <f>""</f>
        <v/>
      </c>
      <c r="I2775" t="str">
        <f t="shared" si="54"/>
        <v>BCBS PAYABLE</v>
      </c>
    </row>
    <row r="2776" spans="1:9" x14ac:dyDescent="0.3">
      <c r="A2776" t="str">
        <f>""</f>
        <v/>
      </c>
      <c r="F2776" t="str">
        <f>""</f>
        <v/>
      </c>
      <c r="G2776" t="str">
        <f>""</f>
        <v/>
      </c>
      <c r="I2776" t="str">
        <f t="shared" si="54"/>
        <v>BCBS PAYABLE</v>
      </c>
    </row>
    <row r="2777" spans="1:9" x14ac:dyDescent="0.3">
      <c r="A2777" t="str">
        <f>""</f>
        <v/>
      </c>
      <c r="F2777" t="str">
        <f>""</f>
        <v/>
      </c>
      <c r="G2777" t="str">
        <f>""</f>
        <v/>
      </c>
      <c r="I2777" t="str">
        <f t="shared" si="54"/>
        <v>BCBS PAYABLE</v>
      </c>
    </row>
    <row r="2778" spans="1:9" x14ac:dyDescent="0.3">
      <c r="A2778" t="str">
        <f>""</f>
        <v/>
      </c>
      <c r="F2778" t="str">
        <f>""</f>
        <v/>
      </c>
      <c r="G2778" t="str">
        <f>""</f>
        <v/>
      </c>
      <c r="I2778" t="str">
        <f t="shared" si="54"/>
        <v>BCBS PAYABLE</v>
      </c>
    </row>
    <row r="2779" spans="1:9" x14ac:dyDescent="0.3">
      <c r="A2779" t="str">
        <f>""</f>
        <v/>
      </c>
      <c r="F2779" t="str">
        <f>""</f>
        <v/>
      </c>
      <c r="G2779" t="str">
        <f>""</f>
        <v/>
      </c>
      <c r="I2779" t="str">
        <f t="shared" si="54"/>
        <v>BCBS PAYABLE</v>
      </c>
    </row>
    <row r="2780" spans="1:9" x14ac:dyDescent="0.3">
      <c r="A2780" t="str">
        <f>""</f>
        <v/>
      </c>
      <c r="F2780" t="str">
        <f>""</f>
        <v/>
      </c>
      <c r="G2780" t="str">
        <f>""</f>
        <v/>
      </c>
      <c r="I2780" t="str">
        <f t="shared" si="54"/>
        <v>BCBS PAYABLE</v>
      </c>
    </row>
    <row r="2781" spans="1:9" x14ac:dyDescent="0.3">
      <c r="A2781" t="str">
        <f>""</f>
        <v/>
      </c>
      <c r="F2781" t="str">
        <f>""</f>
        <v/>
      </c>
      <c r="G2781" t="str">
        <f>""</f>
        <v/>
      </c>
      <c r="I2781" t="str">
        <f t="shared" si="54"/>
        <v>BCBS PAYABLE</v>
      </c>
    </row>
    <row r="2782" spans="1:9" x14ac:dyDescent="0.3">
      <c r="A2782" t="str">
        <f>""</f>
        <v/>
      </c>
      <c r="F2782" t="str">
        <f>""</f>
        <v/>
      </c>
      <c r="G2782" t="str">
        <f>""</f>
        <v/>
      </c>
      <c r="I2782" t="str">
        <f t="shared" si="54"/>
        <v>BCBS PAYABLE</v>
      </c>
    </row>
    <row r="2783" spans="1:9" x14ac:dyDescent="0.3">
      <c r="A2783" t="str">
        <f>""</f>
        <v/>
      </c>
      <c r="F2783" t="str">
        <f>""</f>
        <v/>
      </c>
      <c r="G2783" t="str">
        <f>""</f>
        <v/>
      </c>
      <c r="I2783" t="str">
        <f t="shared" si="54"/>
        <v>BCBS PAYABLE</v>
      </c>
    </row>
    <row r="2784" spans="1:9" x14ac:dyDescent="0.3">
      <c r="A2784" t="str">
        <f>""</f>
        <v/>
      </c>
      <c r="F2784" t="str">
        <f>""</f>
        <v/>
      </c>
      <c r="G2784" t="str">
        <f>""</f>
        <v/>
      </c>
      <c r="I2784" t="str">
        <f t="shared" si="54"/>
        <v>BCBS PAYABLE</v>
      </c>
    </row>
    <row r="2785" spans="1:9" x14ac:dyDescent="0.3">
      <c r="A2785" t="str">
        <f>""</f>
        <v/>
      </c>
      <c r="F2785" t="str">
        <f>""</f>
        <v/>
      </c>
      <c r="G2785" t="str">
        <f>""</f>
        <v/>
      </c>
      <c r="I2785" t="str">
        <f t="shared" si="54"/>
        <v>BCBS PAYABLE</v>
      </c>
    </row>
    <row r="2786" spans="1:9" x14ac:dyDescent="0.3">
      <c r="A2786" t="str">
        <f>""</f>
        <v/>
      </c>
      <c r="F2786" t="str">
        <f>""</f>
        <v/>
      </c>
      <c r="G2786" t="str">
        <f>""</f>
        <v/>
      </c>
      <c r="I2786" t="str">
        <f t="shared" si="54"/>
        <v>BCBS PAYABLE</v>
      </c>
    </row>
    <row r="2787" spans="1:9" x14ac:dyDescent="0.3">
      <c r="A2787" t="str">
        <f>""</f>
        <v/>
      </c>
      <c r="F2787" t="str">
        <f>""</f>
        <v/>
      </c>
      <c r="G2787" t="str">
        <f>""</f>
        <v/>
      </c>
      <c r="I2787" t="str">
        <f t="shared" si="54"/>
        <v>BCBS PAYABLE</v>
      </c>
    </row>
    <row r="2788" spans="1:9" x14ac:dyDescent="0.3">
      <c r="A2788" t="str">
        <f>""</f>
        <v/>
      </c>
      <c r="F2788" t="str">
        <f>""</f>
        <v/>
      </c>
      <c r="G2788" t="str">
        <f>""</f>
        <v/>
      </c>
      <c r="I2788" t="str">
        <f t="shared" si="54"/>
        <v>BCBS PAYABLE</v>
      </c>
    </row>
    <row r="2789" spans="1:9" x14ac:dyDescent="0.3">
      <c r="A2789" t="str">
        <f>""</f>
        <v/>
      </c>
      <c r="F2789" t="str">
        <f>""</f>
        <v/>
      </c>
      <c r="G2789" t="str">
        <f>""</f>
        <v/>
      </c>
      <c r="I2789" t="str">
        <f t="shared" si="54"/>
        <v>BCBS PAYABLE</v>
      </c>
    </row>
    <row r="2790" spans="1:9" x14ac:dyDescent="0.3">
      <c r="A2790" t="str">
        <f>""</f>
        <v/>
      </c>
      <c r="F2790" t="str">
        <f>""</f>
        <v/>
      </c>
      <c r="G2790" t="str">
        <f>""</f>
        <v/>
      </c>
      <c r="I2790" t="str">
        <f t="shared" si="54"/>
        <v>BCBS PAYABLE</v>
      </c>
    </row>
    <row r="2791" spans="1:9" x14ac:dyDescent="0.3">
      <c r="A2791" t="str">
        <f>""</f>
        <v/>
      </c>
      <c r="F2791" t="str">
        <f>"2EO201711296860"</f>
        <v>2EO201711296860</v>
      </c>
      <c r="G2791" t="str">
        <f>"BCBS PAYABLE"</f>
        <v>BCBS PAYABLE</v>
      </c>
      <c r="H2791" s="2">
        <v>3591.83</v>
      </c>
      <c r="I2791" t="str">
        <f t="shared" si="54"/>
        <v>BCBS PAYABLE</v>
      </c>
    </row>
    <row r="2792" spans="1:9" x14ac:dyDescent="0.3">
      <c r="A2792" t="str">
        <f>""</f>
        <v/>
      </c>
      <c r="F2792" t="str">
        <f>"2EO201712137295"</f>
        <v>2EO201712137295</v>
      </c>
      <c r="G2792" t="str">
        <f>"BCBS PAYABLE"</f>
        <v>BCBS PAYABLE</v>
      </c>
      <c r="H2792" s="2">
        <v>88489.63</v>
      </c>
      <c r="I2792" t="str">
        <f t="shared" si="54"/>
        <v>BCBS PAYABLE</v>
      </c>
    </row>
    <row r="2793" spans="1:9" x14ac:dyDescent="0.3">
      <c r="A2793" t="str">
        <f>""</f>
        <v/>
      </c>
      <c r="F2793" t="str">
        <f>""</f>
        <v/>
      </c>
      <c r="G2793" t="str">
        <f>""</f>
        <v/>
      </c>
      <c r="I2793" t="str">
        <f t="shared" si="54"/>
        <v>BCBS PAYABLE</v>
      </c>
    </row>
    <row r="2794" spans="1:9" x14ac:dyDescent="0.3">
      <c r="A2794" t="str">
        <f>""</f>
        <v/>
      </c>
      <c r="F2794" t="str">
        <f>""</f>
        <v/>
      </c>
      <c r="G2794" t="str">
        <f>""</f>
        <v/>
      </c>
      <c r="I2794" t="str">
        <f t="shared" si="54"/>
        <v>BCBS PAYABLE</v>
      </c>
    </row>
    <row r="2795" spans="1:9" x14ac:dyDescent="0.3">
      <c r="A2795" t="str">
        <f>""</f>
        <v/>
      </c>
      <c r="F2795" t="str">
        <f>""</f>
        <v/>
      </c>
      <c r="G2795" t="str">
        <f>""</f>
        <v/>
      </c>
      <c r="I2795" t="str">
        <f t="shared" si="54"/>
        <v>BCBS PAYABLE</v>
      </c>
    </row>
    <row r="2796" spans="1:9" x14ac:dyDescent="0.3">
      <c r="A2796" t="str">
        <f>""</f>
        <v/>
      </c>
      <c r="F2796" t="str">
        <f>""</f>
        <v/>
      </c>
      <c r="G2796" t="str">
        <f>""</f>
        <v/>
      </c>
      <c r="I2796" t="str">
        <f t="shared" si="54"/>
        <v>BCBS PAYABLE</v>
      </c>
    </row>
    <row r="2797" spans="1:9" x14ac:dyDescent="0.3">
      <c r="A2797" t="str">
        <f>""</f>
        <v/>
      </c>
      <c r="F2797" t="str">
        <f>""</f>
        <v/>
      </c>
      <c r="G2797" t="str">
        <f>""</f>
        <v/>
      </c>
      <c r="I2797" t="str">
        <f t="shared" si="54"/>
        <v>BCBS PAYABLE</v>
      </c>
    </row>
    <row r="2798" spans="1:9" x14ac:dyDescent="0.3">
      <c r="A2798" t="str">
        <f>""</f>
        <v/>
      </c>
      <c r="F2798" t="str">
        <f>""</f>
        <v/>
      </c>
      <c r="G2798" t="str">
        <f>""</f>
        <v/>
      </c>
      <c r="I2798" t="str">
        <f t="shared" si="54"/>
        <v>BCBS PAYABLE</v>
      </c>
    </row>
    <row r="2799" spans="1:9" x14ac:dyDescent="0.3">
      <c r="A2799" t="str">
        <f>""</f>
        <v/>
      </c>
      <c r="F2799" t="str">
        <f>""</f>
        <v/>
      </c>
      <c r="G2799" t="str">
        <f>""</f>
        <v/>
      </c>
      <c r="I2799" t="str">
        <f t="shared" si="54"/>
        <v>BCBS PAYABLE</v>
      </c>
    </row>
    <row r="2800" spans="1:9" x14ac:dyDescent="0.3">
      <c r="A2800" t="str">
        <f>""</f>
        <v/>
      </c>
      <c r="F2800" t="str">
        <f>""</f>
        <v/>
      </c>
      <c r="G2800" t="str">
        <f>""</f>
        <v/>
      </c>
      <c r="I2800" t="str">
        <f t="shared" si="54"/>
        <v>BCBS PAYABLE</v>
      </c>
    </row>
    <row r="2801" spans="1:9" x14ac:dyDescent="0.3">
      <c r="A2801" t="str">
        <f>""</f>
        <v/>
      </c>
      <c r="F2801" t="str">
        <f>""</f>
        <v/>
      </c>
      <c r="G2801" t="str">
        <f>""</f>
        <v/>
      </c>
      <c r="I2801" t="str">
        <f t="shared" ref="I2801:I2832" si="55">"BCBS PAYABLE"</f>
        <v>BCBS PAYABLE</v>
      </c>
    </row>
    <row r="2802" spans="1:9" x14ac:dyDescent="0.3">
      <c r="A2802" t="str">
        <f>""</f>
        <v/>
      </c>
      <c r="F2802" t="str">
        <f>""</f>
        <v/>
      </c>
      <c r="G2802" t="str">
        <f>""</f>
        <v/>
      </c>
      <c r="I2802" t="str">
        <f t="shared" si="55"/>
        <v>BCBS PAYABLE</v>
      </c>
    </row>
    <row r="2803" spans="1:9" x14ac:dyDescent="0.3">
      <c r="A2803" t="str">
        <f>""</f>
        <v/>
      </c>
      <c r="F2803" t="str">
        <f>""</f>
        <v/>
      </c>
      <c r="G2803" t="str">
        <f>""</f>
        <v/>
      </c>
      <c r="I2803" t="str">
        <f t="shared" si="55"/>
        <v>BCBS PAYABLE</v>
      </c>
    </row>
    <row r="2804" spans="1:9" x14ac:dyDescent="0.3">
      <c r="A2804" t="str">
        <f>""</f>
        <v/>
      </c>
      <c r="F2804" t="str">
        <f>""</f>
        <v/>
      </c>
      <c r="G2804" t="str">
        <f>""</f>
        <v/>
      </c>
      <c r="I2804" t="str">
        <f t="shared" si="55"/>
        <v>BCBS PAYABLE</v>
      </c>
    </row>
    <row r="2805" spans="1:9" x14ac:dyDescent="0.3">
      <c r="A2805" t="str">
        <f>""</f>
        <v/>
      </c>
      <c r="F2805" t="str">
        <f>""</f>
        <v/>
      </c>
      <c r="G2805" t="str">
        <f>""</f>
        <v/>
      </c>
      <c r="I2805" t="str">
        <f t="shared" si="55"/>
        <v>BCBS PAYABLE</v>
      </c>
    </row>
    <row r="2806" spans="1:9" x14ac:dyDescent="0.3">
      <c r="A2806" t="str">
        <f>""</f>
        <v/>
      </c>
      <c r="F2806" t="str">
        <f>""</f>
        <v/>
      </c>
      <c r="G2806" t="str">
        <f>""</f>
        <v/>
      </c>
      <c r="I2806" t="str">
        <f t="shared" si="55"/>
        <v>BCBS PAYABLE</v>
      </c>
    </row>
    <row r="2807" spans="1:9" x14ac:dyDescent="0.3">
      <c r="A2807" t="str">
        <f>""</f>
        <v/>
      </c>
      <c r="F2807" t="str">
        <f>""</f>
        <v/>
      </c>
      <c r="G2807" t="str">
        <f>""</f>
        <v/>
      </c>
      <c r="I2807" t="str">
        <f t="shared" si="55"/>
        <v>BCBS PAYABLE</v>
      </c>
    </row>
    <row r="2808" spans="1:9" x14ac:dyDescent="0.3">
      <c r="A2808" t="str">
        <f>""</f>
        <v/>
      </c>
      <c r="F2808" t="str">
        <f>""</f>
        <v/>
      </c>
      <c r="G2808" t="str">
        <f>""</f>
        <v/>
      </c>
      <c r="I2808" t="str">
        <f t="shared" si="55"/>
        <v>BCBS PAYABLE</v>
      </c>
    </row>
    <row r="2809" spans="1:9" x14ac:dyDescent="0.3">
      <c r="A2809" t="str">
        <f>""</f>
        <v/>
      </c>
      <c r="F2809" t="str">
        <f>""</f>
        <v/>
      </c>
      <c r="G2809" t="str">
        <f>""</f>
        <v/>
      </c>
      <c r="I2809" t="str">
        <f t="shared" si="55"/>
        <v>BCBS PAYABLE</v>
      </c>
    </row>
    <row r="2810" spans="1:9" x14ac:dyDescent="0.3">
      <c r="A2810" t="str">
        <f>""</f>
        <v/>
      </c>
      <c r="F2810" t="str">
        <f>""</f>
        <v/>
      </c>
      <c r="G2810" t="str">
        <f>""</f>
        <v/>
      </c>
      <c r="I2810" t="str">
        <f t="shared" si="55"/>
        <v>BCBS PAYABLE</v>
      </c>
    </row>
    <row r="2811" spans="1:9" x14ac:dyDescent="0.3">
      <c r="A2811" t="str">
        <f>""</f>
        <v/>
      </c>
      <c r="F2811" t="str">
        <f>""</f>
        <v/>
      </c>
      <c r="G2811" t="str">
        <f>""</f>
        <v/>
      </c>
      <c r="I2811" t="str">
        <f t="shared" si="55"/>
        <v>BCBS PAYABLE</v>
      </c>
    </row>
    <row r="2812" spans="1:9" x14ac:dyDescent="0.3">
      <c r="A2812" t="str">
        <f>""</f>
        <v/>
      </c>
      <c r="F2812" t="str">
        <f>""</f>
        <v/>
      </c>
      <c r="G2812" t="str">
        <f>""</f>
        <v/>
      </c>
      <c r="I2812" t="str">
        <f t="shared" si="55"/>
        <v>BCBS PAYABLE</v>
      </c>
    </row>
    <row r="2813" spans="1:9" x14ac:dyDescent="0.3">
      <c r="A2813" t="str">
        <f>""</f>
        <v/>
      </c>
      <c r="F2813" t="str">
        <f>""</f>
        <v/>
      </c>
      <c r="G2813" t="str">
        <f>""</f>
        <v/>
      </c>
      <c r="I2813" t="str">
        <f t="shared" si="55"/>
        <v>BCBS PAYABLE</v>
      </c>
    </row>
    <row r="2814" spans="1:9" x14ac:dyDescent="0.3">
      <c r="A2814" t="str">
        <f>""</f>
        <v/>
      </c>
      <c r="F2814" t="str">
        <f>""</f>
        <v/>
      </c>
      <c r="G2814" t="str">
        <f>""</f>
        <v/>
      </c>
      <c r="I2814" t="str">
        <f t="shared" si="55"/>
        <v>BCBS PAYABLE</v>
      </c>
    </row>
    <row r="2815" spans="1:9" x14ac:dyDescent="0.3">
      <c r="A2815" t="str">
        <f>""</f>
        <v/>
      </c>
      <c r="F2815" t="str">
        <f>""</f>
        <v/>
      </c>
      <c r="G2815" t="str">
        <f>""</f>
        <v/>
      </c>
      <c r="I2815" t="str">
        <f t="shared" si="55"/>
        <v>BCBS PAYABLE</v>
      </c>
    </row>
    <row r="2816" spans="1:9" x14ac:dyDescent="0.3">
      <c r="A2816" t="str">
        <f>""</f>
        <v/>
      </c>
      <c r="F2816" t="str">
        <f>""</f>
        <v/>
      </c>
      <c r="G2816" t="str">
        <f>""</f>
        <v/>
      </c>
      <c r="I2816" t="str">
        <f t="shared" si="55"/>
        <v>BCBS PAYABLE</v>
      </c>
    </row>
    <row r="2817" spans="1:9" x14ac:dyDescent="0.3">
      <c r="A2817" t="str">
        <f>""</f>
        <v/>
      </c>
      <c r="F2817" t="str">
        <f>""</f>
        <v/>
      </c>
      <c r="G2817" t="str">
        <f>""</f>
        <v/>
      </c>
      <c r="I2817" t="str">
        <f t="shared" si="55"/>
        <v>BCBS PAYABLE</v>
      </c>
    </row>
    <row r="2818" spans="1:9" x14ac:dyDescent="0.3">
      <c r="A2818" t="str">
        <f>""</f>
        <v/>
      </c>
      <c r="F2818" t="str">
        <f>""</f>
        <v/>
      </c>
      <c r="G2818" t="str">
        <f>""</f>
        <v/>
      </c>
      <c r="I2818" t="str">
        <f t="shared" si="55"/>
        <v>BCBS PAYABLE</v>
      </c>
    </row>
    <row r="2819" spans="1:9" x14ac:dyDescent="0.3">
      <c r="A2819" t="str">
        <f>""</f>
        <v/>
      </c>
      <c r="F2819" t="str">
        <f>""</f>
        <v/>
      </c>
      <c r="G2819" t="str">
        <f>""</f>
        <v/>
      </c>
      <c r="I2819" t="str">
        <f t="shared" si="55"/>
        <v>BCBS PAYABLE</v>
      </c>
    </row>
    <row r="2820" spans="1:9" x14ac:dyDescent="0.3">
      <c r="A2820" t="str">
        <f>""</f>
        <v/>
      </c>
      <c r="F2820" t="str">
        <f>""</f>
        <v/>
      </c>
      <c r="G2820" t="str">
        <f>""</f>
        <v/>
      </c>
      <c r="I2820" t="str">
        <f t="shared" si="55"/>
        <v>BCBS PAYABLE</v>
      </c>
    </row>
    <row r="2821" spans="1:9" x14ac:dyDescent="0.3">
      <c r="A2821" t="str">
        <f>""</f>
        <v/>
      </c>
      <c r="F2821" t="str">
        <f>""</f>
        <v/>
      </c>
      <c r="G2821" t="str">
        <f>""</f>
        <v/>
      </c>
      <c r="I2821" t="str">
        <f t="shared" si="55"/>
        <v>BCBS PAYABLE</v>
      </c>
    </row>
    <row r="2822" spans="1:9" x14ac:dyDescent="0.3">
      <c r="A2822" t="str">
        <f>""</f>
        <v/>
      </c>
      <c r="F2822" t="str">
        <f>""</f>
        <v/>
      </c>
      <c r="G2822" t="str">
        <f>""</f>
        <v/>
      </c>
      <c r="I2822" t="str">
        <f t="shared" si="55"/>
        <v>BCBS PAYABLE</v>
      </c>
    </row>
    <row r="2823" spans="1:9" x14ac:dyDescent="0.3">
      <c r="A2823" t="str">
        <f>""</f>
        <v/>
      </c>
      <c r="F2823" t="str">
        <f>""</f>
        <v/>
      </c>
      <c r="G2823" t="str">
        <f>""</f>
        <v/>
      </c>
      <c r="I2823" t="str">
        <f t="shared" si="55"/>
        <v>BCBS PAYABLE</v>
      </c>
    </row>
    <row r="2824" spans="1:9" x14ac:dyDescent="0.3">
      <c r="A2824" t="str">
        <f>""</f>
        <v/>
      </c>
      <c r="F2824" t="str">
        <f>""</f>
        <v/>
      </c>
      <c r="G2824" t="str">
        <f>""</f>
        <v/>
      </c>
      <c r="I2824" t="str">
        <f t="shared" si="55"/>
        <v>BCBS PAYABLE</v>
      </c>
    </row>
    <row r="2825" spans="1:9" x14ac:dyDescent="0.3">
      <c r="A2825" t="str">
        <f>""</f>
        <v/>
      </c>
      <c r="F2825" t="str">
        <f>""</f>
        <v/>
      </c>
      <c r="G2825" t="str">
        <f>""</f>
        <v/>
      </c>
      <c r="I2825" t="str">
        <f t="shared" si="55"/>
        <v>BCBS PAYABLE</v>
      </c>
    </row>
    <row r="2826" spans="1:9" x14ac:dyDescent="0.3">
      <c r="A2826" t="str">
        <f>""</f>
        <v/>
      </c>
      <c r="F2826" t="str">
        <f>""</f>
        <v/>
      </c>
      <c r="G2826" t="str">
        <f>""</f>
        <v/>
      </c>
      <c r="I2826" t="str">
        <f t="shared" si="55"/>
        <v>BCBS PAYABLE</v>
      </c>
    </row>
    <row r="2827" spans="1:9" x14ac:dyDescent="0.3">
      <c r="A2827" t="str">
        <f>""</f>
        <v/>
      </c>
      <c r="F2827" t="str">
        <f>""</f>
        <v/>
      </c>
      <c r="G2827" t="str">
        <f>""</f>
        <v/>
      </c>
      <c r="I2827" t="str">
        <f t="shared" si="55"/>
        <v>BCBS PAYABLE</v>
      </c>
    </row>
    <row r="2828" spans="1:9" x14ac:dyDescent="0.3">
      <c r="A2828" t="str">
        <f>""</f>
        <v/>
      </c>
      <c r="F2828" t="str">
        <f>""</f>
        <v/>
      </c>
      <c r="G2828" t="str">
        <f>""</f>
        <v/>
      </c>
      <c r="I2828" t="str">
        <f t="shared" si="55"/>
        <v>BCBS PAYABLE</v>
      </c>
    </row>
    <row r="2829" spans="1:9" x14ac:dyDescent="0.3">
      <c r="A2829" t="str">
        <f>""</f>
        <v/>
      </c>
      <c r="F2829" t="str">
        <f>""</f>
        <v/>
      </c>
      <c r="G2829" t="str">
        <f>""</f>
        <v/>
      </c>
      <c r="I2829" t="str">
        <f t="shared" si="55"/>
        <v>BCBS PAYABLE</v>
      </c>
    </row>
    <row r="2830" spans="1:9" x14ac:dyDescent="0.3">
      <c r="A2830" t="str">
        <f>""</f>
        <v/>
      </c>
      <c r="F2830" t="str">
        <f>""</f>
        <v/>
      </c>
      <c r="G2830" t="str">
        <f>""</f>
        <v/>
      </c>
      <c r="I2830" t="str">
        <f t="shared" si="55"/>
        <v>BCBS PAYABLE</v>
      </c>
    </row>
    <row r="2831" spans="1:9" x14ac:dyDescent="0.3">
      <c r="A2831" t="str">
        <f>""</f>
        <v/>
      </c>
      <c r="F2831" t="str">
        <f>""</f>
        <v/>
      </c>
      <c r="G2831" t="str">
        <f>""</f>
        <v/>
      </c>
      <c r="I2831" t="str">
        <f t="shared" si="55"/>
        <v>BCBS PAYABLE</v>
      </c>
    </row>
    <row r="2832" spans="1:9" x14ac:dyDescent="0.3">
      <c r="A2832" t="str">
        <f>""</f>
        <v/>
      </c>
      <c r="F2832" t="str">
        <f>"2EO201712137296"</f>
        <v>2EO201712137296</v>
      </c>
      <c r="G2832" t="str">
        <f>"BCBS PAYABLE"</f>
        <v>BCBS PAYABLE</v>
      </c>
      <c r="H2832" s="2">
        <v>3591.83</v>
      </c>
      <c r="I2832" t="str">
        <f t="shared" si="55"/>
        <v>BCBS PAYABLE</v>
      </c>
    </row>
    <row r="2833" spans="1:9" x14ac:dyDescent="0.3">
      <c r="A2833" t="str">
        <f>""</f>
        <v/>
      </c>
      <c r="F2833" t="str">
        <f>"2ES201711296859"</f>
        <v>2ES201711296859</v>
      </c>
      <c r="G2833" t="str">
        <f>"BCBS PAYABLE"</f>
        <v>BCBS PAYABLE</v>
      </c>
      <c r="H2833" s="2">
        <v>15582.6</v>
      </c>
      <c r="I2833" t="str">
        <f t="shared" ref="I2833:I2868" si="56">"BCBS PAYABLE"</f>
        <v>BCBS PAYABLE</v>
      </c>
    </row>
    <row r="2834" spans="1:9" x14ac:dyDescent="0.3">
      <c r="A2834" t="str">
        <f>""</f>
        <v/>
      </c>
      <c r="F2834" t="str">
        <f>""</f>
        <v/>
      </c>
      <c r="G2834" t="str">
        <f>""</f>
        <v/>
      </c>
      <c r="I2834" t="str">
        <f t="shared" si="56"/>
        <v>BCBS PAYABLE</v>
      </c>
    </row>
    <row r="2835" spans="1:9" x14ac:dyDescent="0.3">
      <c r="A2835" t="str">
        <f>""</f>
        <v/>
      </c>
      <c r="F2835" t="str">
        <f>""</f>
        <v/>
      </c>
      <c r="G2835" t="str">
        <f>""</f>
        <v/>
      </c>
      <c r="I2835" t="str">
        <f t="shared" si="56"/>
        <v>BCBS PAYABLE</v>
      </c>
    </row>
    <row r="2836" spans="1:9" x14ac:dyDescent="0.3">
      <c r="A2836" t="str">
        <f>""</f>
        <v/>
      </c>
      <c r="F2836" t="str">
        <f>""</f>
        <v/>
      </c>
      <c r="G2836" t="str">
        <f>""</f>
        <v/>
      </c>
      <c r="I2836" t="str">
        <f t="shared" si="56"/>
        <v>BCBS PAYABLE</v>
      </c>
    </row>
    <row r="2837" spans="1:9" x14ac:dyDescent="0.3">
      <c r="A2837" t="str">
        <f>""</f>
        <v/>
      </c>
      <c r="F2837" t="str">
        <f>""</f>
        <v/>
      </c>
      <c r="G2837" t="str">
        <f>""</f>
        <v/>
      </c>
      <c r="I2837" t="str">
        <f t="shared" si="56"/>
        <v>BCBS PAYABLE</v>
      </c>
    </row>
    <row r="2838" spans="1:9" x14ac:dyDescent="0.3">
      <c r="A2838" t="str">
        <f>""</f>
        <v/>
      </c>
      <c r="F2838" t="str">
        <f>""</f>
        <v/>
      </c>
      <c r="G2838" t="str">
        <f>""</f>
        <v/>
      </c>
      <c r="I2838" t="str">
        <f t="shared" si="56"/>
        <v>BCBS PAYABLE</v>
      </c>
    </row>
    <row r="2839" spans="1:9" x14ac:dyDescent="0.3">
      <c r="A2839" t="str">
        <f>""</f>
        <v/>
      </c>
      <c r="F2839" t="str">
        <f>""</f>
        <v/>
      </c>
      <c r="G2839" t="str">
        <f>""</f>
        <v/>
      </c>
      <c r="I2839" t="str">
        <f t="shared" si="56"/>
        <v>BCBS PAYABLE</v>
      </c>
    </row>
    <row r="2840" spans="1:9" x14ac:dyDescent="0.3">
      <c r="A2840" t="str">
        <f>""</f>
        <v/>
      </c>
      <c r="F2840" t="str">
        <f>""</f>
        <v/>
      </c>
      <c r="G2840" t="str">
        <f>""</f>
        <v/>
      </c>
      <c r="I2840" t="str">
        <f t="shared" si="56"/>
        <v>BCBS PAYABLE</v>
      </c>
    </row>
    <row r="2841" spans="1:9" x14ac:dyDescent="0.3">
      <c r="A2841" t="str">
        <f>""</f>
        <v/>
      </c>
      <c r="F2841" t="str">
        <f>""</f>
        <v/>
      </c>
      <c r="G2841" t="str">
        <f>""</f>
        <v/>
      </c>
      <c r="I2841" t="str">
        <f t="shared" si="56"/>
        <v>BCBS PAYABLE</v>
      </c>
    </row>
    <row r="2842" spans="1:9" x14ac:dyDescent="0.3">
      <c r="A2842" t="str">
        <f>""</f>
        <v/>
      </c>
      <c r="F2842" t="str">
        <f>""</f>
        <v/>
      </c>
      <c r="G2842" t="str">
        <f>""</f>
        <v/>
      </c>
      <c r="I2842" t="str">
        <f t="shared" si="56"/>
        <v>BCBS PAYABLE</v>
      </c>
    </row>
    <row r="2843" spans="1:9" x14ac:dyDescent="0.3">
      <c r="A2843" t="str">
        <f>""</f>
        <v/>
      </c>
      <c r="F2843" t="str">
        <f>""</f>
        <v/>
      </c>
      <c r="G2843" t="str">
        <f>""</f>
        <v/>
      </c>
      <c r="I2843" t="str">
        <f t="shared" si="56"/>
        <v>BCBS PAYABLE</v>
      </c>
    </row>
    <row r="2844" spans="1:9" x14ac:dyDescent="0.3">
      <c r="A2844" t="str">
        <f>""</f>
        <v/>
      </c>
      <c r="F2844" t="str">
        <f>""</f>
        <v/>
      </c>
      <c r="G2844" t="str">
        <f>""</f>
        <v/>
      </c>
      <c r="I2844" t="str">
        <f t="shared" si="56"/>
        <v>BCBS PAYABLE</v>
      </c>
    </row>
    <row r="2845" spans="1:9" x14ac:dyDescent="0.3">
      <c r="A2845" t="str">
        <f>""</f>
        <v/>
      </c>
      <c r="F2845" t="str">
        <f>""</f>
        <v/>
      </c>
      <c r="G2845" t="str">
        <f>""</f>
        <v/>
      </c>
      <c r="I2845" t="str">
        <f t="shared" si="56"/>
        <v>BCBS PAYABLE</v>
      </c>
    </row>
    <row r="2846" spans="1:9" x14ac:dyDescent="0.3">
      <c r="A2846" t="str">
        <f>""</f>
        <v/>
      </c>
      <c r="F2846" t="str">
        <f>""</f>
        <v/>
      </c>
      <c r="G2846" t="str">
        <f>""</f>
        <v/>
      </c>
      <c r="I2846" t="str">
        <f t="shared" si="56"/>
        <v>BCBS PAYABLE</v>
      </c>
    </row>
    <row r="2847" spans="1:9" x14ac:dyDescent="0.3">
      <c r="A2847" t="str">
        <f>""</f>
        <v/>
      </c>
      <c r="F2847" t="str">
        <f>""</f>
        <v/>
      </c>
      <c r="G2847" t="str">
        <f>""</f>
        <v/>
      </c>
      <c r="I2847" t="str">
        <f t="shared" si="56"/>
        <v>BCBS PAYABLE</v>
      </c>
    </row>
    <row r="2848" spans="1:9" x14ac:dyDescent="0.3">
      <c r="A2848" t="str">
        <f>""</f>
        <v/>
      </c>
      <c r="F2848" t="str">
        <f>""</f>
        <v/>
      </c>
      <c r="G2848" t="str">
        <f>""</f>
        <v/>
      </c>
      <c r="I2848" t="str">
        <f t="shared" si="56"/>
        <v>BCBS PAYABLE</v>
      </c>
    </row>
    <row r="2849" spans="1:9" x14ac:dyDescent="0.3">
      <c r="A2849" t="str">
        <f>""</f>
        <v/>
      </c>
      <c r="F2849" t="str">
        <f>""</f>
        <v/>
      </c>
      <c r="G2849" t="str">
        <f>""</f>
        <v/>
      </c>
      <c r="I2849" t="str">
        <f t="shared" si="56"/>
        <v>BCBS PAYABLE</v>
      </c>
    </row>
    <row r="2850" spans="1:9" x14ac:dyDescent="0.3">
      <c r="A2850" t="str">
        <f>""</f>
        <v/>
      </c>
      <c r="F2850" t="str">
        <f>""</f>
        <v/>
      </c>
      <c r="G2850" t="str">
        <f>""</f>
        <v/>
      </c>
      <c r="I2850" t="str">
        <f t="shared" si="56"/>
        <v>BCBS PAYABLE</v>
      </c>
    </row>
    <row r="2851" spans="1:9" x14ac:dyDescent="0.3">
      <c r="A2851" t="str">
        <f>""</f>
        <v/>
      </c>
      <c r="F2851" t="str">
        <f>"2ES201712137295"</f>
        <v>2ES201712137295</v>
      </c>
      <c r="G2851" t="str">
        <f>"BCBS PAYABLE"</f>
        <v>BCBS PAYABLE</v>
      </c>
      <c r="H2851" s="2">
        <v>15582.6</v>
      </c>
      <c r="I2851" t="str">
        <f t="shared" si="56"/>
        <v>BCBS PAYABLE</v>
      </c>
    </row>
    <row r="2852" spans="1:9" x14ac:dyDescent="0.3">
      <c r="A2852" t="str">
        <f>""</f>
        <v/>
      </c>
      <c r="F2852" t="str">
        <f>""</f>
        <v/>
      </c>
      <c r="G2852" t="str">
        <f>""</f>
        <v/>
      </c>
      <c r="I2852" t="str">
        <f t="shared" si="56"/>
        <v>BCBS PAYABLE</v>
      </c>
    </row>
    <row r="2853" spans="1:9" x14ac:dyDescent="0.3">
      <c r="A2853" t="str">
        <f>""</f>
        <v/>
      </c>
      <c r="F2853" t="str">
        <f>""</f>
        <v/>
      </c>
      <c r="G2853" t="str">
        <f>""</f>
        <v/>
      </c>
      <c r="I2853" t="str">
        <f t="shared" si="56"/>
        <v>BCBS PAYABLE</v>
      </c>
    </row>
    <row r="2854" spans="1:9" x14ac:dyDescent="0.3">
      <c r="A2854" t="str">
        <f>""</f>
        <v/>
      </c>
      <c r="F2854" t="str">
        <f>""</f>
        <v/>
      </c>
      <c r="G2854" t="str">
        <f>""</f>
        <v/>
      </c>
      <c r="I2854" t="str">
        <f t="shared" si="56"/>
        <v>BCBS PAYABLE</v>
      </c>
    </row>
    <row r="2855" spans="1:9" x14ac:dyDescent="0.3">
      <c r="A2855" t="str">
        <f>""</f>
        <v/>
      </c>
      <c r="F2855" t="str">
        <f>""</f>
        <v/>
      </c>
      <c r="G2855" t="str">
        <f>""</f>
        <v/>
      </c>
      <c r="I2855" t="str">
        <f t="shared" si="56"/>
        <v>BCBS PAYABLE</v>
      </c>
    </row>
    <row r="2856" spans="1:9" x14ac:dyDescent="0.3">
      <c r="A2856" t="str">
        <f>""</f>
        <v/>
      </c>
      <c r="F2856" t="str">
        <f>""</f>
        <v/>
      </c>
      <c r="G2856" t="str">
        <f>""</f>
        <v/>
      </c>
      <c r="I2856" t="str">
        <f t="shared" si="56"/>
        <v>BCBS PAYABLE</v>
      </c>
    </row>
    <row r="2857" spans="1:9" x14ac:dyDescent="0.3">
      <c r="A2857" t="str">
        <f>""</f>
        <v/>
      </c>
      <c r="F2857" t="str">
        <f>""</f>
        <v/>
      </c>
      <c r="G2857" t="str">
        <f>""</f>
        <v/>
      </c>
      <c r="I2857" t="str">
        <f t="shared" si="56"/>
        <v>BCBS PAYABLE</v>
      </c>
    </row>
    <row r="2858" spans="1:9" x14ac:dyDescent="0.3">
      <c r="A2858" t="str">
        <f>""</f>
        <v/>
      </c>
      <c r="F2858" t="str">
        <f>""</f>
        <v/>
      </c>
      <c r="G2858" t="str">
        <f>""</f>
        <v/>
      </c>
      <c r="I2858" t="str">
        <f t="shared" si="56"/>
        <v>BCBS PAYABLE</v>
      </c>
    </row>
    <row r="2859" spans="1:9" x14ac:dyDescent="0.3">
      <c r="A2859" t="str">
        <f>""</f>
        <v/>
      </c>
      <c r="F2859" t="str">
        <f>""</f>
        <v/>
      </c>
      <c r="G2859" t="str">
        <f>""</f>
        <v/>
      </c>
      <c r="I2859" t="str">
        <f t="shared" si="56"/>
        <v>BCBS PAYABLE</v>
      </c>
    </row>
    <row r="2860" spans="1:9" x14ac:dyDescent="0.3">
      <c r="A2860" t="str">
        <f>""</f>
        <v/>
      </c>
      <c r="F2860" t="str">
        <f>""</f>
        <v/>
      </c>
      <c r="G2860" t="str">
        <f>""</f>
        <v/>
      </c>
      <c r="I2860" t="str">
        <f t="shared" si="56"/>
        <v>BCBS PAYABLE</v>
      </c>
    </row>
    <row r="2861" spans="1:9" x14ac:dyDescent="0.3">
      <c r="A2861" t="str">
        <f>""</f>
        <v/>
      </c>
      <c r="F2861" t="str">
        <f>""</f>
        <v/>
      </c>
      <c r="G2861" t="str">
        <f>""</f>
        <v/>
      </c>
      <c r="I2861" t="str">
        <f t="shared" si="56"/>
        <v>BCBS PAYABLE</v>
      </c>
    </row>
    <row r="2862" spans="1:9" x14ac:dyDescent="0.3">
      <c r="A2862" t="str">
        <f>""</f>
        <v/>
      </c>
      <c r="F2862" t="str">
        <f>""</f>
        <v/>
      </c>
      <c r="G2862" t="str">
        <f>""</f>
        <v/>
      </c>
      <c r="I2862" t="str">
        <f t="shared" si="56"/>
        <v>BCBS PAYABLE</v>
      </c>
    </row>
    <row r="2863" spans="1:9" x14ac:dyDescent="0.3">
      <c r="A2863" t="str">
        <f>""</f>
        <v/>
      </c>
      <c r="F2863" t="str">
        <f>""</f>
        <v/>
      </c>
      <c r="G2863" t="str">
        <f>""</f>
        <v/>
      </c>
      <c r="I2863" t="str">
        <f t="shared" si="56"/>
        <v>BCBS PAYABLE</v>
      </c>
    </row>
    <row r="2864" spans="1:9" x14ac:dyDescent="0.3">
      <c r="A2864" t="str">
        <f>""</f>
        <v/>
      </c>
      <c r="F2864" t="str">
        <f>""</f>
        <v/>
      </c>
      <c r="G2864" t="str">
        <f>""</f>
        <v/>
      </c>
      <c r="I2864" t="str">
        <f t="shared" si="56"/>
        <v>BCBS PAYABLE</v>
      </c>
    </row>
    <row r="2865" spans="1:9" x14ac:dyDescent="0.3">
      <c r="A2865" t="str">
        <f>""</f>
        <v/>
      </c>
      <c r="F2865" t="str">
        <f>""</f>
        <v/>
      </c>
      <c r="G2865" t="str">
        <f>""</f>
        <v/>
      </c>
      <c r="I2865" t="str">
        <f t="shared" si="56"/>
        <v>BCBS PAYABLE</v>
      </c>
    </row>
    <row r="2866" spans="1:9" x14ac:dyDescent="0.3">
      <c r="A2866" t="str">
        <f>""</f>
        <v/>
      </c>
      <c r="F2866" t="str">
        <f>""</f>
        <v/>
      </c>
      <c r="G2866" t="str">
        <f>""</f>
        <v/>
      </c>
      <c r="I2866" t="str">
        <f t="shared" si="56"/>
        <v>BCBS PAYABLE</v>
      </c>
    </row>
    <row r="2867" spans="1:9" x14ac:dyDescent="0.3">
      <c r="A2867" t="str">
        <f>""</f>
        <v/>
      </c>
      <c r="F2867" t="str">
        <f>""</f>
        <v/>
      </c>
      <c r="G2867" t="str">
        <f>""</f>
        <v/>
      </c>
      <c r="I2867" t="str">
        <f t="shared" si="56"/>
        <v>BCBS PAYABLE</v>
      </c>
    </row>
    <row r="2868" spans="1:9" x14ac:dyDescent="0.3">
      <c r="A2868" t="str">
        <f>""</f>
        <v/>
      </c>
      <c r="F2868" t="str">
        <f>""</f>
        <v/>
      </c>
      <c r="G2868" t="str">
        <f>""</f>
        <v/>
      </c>
      <c r="I2868" t="str">
        <f t="shared" si="56"/>
        <v>BCBS PAYABLE</v>
      </c>
    </row>
    <row r="2869" spans="1:9" x14ac:dyDescent="0.3">
      <c r="A2869" t="str">
        <f>"TAGO"</f>
        <v>TAGO</v>
      </c>
      <c r="B2869" t="s">
        <v>620</v>
      </c>
      <c r="C2869">
        <v>0</v>
      </c>
      <c r="D2869" s="2">
        <v>4023.6</v>
      </c>
      <c r="E2869" s="1">
        <v>43070</v>
      </c>
      <c r="F2869" t="str">
        <f>"C18201711296860"</f>
        <v>C18201711296860</v>
      </c>
      <c r="G2869" t="str">
        <f>"CAUSE# 0011635329"</f>
        <v>CAUSE# 0011635329</v>
      </c>
      <c r="H2869" s="2">
        <v>603.23</v>
      </c>
      <c r="I2869" t="str">
        <f>"CAUSE# 0011635329"</f>
        <v>CAUSE# 0011635329</v>
      </c>
    </row>
    <row r="2870" spans="1:9" x14ac:dyDescent="0.3">
      <c r="A2870" t="str">
        <f>""</f>
        <v/>
      </c>
      <c r="F2870" t="str">
        <f>"C2 201711296860"</f>
        <v>C2 201711296860</v>
      </c>
      <c r="G2870" t="str">
        <f>"0012982132CCL7445"</f>
        <v>0012982132CCL7445</v>
      </c>
      <c r="H2870" s="2">
        <v>692.31</v>
      </c>
      <c r="I2870" t="str">
        <f>"0012982132CCL7445"</f>
        <v>0012982132CCL7445</v>
      </c>
    </row>
    <row r="2871" spans="1:9" x14ac:dyDescent="0.3">
      <c r="A2871" t="str">
        <f>""</f>
        <v/>
      </c>
      <c r="F2871" t="str">
        <f>"C20201711296859"</f>
        <v>C20201711296859</v>
      </c>
      <c r="G2871" t="str">
        <f>"001003981107-12252"</f>
        <v>001003981107-12252</v>
      </c>
      <c r="H2871" s="2">
        <v>115.39</v>
      </c>
      <c r="I2871" t="str">
        <f>"001003981107-12252"</f>
        <v>001003981107-12252</v>
      </c>
    </row>
    <row r="2872" spans="1:9" x14ac:dyDescent="0.3">
      <c r="A2872" t="str">
        <f>""</f>
        <v/>
      </c>
      <c r="F2872" t="str">
        <f>"C39201711296859"</f>
        <v>C39201711296859</v>
      </c>
      <c r="G2872" t="str">
        <f>"0012352184423-1520"</f>
        <v>0012352184423-1520</v>
      </c>
      <c r="H2872" s="2">
        <v>273.23</v>
      </c>
      <c r="I2872" t="str">
        <f>"0012352184423-1520"</f>
        <v>0012352184423-1520</v>
      </c>
    </row>
    <row r="2873" spans="1:9" x14ac:dyDescent="0.3">
      <c r="A2873" t="str">
        <f>""</f>
        <v/>
      </c>
      <c r="F2873" t="str">
        <f>"C42201711296859"</f>
        <v>C42201711296859</v>
      </c>
      <c r="G2873" t="str">
        <f>"001236769211-14410"</f>
        <v>001236769211-14410</v>
      </c>
      <c r="H2873" s="2">
        <v>230.31</v>
      </c>
      <c r="I2873" t="str">
        <f>"001236769211-14410"</f>
        <v>001236769211-14410</v>
      </c>
    </row>
    <row r="2874" spans="1:9" x14ac:dyDescent="0.3">
      <c r="A2874" t="str">
        <f>""</f>
        <v/>
      </c>
      <c r="F2874" t="str">
        <f>"C46201711296859"</f>
        <v>C46201711296859</v>
      </c>
      <c r="G2874" t="str">
        <f>"CAUSE# 11-14911"</f>
        <v>CAUSE# 11-14911</v>
      </c>
      <c r="H2874" s="2">
        <v>238.62</v>
      </c>
      <c r="I2874" t="str">
        <f>"CAUSE# 11-14911"</f>
        <v>CAUSE# 11-14911</v>
      </c>
    </row>
    <row r="2875" spans="1:9" x14ac:dyDescent="0.3">
      <c r="A2875" t="str">
        <f>""</f>
        <v/>
      </c>
      <c r="F2875" t="str">
        <f>"C53201711296859"</f>
        <v>C53201711296859</v>
      </c>
      <c r="G2875" t="str">
        <f>"0012453366"</f>
        <v>0012453366</v>
      </c>
      <c r="H2875" s="2">
        <v>207.69</v>
      </c>
      <c r="I2875" t="str">
        <f>"0012453366"</f>
        <v>0012453366</v>
      </c>
    </row>
    <row r="2876" spans="1:9" x14ac:dyDescent="0.3">
      <c r="A2876" t="str">
        <f>""</f>
        <v/>
      </c>
      <c r="F2876" t="str">
        <f>"C59201711296859"</f>
        <v>C59201711296859</v>
      </c>
      <c r="G2876" t="str">
        <f>"0012936495140043"</f>
        <v>0012936495140043</v>
      </c>
      <c r="H2876" s="2">
        <v>226.15</v>
      </c>
      <c r="I2876" t="str">
        <f>"0012936495140043"</f>
        <v>0012936495140043</v>
      </c>
    </row>
    <row r="2877" spans="1:9" x14ac:dyDescent="0.3">
      <c r="A2877" t="str">
        <f>""</f>
        <v/>
      </c>
      <c r="F2877" t="str">
        <f>"C60201711296859"</f>
        <v>C60201711296859</v>
      </c>
      <c r="G2877" t="str">
        <f>"00130730762012V300"</f>
        <v>00130730762012V300</v>
      </c>
      <c r="H2877" s="2">
        <v>399.32</v>
      </c>
      <c r="I2877" t="str">
        <f>"00130730762012V300"</f>
        <v>00130730762012V300</v>
      </c>
    </row>
    <row r="2878" spans="1:9" x14ac:dyDescent="0.3">
      <c r="A2878" t="str">
        <f>""</f>
        <v/>
      </c>
      <c r="F2878" t="str">
        <f>"C61201711296859"</f>
        <v>C61201711296859</v>
      </c>
      <c r="G2878" t="str">
        <f>"001174398213713"</f>
        <v>001174398213713</v>
      </c>
      <c r="H2878" s="2">
        <v>6.42</v>
      </c>
      <c r="I2878" t="str">
        <f>"001174398213713"</f>
        <v>001174398213713</v>
      </c>
    </row>
    <row r="2879" spans="1:9" x14ac:dyDescent="0.3">
      <c r="A2879" t="str">
        <f>""</f>
        <v/>
      </c>
      <c r="F2879" t="str">
        <f>"C62201711296859"</f>
        <v>C62201711296859</v>
      </c>
      <c r="G2879" t="str">
        <f>"# 0012128865"</f>
        <v># 0012128865</v>
      </c>
      <c r="H2879" s="2">
        <v>243.23</v>
      </c>
      <c r="I2879" t="str">
        <f>"# 0012128865"</f>
        <v># 0012128865</v>
      </c>
    </row>
    <row r="2880" spans="1:9" x14ac:dyDescent="0.3">
      <c r="A2880" t="str">
        <f>""</f>
        <v/>
      </c>
      <c r="F2880" t="str">
        <f>"C63201711296859"</f>
        <v>C63201711296859</v>
      </c>
      <c r="G2880" t="str">
        <f>"00132751231517246"</f>
        <v>00132751231517246</v>
      </c>
      <c r="H2880" s="2">
        <v>46.15</v>
      </c>
      <c r="I2880" t="str">
        <f>"00132751231517246"</f>
        <v>00132751231517246</v>
      </c>
    </row>
    <row r="2881" spans="1:9" x14ac:dyDescent="0.3">
      <c r="A2881" t="str">
        <f>""</f>
        <v/>
      </c>
      <c r="F2881" t="str">
        <f>"C65201711296859"</f>
        <v>C65201711296859</v>
      </c>
      <c r="G2881" t="str">
        <f>"12-14956"</f>
        <v>12-14956</v>
      </c>
      <c r="H2881" s="2">
        <v>411.1</v>
      </c>
      <c r="I2881" t="str">
        <f>"12-14956"</f>
        <v>12-14956</v>
      </c>
    </row>
    <row r="2882" spans="1:9" x14ac:dyDescent="0.3">
      <c r="A2882" t="str">
        <f>""</f>
        <v/>
      </c>
      <c r="F2882" t="str">
        <f>"C66201711296859"</f>
        <v>C66201711296859</v>
      </c>
      <c r="G2882" t="str">
        <f>"# 0012871801"</f>
        <v># 0012871801</v>
      </c>
      <c r="H2882" s="2">
        <v>90</v>
      </c>
      <c r="I2882" t="str">
        <f>"# 0012871801"</f>
        <v># 0012871801</v>
      </c>
    </row>
    <row r="2883" spans="1:9" x14ac:dyDescent="0.3">
      <c r="A2883" t="str">
        <f>""</f>
        <v/>
      </c>
      <c r="F2883" t="str">
        <f>"C66201711296861"</f>
        <v>C66201711296861</v>
      </c>
      <c r="G2883" t="str">
        <f>"CAUSE#D1FM13007058"</f>
        <v>CAUSE#D1FM13007058</v>
      </c>
      <c r="H2883" s="2">
        <v>138.46</v>
      </c>
      <c r="I2883" t="str">
        <f>"CAUSE#D1FM13007058"</f>
        <v>CAUSE#D1FM13007058</v>
      </c>
    </row>
    <row r="2884" spans="1:9" x14ac:dyDescent="0.3">
      <c r="A2884" t="str">
        <f>""</f>
        <v/>
      </c>
      <c r="F2884" t="str">
        <f>"C67201711296859"</f>
        <v>C67201711296859</v>
      </c>
      <c r="G2884" t="str">
        <f>"13154657"</f>
        <v>13154657</v>
      </c>
      <c r="H2884" s="2">
        <v>101.99</v>
      </c>
      <c r="I2884" t="str">
        <f>"13154657"</f>
        <v>13154657</v>
      </c>
    </row>
    <row r="2885" spans="1:9" x14ac:dyDescent="0.3">
      <c r="A2885" t="str">
        <f>"TAGO"</f>
        <v>TAGO</v>
      </c>
      <c r="B2885" t="s">
        <v>620</v>
      </c>
      <c r="C2885">
        <v>0</v>
      </c>
      <c r="D2885" s="2">
        <v>3921.61</v>
      </c>
      <c r="E2885" s="1">
        <v>43084</v>
      </c>
      <c r="F2885" t="str">
        <f>"C18201712137296"</f>
        <v>C18201712137296</v>
      </c>
      <c r="G2885" t="str">
        <f>"CAUSE# 0011635329"</f>
        <v>CAUSE# 0011635329</v>
      </c>
      <c r="H2885" s="2">
        <v>603.23</v>
      </c>
      <c r="I2885" t="str">
        <f>"CAUSE# 0011635329"</f>
        <v>CAUSE# 0011635329</v>
      </c>
    </row>
    <row r="2886" spans="1:9" x14ac:dyDescent="0.3">
      <c r="A2886" t="str">
        <f>""</f>
        <v/>
      </c>
      <c r="F2886" t="str">
        <f>"C2 201712137296"</f>
        <v>C2 201712137296</v>
      </c>
      <c r="G2886" t="str">
        <f>"0012982132CCL7445"</f>
        <v>0012982132CCL7445</v>
      </c>
      <c r="H2886" s="2">
        <v>692.31</v>
      </c>
      <c r="I2886" t="str">
        <f>"0012982132CCL7445"</f>
        <v>0012982132CCL7445</v>
      </c>
    </row>
    <row r="2887" spans="1:9" x14ac:dyDescent="0.3">
      <c r="A2887" t="str">
        <f>""</f>
        <v/>
      </c>
      <c r="F2887" t="str">
        <f>"C20201712137295"</f>
        <v>C20201712137295</v>
      </c>
      <c r="G2887" t="str">
        <f>"001003981107-12252"</f>
        <v>001003981107-12252</v>
      </c>
      <c r="H2887" s="2">
        <v>115.39</v>
      </c>
      <c r="I2887" t="str">
        <f>"001003981107-12252"</f>
        <v>001003981107-12252</v>
      </c>
    </row>
    <row r="2888" spans="1:9" x14ac:dyDescent="0.3">
      <c r="A2888" t="str">
        <f>""</f>
        <v/>
      </c>
      <c r="F2888" t="str">
        <f>"C39201712137295"</f>
        <v>C39201712137295</v>
      </c>
      <c r="G2888" t="str">
        <f>"0012352184423-1520"</f>
        <v>0012352184423-1520</v>
      </c>
      <c r="H2888" s="2">
        <v>273.23</v>
      </c>
      <c r="I2888" t="str">
        <f>"0012352184423-1520"</f>
        <v>0012352184423-1520</v>
      </c>
    </row>
    <row r="2889" spans="1:9" x14ac:dyDescent="0.3">
      <c r="A2889" t="str">
        <f>""</f>
        <v/>
      </c>
      <c r="F2889" t="str">
        <f>"C42201712137295"</f>
        <v>C42201712137295</v>
      </c>
      <c r="G2889" t="str">
        <f>"001236769211-14410"</f>
        <v>001236769211-14410</v>
      </c>
      <c r="H2889" s="2">
        <v>230.31</v>
      </c>
      <c r="I2889" t="str">
        <f>"001236769211-14410"</f>
        <v>001236769211-14410</v>
      </c>
    </row>
    <row r="2890" spans="1:9" x14ac:dyDescent="0.3">
      <c r="A2890" t="str">
        <f>""</f>
        <v/>
      </c>
      <c r="F2890" t="str">
        <f>"C46201712137295"</f>
        <v>C46201712137295</v>
      </c>
      <c r="G2890" t="str">
        <f>"CAUSE# 11-14911"</f>
        <v>CAUSE# 11-14911</v>
      </c>
      <c r="H2890" s="2">
        <v>238.62</v>
      </c>
      <c r="I2890" t="str">
        <f>"CAUSE# 11-14911"</f>
        <v>CAUSE# 11-14911</v>
      </c>
    </row>
    <row r="2891" spans="1:9" x14ac:dyDescent="0.3">
      <c r="A2891" t="str">
        <f>""</f>
        <v/>
      </c>
      <c r="F2891" t="str">
        <f>"C53201712137295"</f>
        <v>C53201712137295</v>
      </c>
      <c r="G2891" t="str">
        <f>"0012453366"</f>
        <v>0012453366</v>
      </c>
      <c r="H2891" s="2">
        <v>207.69</v>
      </c>
      <c r="I2891" t="str">
        <f>"0012453366"</f>
        <v>0012453366</v>
      </c>
    </row>
    <row r="2892" spans="1:9" x14ac:dyDescent="0.3">
      <c r="A2892" t="str">
        <f>""</f>
        <v/>
      </c>
      <c r="F2892" t="str">
        <f>"C59201712137295"</f>
        <v>C59201712137295</v>
      </c>
      <c r="G2892" t="str">
        <f>"0012936495140043"</f>
        <v>0012936495140043</v>
      </c>
      <c r="H2892" s="2">
        <v>226.15</v>
      </c>
      <c r="I2892" t="str">
        <f>"0012936495140043"</f>
        <v>0012936495140043</v>
      </c>
    </row>
    <row r="2893" spans="1:9" x14ac:dyDescent="0.3">
      <c r="A2893" t="str">
        <f>""</f>
        <v/>
      </c>
      <c r="F2893" t="str">
        <f>"C60201712137295"</f>
        <v>C60201712137295</v>
      </c>
      <c r="G2893" t="str">
        <f>"00130730762012V300"</f>
        <v>00130730762012V300</v>
      </c>
      <c r="H2893" s="2">
        <v>399.32</v>
      </c>
      <c r="I2893" t="str">
        <f>"00130730762012V300"</f>
        <v>00130730762012V300</v>
      </c>
    </row>
    <row r="2894" spans="1:9" x14ac:dyDescent="0.3">
      <c r="A2894" t="str">
        <f>""</f>
        <v/>
      </c>
      <c r="F2894" t="str">
        <f>"C61201712137295"</f>
        <v>C61201712137295</v>
      </c>
      <c r="G2894" t="str">
        <f>"001174398213713"</f>
        <v>001174398213713</v>
      </c>
      <c r="H2894" s="2">
        <v>6.42</v>
      </c>
      <c r="I2894" t="str">
        <f>"001174398213713"</f>
        <v>001174398213713</v>
      </c>
    </row>
    <row r="2895" spans="1:9" x14ac:dyDescent="0.3">
      <c r="A2895" t="str">
        <f>""</f>
        <v/>
      </c>
      <c r="F2895" t="str">
        <f>"C62201712137295"</f>
        <v>C62201712137295</v>
      </c>
      <c r="G2895" t="str">
        <f>"# 0012128865"</f>
        <v># 0012128865</v>
      </c>
      <c r="H2895" s="2">
        <v>243.23</v>
      </c>
      <c r="I2895" t="str">
        <f>"# 0012128865"</f>
        <v># 0012128865</v>
      </c>
    </row>
    <row r="2896" spans="1:9" x14ac:dyDescent="0.3">
      <c r="A2896" t="str">
        <f>""</f>
        <v/>
      </c>
      <c r="F2896" t="str">
        <f>"C63201712137295"</f>
        <v>C63201712137295</v>
      </c>
      <c r="G2896" t="str">
        <f>"00132751231517246"</f>
        <v>00132751231517246</v>
      </c>
      <c r="H2896" s="2">
        <v>46.15</v>
      </c>
      <c r="I2896" t="str">
        <f>"00132751231517246"</f>
        <v>00132751231517246</v>
      </c>
    </row>
    <row r="2897" spans="1:9" x14ac:dyDescent="0.3">
      <c r="A2897" t="str">
        <f>""</f>
        <v/>
      </c>
      <c r="F2897" t="str">
        <f>"C65201712137295"</f>
        <v>C65201712137295</v>
      </c>
      <c r="G2897" t="str">
        <f>"12-14956"</f>
        <v>12-14956</v>
      </c>
      <c r="H2897" s="2">
        <v>411.1</v>
      </c>
      <c r="I2897" t="str">
        <f>"12-14956"</f>
        <v>12-14956</v>
      </c>
    </row>
    <row r="2898" spans="1:9" x14ac:dyDescent="0.3">
      <c r="A2898" t="str">
        <f>""</f>
        <v/>
      </c>
      <c r="F2898" t="str">
        <f>"C66201712137295"</f>
        <v>C66201712137295</v>
      </c>
      <c r="G2898" t="str">
        <f>"# 0012871801"</f>
        <v># 0012871801</v>
      </c>
      <c r="H2898" s="2">
        <v>90</v>
      </c>
      <c r="I2898" t="str">
        <f>"# 0012871801"</f>
        <v># 0012871801</v>
      </c>
    </row>
    <row r="2899" spans="1:9" x14ac:dyDescent="0.3">
      <c r="A2899" t="str">
        <f>""</f>
        <v/>
      </c>
      <c r="F2899" t="str">
        <f>"C66201712137297"</f>
        <v>C66201712137297</v>
      </c>
      <c r="G2899" t="str">
        <f>"CAUSE#D1FM13007058"</f>
        <v>CAUSE#D1FM13007058</v>
      </c>
      <c r="H2899" s="2">
        <v>138.46</v>
      </c>
      <c r="I2899" t="str">
        <f>"CAUSE#D1FM13007058"</f>
        <v>CAUSE#D1FM13007058</v>
      </c>
    </row>
    <row r="2900" spans="1:9" x14ac:dyDescent="0.3">
      <c r="A2900" t="str">
        <f>"TAGO"</f>
        <v>TAGO</v>
      </c>
      <c r="B2900" t="s">
        <v>620</v>
      </c>
      <c r="C2900">
        <v>0</v>
      </c>
      <c r="D2900" s="2">
        <v>3921.61</v>
      </c>
      <c r="E2900" s="1">
        <v>43098</v>
      </c>
      <c r="F2900" t="str">
        <f>"C18201712287506"</f>
        <v>C18201712287506</v>
      </c>
      <c r="G2900" t="str">
        <f>"CAUSE# 0011635329"</f>
        <v>CAUSE# 0011635329</v>
      </c>
      <c r="H2900" s="2">
        <v>603.23</v>
      </c>
      <c r="I2900" t="str">
        <f>"CAUSE# 0011635329"</f>
        <v>CAUSE# 0011635329</v>
      </c>
    </row>
    <row r="2901" spans="1:9" x14ac:dyDescent="0.3">
      <c r="A2901" t="str">
        <f>""</f>
        <v/>
      </c>
      <c r="F2901" t="str">
        <f>"C2 201712287506"</f>
        <v>C2 201712287506</v>
      </c>
      <c r="G2901" t="str">
        <f>"0012982132CCL7445"</f>
        <v>0012982132CCL7445</v>
      </c>
      <c r="H2901" s="2">
        <v>692.31</v>
      </c>
      <c r="I2901" t="str">
        <f>"0012982132CCL7445"</f>
        <v>0012982132CCL7445</v>
      </c>
    </row>
    <row r="2902" spans="1:9" x14ac:dyDescent="0.3">
      <c r="A2902" t="str">
        <f>""</f>
        <v/>
      </c>
      <c r="F2902" t="str">
        <f>"C20201712287505"</f>
        <v>C20201712287505</v>
      </c>
      <c r="G2902" t="str">
        <f>"001003981107-12252"</f>
        <v>001003981107-12252</v>
      </c>
      <c r="H2902" s="2">
        <v>115.39</v>
      </c>
      <c r="I2902" t="str">
        <f>"001003981107-12252"</f>
        <v>001003981107-12252</v>
      </c>
    </row>
    <row r="2903" spans="1:9" x14ac:dyDescent="0.3">
      <c r="A2903" t="str">
        <f>""</f>
        <v/>
      </c>
      <c r="F2903" t="str">
        <f>"C39201712287505"</f>
        <v>C39201712287505</v>
      </c>
      <c r="G2903" t="str">
        <f>"0012352184423-1520"</f>
        <v>0012352184423-1520</v>
      </c>
      <c r="H2903" s="2">
        <v>273.23</v>
      </c>
      <c r="I2903" t="str">
        <f>"0012352184423-1520"</f>
        <v>0012352184423-1520</v>
      </c>
    </row>
    <row r="2904" spans="1:9" x14ac:dyDescent="0.3">
      <c r="A2904" t="str">
        <f>""</f>
        <v/>
      </c>
      <c r="F2904" t="str">
        <f>"C42201712287505"</f>
        <v>C42201712287505</v>
      </c>
      <c r="G2904" t="str">
        <f>"001236769211-14410"</f>
        <v>001236769211-14410</v>
      </c>
      <c r="H2904" s="2">
        <v>230.31</v>
      </c>
      <c r="I2904" t="str">
        <f>"001236769211-14410"</f>
        <v>001236769211-14410</v>
      </c>
    </row>
    <row r="2905" spans="1:9" x14ac:dyDescent="0.3">
      <c r="A2905" t="str">
        <f>""</f>
        <v/>
      </c>
      <c r="F2905" t="str">
        <f>"C46201712287505"</f>
        <v>C46201712287505</v>
      </c>
      <c r="G2905" t="str">
        <f>"CAUSE# 11-14911"</f>
        <v>CAUSE# 11-14911</v>
      </c>
      <c r="H2905" s="2">
        <v>238.62</v>
      </c>
      <c r="I2905" t="str">
        <f>"CAUSE# 11-14911"</f>
        <v>CAUSE# 11-14911</v>
      </c>
    </row>
    <row r="2906" spans="1:9" x14ac:dyDescent="0.3">
      <c r="A2906" t="str">
        <f>""</f>
        <v/>
      </c>
      <c r="F2906" t="str">
        <f>"C53201712287505"</f>
        <v>C53201712287505</v>
      </c>
      <c r="G2906" t="str">
        <f>"0012453366"</f>
        <v>0012453366</v>
      </c>
      <c r="H2906" s="2">
        <v>207.69</v>
      </c>
      <c r="I2906" t="str">
        <f>"0012453366"</f>
        <v>0012453366</v>
      </c>
    </row>
    <row r="2907" spans="1:9" x14ac:dyDescent="0.3">
      <c r="A2907" t="str">
        <f>""</f>
        <v/>
      </c>
      <c r="F2907" t="str">
        <f>"C59201712287505"</f>
        <v>C59201712287505</v>
      </c>
      <c r="G2907" t="str">
        <f>"0012936495140043"</f>
        <v>0012936495140043</v>
      </c>
      <c r="H2907" s="2">
        <v>226.15</v>
      </c>
      <c r="I2907" t="str">
        <f>"0012936495140043"</f>
        <v>0012936495140043</v>
      </c>
    </row>
    <row r="2908" spans="1:9" x14ac:dyDescent="0.3">
      <c r="A2908" t="str">
        <f>""</f>
        <v/>
      </c>
      <c r="F2908" t="str">
        <f>"C60201712287505"</f>
        <v>C60201712287505</v>
      </c>
      <c r="G2908" t="str">
        <f>"00130730762012V300"</f>
        <v>00130730762012V300</v>
      </c>
      <c r="H2908" s="2">
        <v>399.32</v>
      </c>
      <c r="I2908" t="str">
        <f>"00130730762012V300"</f>
        <v>00130730762012V300</v>
      </c>
    </row>
    <row r="2909" spans="1:9" x14ac:dyDescent="0.3">
      <c r="A2909" t="str">
        <f>""</f>
        <v/>
      </c>
      <c r="F2909" t="str">
        <f>"C61201712287505"</f>
        <v>C61201712287505</v>
      </c>
      <c r="G2909" t="str">
        <f>"001174398213713"</f>
        <v>001174398213713</v>
      </c>
      <c r="H2909" s="2">
        <v>6.42</v>
      </c>
      <c r="I2909" t="str">
        <f>"001174398213713"</f>
        <v>001174398213713</v>
      </c>
    </row>
    <row r="2910" spans="1:9" x14ac:dyDescent="0.3">
      <c r="A2910" t="str">
        <f>""</f>
        <v/>
      </c>
      <c r="F2910" t="str">
        <f>"C62201712287505"</f>
        <v>C62201712287505</v>
      </c>
      <c r="G2910" t="str">
        <f>"# 0012128865"</f>
        <v># 0012128865</v>
      </c>
      <c r="H2910" s="2">
        <v>243.23</v>
      </c>
      <c r="I2910" t="str">
        <f>"# 0012128865"</f>
        <v># 0012128865</v>
      </c>
    </row>
    <row r="2911" spans="1:9" x14ac:dyDescent="0.3">
      <c r="A2911" t="str">
        <f>""</f>
        <v/>
      </c>
      <c r="F2911" t="str">
        <f>"C63201712287505"</f>
        <v>C63201712287505</v>
      </c>
      <c r="G2911" t="str">
        <f>"00132751231517246"</f>
        <v>00132751231517246</v>
      </c>
      <c r="H2911" s="2">
        <v>46.15</v>
      </c>
      <c r="I2911" t="str">
        <f>"00132751231517246"</f>
        <v>00132751231517246</v>
      </c>
    </row>
    <row r="2912" spans="1:9" x14ac:dyDescent="0.3">
      <c r="A2912" t="str">
        <f>""</f>
        <v/>
      </c>
      <c r="F2912" t="str">
        <f>"C65201712287505"</f>
        <v>C65201712287505</v>
      </c>
      <c r="G2912" t="str">
        <f>"12-14956"</f>
        <v>12-14956</v>
      </c>
      <c r="H2912" s="2">
        <v>411.1</v>
      </c>
      <c r="I2912" t="str">
        <f>"12-14956"</f>
        <v>12-14956</v>
      </c>
    </row>
    <row r="2913" spans="1:9" x14ac:dyDescent="0.3">
      <c r="A2913" t="str">
        <f>""</f>
        <v/>
      </c>
      <c r="F2913" t="str">
        <f>"C66201712287505"</f>
        <v>C66201712287505</v>
      </c>
      <c r="G2913" t="str">
        <f>"# 0012871801"</f>
        <v># 0012871801</v>
      </c>
      <c r="H2913" s="2">
        <v>90</v>
      </c>
      <c r="I2913" t="str">
        <f>"# 0012871801"</f>
        <v># 0012871801</v>
      </c>
    </row>
    <row r="2914" spans="1:9" x14ac:dyDescent="0.3">
      <c r="A2914" t="str">
        <f>""</f>
        <v/>
      </c>
      <c r="F2914" t="str">
        <f>"C66201712287507"</f>
        <v>C66201712287507</v>
      </c>
      <c r="G2914" t="str">
        <f>"CAUSE#D1FM13007058"</f>
        <v>CAUSE#D1FM13007058</v>
      </c>
      <c r="H2914" s="2">
        <v>138.46</v>
      </c>
      <c r="I2914" t="str">
        <f>"CAUSE#D1FM13007058"</f>
        <v>CAUSE#D1FM13007058</v>
      </c>
    </row>
    <row r="2915" spans="1:9" x14ac:dyDescent="0.3">
      <c r="A2915" t="str">
        <f>"TCDRS"</f>
        <v>TCDRS</v>
      </c>
      <c r="B2915" t="s">
        <v>621</v>
      </c>
      <c r="C2915">
        <v>0</v>
      </c>
      <c r="D2915" s="2">
        <v>460916.58</v>
      </c>
      <c r="E2915" s="1">
        <v>43098</v>
      </c>
      <c r="F2915" t="str">
        <f>"RET201711296859"</f>
        <v>RET201711296859</v>
      </c>
      <c r="G2915" t="str">
        <f>"TEXAS COUNTY &amp; DISTRICT RET"</f>
        <v>TEXAS COUNTY &amp; DISTRICT RET</v>
      </c>
      <c r="H2915" s="2">
        <v>140145.24</v>
      </c>
      <c r="I2915" t="str">
        <f t="shared" ref="I2915:I2946" si="57">"TEXAS COUNTY &amp; DISTRICT RET"</f>
        <v>TEXAS COUNTY &amp; DISTRICT RET</v>
      </c>
    </row>
    <row r="2916" spans="1:9" x14ac:dyDescent="0.3">
      <c r="A2916" t="str">
        <f>""</f>
        <v/>
      </c>
      <c r="F2916" t="str">
        <f>""</f>
        <v/>
      </c>
      <c r="G2916" t="str">
        <f>""</f>
        <v/>
      </c>
      <c r="I2916" t="str">
        <f t="shared" si="57"/>
        <v>TEXAS COUNTY &amp; DISTRICT RET</v>
      </c>
    </row>
    <row r="2917" spans="1:9" x14ac:dyDescent="0.3">
      <c r="A2917" t="str">
        <f>""</f>
        <v/>
      </c>
      <c r="F2917" t="str">
        <f>""</f>
        <v/>
      </c>
      <c r="G2917" t="str">
        <f>""</f>
        <v/>
      </c>
      <c r="I2917" t="str">
        <f t="shared" si="57"/>
        <v>TEXAS COUNTY &amp; DISTRICT RET</v>
      </c>
    </row>
    <row r="2918" spans="1:9" x14ac:dyDescent="0.3">
      <c r="A2918" t="str">
        <f>""</f>
        <v/>
      </c>
      <c r="F2918" t="str">
        <f>""</f>
        <v/>
      </c>
      <c r="G2918" t="str">
        <f>""</f>
        <v/>
      </c>
      <c r="I2918" t="str">
        <f t="shared" si="57"/>
        <v>TEXAS COUNTY &amp; DISTRICT RET</v>
      </c>
    </row>
    <row r="2919" spans="1:9" x14ac:dyDescent="0.3">
      <c r="A2919" t="str">
        <f>""</f>
        <v/>
      </c>
      <c r="F2919" t="str">
        <f>""</f>
        <v/>
      </c>
      <c r="G2919" t="str">
        <f>""</f>
        <v/>
      </c>
      <c r="I2919" t="str">
        <f t="shared" si="57"/>
        <v>TEXAS COUNTY &amp; DISTRICT RET</v>
      </c>
    </row>
    <row r="2920" spans="1:9" x14ac:dyDescent="0.3">
      <c r="A2920" t="str">
        <f>""</f>
        <v/>
      </c>
      <c r="F2920" t="str">
        <f>""</f>
        <v/>
      </c>
      <c r="G2920" t="str">
        <f>""</f>
        <v/>
      </c>
      <c r="I2920" t="str">
        <f t="shared" si="57"/>
        <v>TEXAS COUNTY &amp; DISTRICT RET</v>
      </c>
    </row>
    <row r="2921" spans="1:9" x14ac:dyDescent="0.3">
      <c r="A2921" t="str">
        <f>""</f>
        <v/>
      </c>
      <c r="F2921" t="str">
        <f>""</f>
        <v/>
      </c>
      <c r="G2921" t="str">
        <f>""</f>
        <v/>
      </c>
      <c r="I2921" t="str">
        <f t="shared" si="57"/>
        <v>TEXAS COUNTY &amp; DISTRICT RET</v>
      </c>
    </row>
    <row r="2922" spans="1:9" x14ac:dyDescent="0.3">
      <c r="A2922" t="str">
        <f>""</f>
        <v/>
      </c>
      <c r="F2922" t="str">
        <f>""</f>
        <v/>
      </c>
      <c r="G2922" t="str">
        <f>""</f>
        <v/>
      </c>
      <c r="I2922" t="str">
        <f t="shared" si="57"/>
        <v>TEXAS COUNTY &amp; DISTRICT RET</v>
      </c>
    </row>
    <row r="2923" spans="1:9" x14ac:dyDescent="0.3">
      <c r="A2923" t="str">
        <f>""</f>
        <v/>
      </c>
      <c r="F2923" t="str">
        <f>""</f>
        <v/>
      </c>
      <c r="G2923" t="str">
        <f>""</f>
        <v/>
      </c>
      <c r="I2923" t="str">
        <f t="shared" si="57"/>
        <v>TEXAS COUNTY &amp; DISTRICT RET</v>
      </c>
    </row>
    <row r="2924" spans="1:9" x14ac:dyDescent="0.3">
      <c r="A2924" t="str">
        <f>""</f>
        <v/>
      </c>
      <c r="F2924" t="str">
        <f>""</f>
        <v/>
      </c>
      <c r="G2924" t="str">
        <f>""</f>
        <v/>
      </c>
      <c r="I2924" t="str">
        <f t="shared" si="57"/>
        <v>TEXAS COUNTY &amp; DISTRICT RET</v>
      </c>
    </row>
    <row r="2925" spans="1:9" x14ac:dyDescent="0.3">
      <c r="A2925" t="str">
        <f>""</f>
        <v/>
      </c>
      <c r="F2925" t="str">
        <f>""</f>
        <v/>
      </c>
      <c r="G2925" t="str">
        <f>""</f>
        <v/>
      </c>
      <c r="I2925" t="str">
        <f t="shared" si="57"/>
        <v>TEXAS COUNTY &amp; DISTRICT RET</v>
      </c>
    </row>
    <row r="2926" spans="1:9" x14ac:dyDescent="0.3">
      <c r="A2926" t="str">
        <f>""</f>
        <v/>
      </c>
      <c r="F2926" t="str">
        <f>""</f>
        <v/>
      </c>
      <c r="G2926" t="str">
        <f>""</f>
        <v/>
      </c>
      <c r="I2926" t="str">
        <f t="shared" si="57"/>
        <v>TEXAS COUNTY &amp; DISTRICT RET</v>
      </c>
    </row>
    <row r="2927" spans="1:9" x14ac:dyDescent="0.3">
      <c r="A2927" t="str">
        <f>""</f>
        <v/>
      </c>
      <c r="F2927" t="str">
        <f>""</f>
        <v/>
      </c>
      <c r="G2927" t="str">
        <f>""</f>
        <v/>
      </c>
      <c r="I2927" t="str">
        <f t="shared" si="57"/>
        <v>TEXAS COUNTY &amp; DISTRICT RET</v>
      </c>
    </row>
    <row r="2928" spans="1:9" x14ac:dyDescent="0.3">
      <c r="A2928" t="str">
        <f>""</f>
        <v/>
      </c>
      <c r="F2928" t="str">
        <f>""</f>
        <v/>
      </c>
      <c r="G2928" t="str">
        <f>""</f>
        <v/>
      </c>
      <c r="I2928" t="str">
        <f t="shared" si="57"/>
        <v>TEXAS COUNTY &amp; DISTRICT RET</v>
      </c>
    </row>
    <row r="2929" spans="1:9" x14ac:dyDescent="0.3">
      <c r="A2929" t="str">
        <f>""</f>
        <v/>
      </c>
      <c r="F2929" t="str">
        <f>""</f>
        <v/>
      </c>
      <c r="G2929" t="str">
        <f>""</f>
        <v/>
      </c>
      <c r="I2929" t="str">
        <f t="shared" si="57"/>
        <v>TEXAS COUNTY &amp; DISTRICT RET</v>
      </c>
    </row>
    <row r="2930" spans="1:9" x14ac:dyDescent="0.3">
      <c r="A2930" t="str">
        <f>""</f>
        <v/>
      </c>
      <c r="F2930" t="str">
        <f>""</f>
        <v/>
      </c>
      <c r="G2930" t="str">
        <f>""</f>
        <v/>
      </c>
      <c r="I2930" t="str">
        <f t="shared" si="57"/>
        <v>TEXAS COUNTY &amp; DISTRICT RET</v>
      </c>
    </row>
    <row r="2931" spans="1:9" x14ac:dyDescent="0.3">
      <c r="A2931" t="str">
        <f>""</f>
        <v/>
      </c>
      <c r="F2931" t="str">
        <f>""</f>
        <v/>
      </c>
      <c r="G2931" t="str">
        <f>""</f>
        <v/>
      </c>
      <c r="I2931" t="str">
        <f t="shared" si="57"/>
        <v>TEXAS COUNTY &amp; DISTRICT RET</v>
      </c>
    </row>
    <row r="2932" spans="1:9" x14ac:dyDescent="0.3">
      <c r="A2932" t="str">
        <f>""</f>
        <v/>
      </c>
      <c r="F2932" t="str">
        <f>""</f>
        <v/>
      </c>
      <c r="G2932" t="str">
        <f>""</f>
        <v/>
      </c>
      <c r="I2932" t="str">
        <f t="shared" si="57"/>
        <v>TEXAS COUNTY &amp; DISTRICT RET</v>
      </c>
    </row>
    <row r="2933" spans="1:9" x14ac:dyDescent="0.3">
      <c r="A2933" t="str">
        <f>""</f>
        <v/>
      </c>
      <c r="F2933" t="str">
        <f>""</f>
        <v/>
      </c>
      <c r="G2933" t="str">
        <f>""</f>
        <v/>
      </c>
      <c r="I2933" t="str">
        <f t="shared" si="57"/>
        <v>TEXAS COUNTY &amp; DISTRICT RET</v>
      </c>
    </row>
    <row r="2934" spans="1:9" x14ac:dyDescent="0.3">
      <c r="A2934" t="str">
        <f>""</f>
        <v/>
      </c>
      <c r="F2934" t="str">
        <f>""</f>
        <v/>
      </c>
      <c r="G2934" t="str">
        <f>""</f>
        <v/>
      </c>
      <c r="I2934" t="str">
        <f t="shared" si="57"/>
        <v>TEXAS COUNTY &amp; DISTRICT RET</v>
      </c>
    </row>
    <row r="2935" spans="1:9" x14ac:dyDescent="0.3">
      <c r="A2935" t="str">
        <f>""</f>
        <v/>
      </c>
      <c r="F2935" t="str">
        <f>""</f>
        <v/>
      </c>
      <c r="G2935" t="str">
        <f>""</f>
        <v/>
      </c>
      <c r="I2935" t="str">
        <f t="shared" si="57"/>
        <v>TEXAS COUNTY &amp; DISTRICT RET</v>
      </c>
    </row>
    <row r="2936" spans="1:9" x14ac:dyDescent="0.3">
      <c r="A2936" t="str">
        <f>""</f>
        <v/>
      </c>
      <c r="F2936" t="str">
        <f>""</f>
        <v/>
      </c>
      <c r="G2936" t="str">
        <f>""</f>
        <v/>
      </c>
      <c r="I2936" t="str">
        <f t="shared" si="57"/>
        <v>TEXAS COUNTY &amp; DISTRICT RET</v>
      </c>
    </row>
    <row r="2937" spans="1:9" x14ac:dyDescent="0.3">
      <c r="A2937" t="str">
        <f>""</f>
        <v/>
      </c>
      <c r="F2937" t="str">
        <f>""</f>
        <v/>
      </c>
      <c r="G2937" t="str">
        <f>""</f>
        <v/>
      </c>
      <c r="I2937" t="str">
        <f t="shared" si="57"/>
        <v>TEXAS COUNTY &amp; DISTRICT RET</v>
      </c>
    </row>
    <row r="2938" spans="1:9" x14ac:dyDescent="0.3">
      <c r="A2938" t="str">
        <f>""</f>
        <v/>
      </c>
      <c r="F2938" t="str">
        <f>""</f>
        <v/>
      </c>
      <c r="G2938" t="str">
        <f>""</f>
        <v/>
      </c>
      <c r="I2938" t="str">
        <f t="shared" si="57"/>
        <v>TEXAS COUNTY &amp; DISTRICT RET</v>
      </c>
    </row>
    <row r="2939" spans="1:9" x14ac:dyDescent="0.3">
      <c r="A2939" t="str">
        <f>""</f>
        <v/>
      </c>
      <c r="F2939" t="str">
        <f>""</f>
        <v/>
      </c>
      <c r="G2939" t="str">
        <f>""</f>
        <v/>
      </c>
      <c r="I2939" t="str">
        <f t="shared" si="57"/>
        <v>TEXAS COUNTY &amp; DISTRICT RET</v>
      </c>
    </row>
    <row r="2940" spans="1:9" x14ac:dyDescent="0.3">
      <c r="A2940" t="str">
        <f>""</f>
        <v/>
      </c>
      <c r="F2940" t="str">
        <f>""</f>
        <v/>
      </c>
      <c r="G2940" t="str">
        <f>""</f>
        <v/>
      </c>
      <c r="I2940" t="str">
        <f t="shared" si="57"/>
        <v>TEXAS COUNTY &amp; DISTRICT RET</v>
      </c>
    </row>
    <row r="2941" spans="1:9" x14ac:dyDescent="0.3">
      <c r="A2941" t="str">
        <f>""</f>
        <v/>
      </c>
      <c r="F2941" t="str">
        <f>""</f>
        <v/>
      </c>
      <c r="G2941" t="str">
        <f>""</f>
        <v/>
      </c>
      <c r="I2941" t="str">
        <f t="shared" si="57"/>
        <v>TEXAS COUNTY &amp; DISTRICT RET</v>
      </c>
    </row>
    <row r="2942" spans="1:9" x14ac:dyDescent="0.3">
      <c r="A2942" t="str">
        <f>""</f>
        <v/>
      </c>
      <c r="F2942" t="str">
        <f>""</f>
        <v/>
      </c>
      <c r="G2942" t="str">
        <f>""</f>
        <v/>
      </c>
      <c r="I2942" t="str">
        <f t="shared" si="57"/>
        <v>TEXAS COUNTY &amp; DISTRICT RET</v>
      </c>
    </row>
    <row r="2943" spans="1:9" x14ac:dyDescent="0.3">
      <c r="A2943" t="str">
        <f>""</f>
        <v/>
      </c>
      <c r="F2943" t="str">
        <f>""</f>
        <v/>
      </c>
      <c r="G2943" t="str">
        <f>""</f>
        <v/>
      </c>
      <c r="I2943" t="str">
        <f t="shared" si="57"/>
        <v>TEXAS COUNTY &amp; DISTRICT RET</v>
      </c>
    </row>
    <row r="2944" spans="1:9" x14ac:dyDescent="0.3">
      <c r="A2944" t="str">
        <f>""</f>
        <v/>
      </c>
      <c r="F2944" t="str">
        <f>""</f>
        <v/>
      </c>
      <c r="G2944" t="str">
        <f>""</f>
        <v/>
      </c>
      <c r="I2944" t="str">
        <f t="shared" si="57"/>
        <v>TEXAS COUNTY &amp; DISTRICT RET</v>
      </c>
    </row>
    <row r="2945" spans="1:9" x14ac:dyDescent="0.3">
      <c r="A2945" t="str">
        <f>""</f>
        <v/>
      </c>
      <c r="F2945" t="str">
        <f>""</f>
        <v/>
      </c>
      <c r="G2945" t="str">
        <f>""</f>
        <v/>
      </c>
      <c r="I2945" t="str">
        <f t="shared" si="57"/>
        <v>TEXAS COUNTY &amp; DISTRICT RET</v>
      </c>
    </row>
    <row r="2946" spans="1:9" x14ac:dyDescent="0.3">
      <c r="A2946" t="str">
        <f>""</f>
        <v/>
      </c>
      <c r="F2946" t="str">
        <f>""</f>
        <v/>
      </c>
      <c r="G2946" t="str">
        <f>""</f>
        <v/>
      </c>
      <c r="I2946" t="str">
        <f t="shared" si="57"/>
        <v>TEXAS COUNTY &amp; DISTRICT RET</v>
      </c>
    </row>
    <row r="2947" spans="1:9" x14ac:dyDescent="0.3">
      <c r="A2947" t="str">
        <f>""</f>
        <v/>
      </c>
      <c r="F2947" t="str">
        <f>""</f>
        <v/>
      </c>
      <c r="G2947" t="str">
        <f>""</f>
        <v/>
      </c>
      <c r="I2947" t="str">
        <f t="shared" ref="I2947:I2964" si="58">"TEXAS COUNTY &amp; DISTRICT RET"</f>
        <v>TEXAS COUNTY &amp; DISTRICT RET</v>
      </c>
    </row>
    <row r="2948" spans="1:9" x14ac:dyDescent="0.3">
      <c r="A2948" t="str">
        <f>""</f>
        <v/>
      </c>
      <c r="F2948" t="str">
        <f>""</f>
        <v/>
      </c>
      <c r="G2948" t="str">
        <f>""</f>
        <v/>
      </c>
      <c r="I2948" t="str">
        <f t="shared" si="58"/>
        <v>TEXAS COUNTY &amp; DISTRICT RET</v>
      </c>
    </row>
    <row r="2949" spans="1:9" x14ac:dyDescent="0.3">
      <c r="A2949" t="str">
        <f>""</f>
        <v/>
      </c>
      <c r="F2949" t="str">
        <f>""</f>
        <v/>
      </c>
      <c r="G2949" t="str">
        <f>""</f>
        <v/>
      </c>
      <c r="I2949" t="str">
        <f t="shared" si="58"/>
        <v>TEXAS COUNTY &amp; DISTRICT RET</v>
      </c>
    </row>
    <row r="2950" spans="1:9" x14ac:dyDescent="0.3">
      <c r="A2950" t="str">
        <f>""</f>
        <v/>
      </c>
      <c r="F2950" t="str">
        <f>""</f>
        <v/>
      </c>
      <c r="G2950" t="str">
        <f>""</f>
        <v/>
      </c>
      <c r="I2950" t="str">
        <f t="shared" si="58"/>
        <v>TEXAS COUNTY &amp; DISTRICT RET</v>
      </c>
    </row>
    <row r="2951" spans="1:9" x14ac:dyDescent="0.3">
      <c r="A2951" t="str">
        <f>""</f>
        <v/>
      </c>
      <c r="F2951" t="str">
        <f>""</f>
        <v/>
      </c>
      <c r="G2951" t="str">
        <f>""</f>
        <v/>
      </c>
      <c r="I2951" t="str">
        <f t="shared" si="58"/>
        <v>TEXAS COUNTY &amp; DISTRICT RET</v>
      </c>
    </row>
    <row r="2952" spans="1:9" x14ac:dyDescent="0.3">
      <c r="A2952" t="str">
        <f>""</f>
        <v/>
      </c>
      <c r="F2952" t="str">
        <f>""</f>
        <v/>
      </c>
      <c r="G2952" t="str">
        <f>""</f>
        <v/>
      </c>
      <c r="I2952" t="str">
        <f t="shared" si="58"/>
        <v>TEXAS COUNTY &amp; DISTRICT RET</v>
      </c>
    </row>
    <row r="2953" spans="1:9" x14ac:dyDescent="0.3">
      <c r="A2953" t="str">
        <f>""</f>
        <v/>
      </c>
      <c r="F2953" t="str">
        <f>""</f>
        <v/>
      </c>
      <c r="G2953" t="str">
        <f>""</f>
        <v/>
      </c>
      <c r="I2953" t="str">
        <f t="shared" si="58"/>
        <v>TEXAS COUNTY &amp; DISTRICT RET</v>
      </c>
    </row>
    <row r="2954" spans="1:9" x14ac:dyDescent="0.3">
      <c r="A2954" t="str">
        <f>""</f>
        <v/>
      </c>
      <c r="F2954" t="str">
        <f>""</f>
        <v/>
      </c>
      <c r="G2954" t="str">
        <f>""</f>
        <v/>
      </c>
      <c r="I2954" t="str">
        <f t="shared" si="58"/>
        <v>TEXAS COUNTY &amp; DISTRICT RET</v>
      </c>
    </row>
    <row r="2955" spans="1:9" x14ac:dyDescent="0.3">
      <c r="A2955" t="str">
        <f>""</f>
        <v/>
      </c>
      <c r="F2955" t="str">
        <f>""</f>
        <v/>
      </c>
      <c r="G2955" t="str">
        <f>""</f>
        <v/>
      </c>
      <c r="I2955" t="str">
        <f t="shared" si="58"/>
        <v>TEXAS COUNTY &amp; DISTRICT RET</v>
      </c>
    </row>
    <row r="2956" spans="1:9" x14ac:dyDescent="0.3">
      <c r="A2956" t="str">
        <f>""</f>
        <v/>
      </c>
      <c r="F2956" t="str">
        <f>""</f>
        <v/>
      </c>
      <c r="G2956" t="str">
        <f>""</f>
        <v/>
      </c>
      <c r="I2956" t="str">
        <f t="shared" si="58"/>
        <v>TEXAS COUNTY &amp; DISTRICT RET</v>
      </c>
    </row>
    <row r="2957" spans="1:9" x14ac:dyDescent="0.3">
      <c r="A2957" t="str">
        <f>""</f>
        <v/>
      </c>
      <c r="F2957" t="str">
        <f>""</f>
        <v/>
      </c>
      <c r="G2957" t="str">
        <f>""</f>
        <v/>
      </c>
      <c r="I2957" t="str">
        <f t="shared" si="58"/>
        <v>TEXAS COUNTY &amp; DISTRICT RET</v>
      </c>
    </row>
    <row r="2958" spans="1:9" x14ac:dyDescent="0.3">
      <c r="A2958" t="str">
        <f>""</f>
        <v/>
      </c>
      <c r="F2958" t="str">
        <f>""</f>
        <v/>
      </c>
      <c r="G2958" t="str">
        <f>""</f>
        <v/>
      </c>
      <c r="I2958" t="str">
        <f t="shared" si="58"/>
        <v>TEXAS COUNTY &amp; DISTRICT RET</v>
      </c>
    </row>
    <row r="2959" spans="1:9" x14ac:dyDescent="0.3">
      <c r="A2959" t="str">
        <f>""</f>
        <v/>
      </c>
      <c r="F2959" t="str">
        <f>""</f>
        <v/>
      </c>
      <c r="G2959" t="str">
        <f>""</f>
        <v/>
      </c>
      <c r="I2959" t="str">
        <f t="shared" si="58"/>
        <v>TEXAS COUNTY &amp; DISTRICT RET</v>
      </c>
    </row>
    <row r="2960" spans="1:9" x14ac:dyDescent="0.3">
      <c r="A2960" t="str">
        <f>""</f>
        <v/>
      </c>
      <c r="F2960" t="str">
        <f>""</f>
        <v/>
      </c>
      <c r="G2960" t="str">
        <f>""</f>
        <v/>
      </c>
      <c r="I2960" t="str">
        <f t="shared" si="58"/>
        <v>TEXAS COUNTY &amp; DISTRICT RET</v>
      </c>
    </row>
    <row r="2961" spans="1:9" x14ac:dyDescent="0.3">
      <c r="A2961" t="str">
        <f>""</f>
        <v/>
      </c>
      <c r="F2961" t="str">
        <f>""</f>
        <v/>
      </c>
      <c r="G2961" t="str">
        <f>""</f>
        <v/>
      </c>
      <c r="I2961" t="str">
        <f t="shared" si="58"/>
        <v>TEXAS COUNTY &amp; DISTRICT RET</v>
      </c>
    </row>
    <row r="2962" spans="1:9" x14ac:dyDescent="0.3">
      <c r="A2962" t="str">
        <f>""</f>
        <v/>
      </c>
      <c r="F2962" t="str">
        <f>""</f>
        <v/>
      </c>
      <c r="G2962" t="str">
        <f>""</f>
        <v/>
      </c>
      <c r="I2962" t="str">
        <f t="shared" si="58"/>
        <v>TEXAS COUNTY &amp; DISTRICT RET</v>
      </c>
    </row>
    <row r="2963" spans="1:9" x14ac:dyDescent="0.3">
      <c r="A2963" t="str">
        <f>""</f>
        <v/>
      </c>
      <c r="F2963" t="str">
        <f>""</f>
        <v/>
      </c>
      <c r="G2963" t="str">
        <f>""</f>
        <v/>
      </c>
      <c r="I2963" t="str">
        <f t="shared" si="58"/>
        <v>TEXAS COUNTY &amp; DISTRICT RET</v>
      </c>
    </row>
    <row r="2964" spans="1:9" x14ac:dyDescent="0.3">
      <c r="A2964" t="str">
        <f>""</f>
        <v/>
      </c>
      <c r="F2964" t="str">
        <f>""</f>
        <v/>
      </c>
      <c r="G2964" t="str">
        <f>""</f>
        <v/>
      </c>
      <c r="I2964" t="str">
        <f t="shared" si="58"/>
        <v>TEXAS COUNTY &amp; DISTRICT RET</v>
      </c>
    </row>
    <row r="2965" spans="1:9" x14ac:dyDescent="0.3">
      <c r="A2965" t="str">
        <f>""</f>
        <v/>
      </c>
      <c r="F2965" t="str">
        <f>"RET201711296860"</f>
        <v>RET201711296860</v>
      </c>
      <c r="G2965" t="str">
        <f>"TEXAS COUNTY  DISTRICT RET"</f>
        <v>TEXAS COUNTY  DISTRICT RET</v>
      </c>
      <c r="H2965" s="2">
        <v>5483.3</v>
      </c>
      <c r="I2965" t="str">
        <f>"TEXAS COUNTY  DISTRICT RET"</f>
        <v>TEXAS COUNTY  DISTRICT RET</v>
      </c>
    </row>
    <row r="2966" spans="1:9" x14ac:dyDescent="0.3">
      <c r="A2966" t="str">
        <f>""</f>
        <v/>
      </c>
      <c r="F2966" t="str">
        <f>""</f>
        <v/>
      </c>
      <c r="G2966" t="str">
        <f>""</f>
        <v/>
      </c>
      <c r="I2966" t="str">
        <f>"TEXAS COUNTY  DISTRICT RET"</f>
        <v>TEXAS COUNTY  DISTRICT RET</v>
      </c>
    </row>
    <row r="2967" spans="1:9" x14ac:dyDescent="0.3">
      <c r="A2967" t="str">
        <f>""</f>
        <v/>
      </c>
      <c r="F2967" t="str">
        <f>"RET201711296861"</f>
        <v>RET201711296861</v>
      </c>
      <c r="G2967" t="str">
        <f>"TEXAS COUNTY &amp; DISTRICT RET"</f>
        <v>TEXAS COUNTY &amp; DISTRICT RET</v>
      </c>
      <c r="H2967" s="2">
        <v>8322.48</v>
      </c>
      <c r="I2967" t="str">
        <f t="shared" ref="I2967:I2998" si="59">"TEXAS COUNTY &amp; DISTRICT RET"</f>
        <v>TEXAS COUNTY &amp; DISTRICT RET</v>
      </c>
    </row>
    <row r="2968" spans="1:9" x14ac:dyDescent="0.3">
      <c r="A2968" t="str">
        <f>""</f>
        <v/>
      </c>
      <c r="F2968" t="str">
        <f>""</f>
        <v/>
      </c>
      <c r="G2968" t="str">
        <f>""</f>
        <v/>
      </c>
      <c r="I2968" t="str">
        <f t="shared" si="59"/>
        <v>TEXAS COUNTY &amp; DISTRICT RET</v>
      </c>
    </row>
    <row r="2969" spans="1:9" x14ac:dyDescent="0.3">
      <c r="A2969" t="str">
        <f>""</f>
        <v/>
      </c>
      <c r="F2969" t="str">
        <f>"RET201712137295"</f>
        <v>RET201712137295</v>
      </c>
      <c r="G2969" t="str">
        <f>"TEXAS COUNTY &amp; DISTRICT RET"</f>
        <v>TEXAS COUNTY &amp; DISTRICT RET</v>
      </c>
      <c r="H2969" s="2">
        <v>140915.96</v>
      </c>
      <c r="I2969" t="str">
        <f t="shared" si="59"/>
        <v>TEXAS COUNTY &amp; DISTRICT RET</v>
      </c>
    </row>
    <row r="2970" spans="1:9" x14ac:dyDescent="0.3">
      <c r="A2970" t="str">
        <f>""</f>
        <v/>
      </c>
      <c r="F2970" t="str">
        <f>""</f>
        <v/>
      </c>
      <c r="G2970" t="str">
        <f>""</f>
        <v/>
      </c>
      <c r="I2970" t="str">
        <f t="shared" si="59"/>
        <v>TEXAS COUNTY &amp; DISTRICT RET</v>
      </c>
    </row>
    <row r="2971" spans="1:9" x14ac:dyDescent="0.3">
      <c r="A2971" t="str">
        <f>""</f>
        <v/>
      </c>
      <c r="F2971" t="str">
        <f>""</f>
        <v/>
      </c>
      <c r="G2971" t="str">
        <f>""</f>
        <v/>
      </c>
      <c r="I2971" t="str">
        <f t="shared" si="59"/>
        <v>TEXAS COUNTY &amp; DISTRICT RET</v>
      </c>
    </row>
    <row r="2972" spans="1:9" x14ac:dyDescent="0.3">
      <c r="A2972" t="str">
        <f>""</f>
        <v/>
      </c>
      <c r="F2972" t="str">
        <f>""</f>
        <v/>
      </c>
      <c r="G2972" t="str">
        <f>""</f>
        <v/>
      </c>
      <c r="I2972" t="str">
        <f t="shared" si="59"/>
        <v>TEXAS COUNTY &amp; DISTRICT RET</v>
      </c>
    </row>
    <row r="2973" spans="1:9" x14ac:dyDescent="0.3">
      <c r="A2973" t="str">
        <f>""</f>
        <v/>
      </c>
      <c r="F2973" t="str">
        <f>""</f>
        <v/>
      </c>
      <c r="G2973" t="str">
        <f>""</f>
        <v/>
      </c>
      <c r="I2973" t="str">
        <f t="shared" si="59"/>
        <v>TEXAS COUNTY &amp; DISTRICT RET</v>
      </c>
    </row>
    <row r="2974" spans="1:9" x14ac:dyDescent="0.3">
      <c r="A2974" t="str">
        <f>""</f>
        <v/>
      </c>
      <c r="F2974" t="str">
        <f>""</f>
        <v/>
      </c>
      <c r="G2974" t="str">
        <f>""</f>
        <v/>
      </c>
      <c r="I2974" t="str">
        <f t="shared" si="59"/>
        <v>TEXAS COUNTY &amp; DISTRICT RET</v>
      </c>
    </row>
    <row r="2975" spans="1:9" x14ac:dyDescent="0.3">
      <c r="A2975" t="str">
        <f>""</f>
        <v/>
      </c>
      <c r="F2975" t="str">
        <f>""</f>
        <v/>
      </c>
      <c r="G2975" t="str">
        <f>""</f>
        <v/>
      </c>
      <c r="I2975" t="str">
        <f t="shared" si="59"/>
        <v>TEXAS COUNTY &amp; DISTRICT RET</v>
      </c>
    </row>
    <row r="2976" spans="1:9" x14ac:dyDescent="0.3">
      <c r="A2976" t="str">
        <f>""</f>
        <v/>
      </c>
      <c r="F2976" t="str">
        <f>""</f>
        <v/>
      </c>
      <c r="G2976" t="str">
        <f>""</f>
        <v/>
      </c>
      <c r="I2976" t="str">
        <f t="shared" si="59"/>
        <v>TEXAS COUNTY &amp; DISTRICT RET</v>
      </c>
    </row>
    <row r="2977" spans="1:9" x14ac:dyDescent="0.3">
      <c r="A2977" t="str">
        <f>""</f>
        <v/>
      </c>
      <c r="F2977" t="str">
        <f>""</f>
        <v/>
      </c>
      <c r="G2977" t="str">
        <f>""</f>
        <v/>
      </c>
      <c r="I2977" t="str">
        <f t="shared" si="59"/>
        <v>TEXAS COUNTY &amp; DISTRICT RET</v>
      </c>
    </row>
    <row r="2978" spans="1:9" x14ac:dyDescent="0.3">
      <c r="A2978" t="str">
        <f>""</f>
        <v/>
      </c>
      <c r="F2978" t="str">
        <f>""</f>
        <v/>
      </c>
      <c r="G2978" t="str">
        <f>""</f>
        <v/>
      </c>
      <c r="I2978" t="str">
        <f t="shared" si="59"/>
        <v>TEXAS COUNTY &amp; DISTRICT RET</v>
      </c>
    </row>
    <row r="2979" spans="1:9" x14ac:dyDescent="0.3">
      <c r="A2979" t="str">
        <f>""</f>
        <v/>
      </c>
      <c r="F2979" t="str">
        <f>""</f>
        <v/>
      </c>
      <c r="G2979" t="str">
        <f>""</f>
        <v/>
      </c>
      <c r="I2979" t="str">
        <f t="shared" si="59"/>
        <v>TEXAS COUNTY &amp; DISTRICT RET</v>
      </c>
    </row>
    <row r="2980" spans="1:9" x14ac:dyDescent="0.3">
      <c r="A2980" t="str">
        <f>""</f>
        <v/>
      </c>
      <c r="F2980" t="str">
        <f>""</f>
        <v/>
      </c>
      <c r="G2980" t="str">
        <f>""</f>
        <v/>
      </c>
      <c r="I2980" t="str">
        <f t="shared" si="59"/>
        <v>TEXAS COUNTY &amp; DISTRICT RET</v>
      </c>
    </row>
    <row r="2981" spans="1:9" x14ac:dyDescent="0.3">
      <c r="A2981" t="str">
        <f>""</f>
        <v/>
      </c>
      <c r="F2981" t="str">
        <f>""</f>
        <v/>
      </c>
      <c r="G2981" t="str">
        <f>""</f>
        <v/>
      </c>
      <c r="I2981" t="str">
        <f t="shared" si="59"/>
        <v>TEXAS COUNTY &amp; DISTRICT RET</v>
      </c>
    </row>
    <row r="2982" spans="1:9" x14ac:dyDescent="0.3">
      <c r="A2982" t="str">
        <f>""</f>
        <v/>
      </c>
      <c r="F2982" t="str">
        <f>""</f>
        <v/>
      </c>
      <c r="G2982" t="str">
        <f>""</f>
        <v/>
      </c>
      <c r="I2982" t="str">
        <f t="shared" si="59"/>
        <v>TEXAS COUNTY &amp; DISTRICT RET</v>
      </c>
    </row>
    <row r="2983" spans="1:9" x14ac:dyDescent="0.3">
      <c r="A2983" t="str">
        <f>""</f>
        <v/>
      </c>
      <c r="F2983" t="str">
        <f>""</f>
        <v/>
      </c>
      <c r="G2983" t="str">
        <f>""</f>
        <v/>
      </c>
      <c r="I2983" t="str">
        <f t="shared" si="59"/>
        <v>TEXAS COUNTY &amp; DISTRICT RET</v>
      </c>
    </row>
    <row r="2984" spans="1:9" x14ac:dyDescent="0.3">
      <c r="A2984" t="str">
        <f>""</f>
        <v/>
      </c>
      <c r="F2984" t="str">
        <f>""</f>
        <v/>
      </c>
      <c r="G2984" t="str">
        <f>""</f>
        <v/>
      </c>
      <c r="I2984" t="str">
        <f t="shared" si="59"/>
        <v>TEXAS COUNTY &amp; DISTRICT RET</v>
      </c>
    </row>
    <row r="2985" spans="1:9" x14ac:dyDescent="0.3">
      <c r="A2985" t="str">
        <f>""</f>
        <v/>
      </c>
      <c r="F2985" t="str">
        <f>""</f>
        <v/>
      </c>
      <c r="G2985" t="str">
        <f>""</f>
        <v/>
      </c>
      <c r="I2985" t="str">
        <f t="shared" si="59"/>
        <v>TEXAS COUNTY &amp; DISTRICT RET</v>
      </c>
    </row>
    <row r="2986" spans="1:9" x14ac:dyDescent="0.3">
      <c r="A2986" t="str">
        <f>""</f>
        <v/>
      </c>
      <c r="F2986" t="str">
        <f>""</f>
        <v/>
      </c>
      <c r="G2986" t="str">
        <f>""</f>
        <v/>
      </c>
      <c r="I2986" t="str">
        <f t="shared" si="59"/>
        <v>TEXAS COUNTY &amp; DISTRICT RET</v>
      </c>
    </row>
    <row r="2987" spans="1:9" x14ac:dyDescent="0.3">
      <c r="A2987" t="str">
        <f>""</f>
        <v/>
      </c>
      <c r="F2987" t="str">
        <f>""</f>
        <v/>
      </c>
      <c r="G2987" t="str">
        <f>""</f>
        <v/>
      </c>
      <c r="I2987" t="str">
        <f t="shared" si="59"/>
        <v>TEXAS COUNTY &amp; DISTRICT RET</v>
      </c>
    </row>
    <row r="2988" spans="1:9" x14ac:dyDescent="0.3">
      <c r="A2988" t="str">
        <f>""</f>
        <v/>
      </c>
      <c r="F2988" t="str">
        <f>""</f>
        <v/>
      </c>
      <c r="G2988" t="str">
        <f>""</f>
        <v/>
      </c>
      <c r="I2988" t="str">
        <f t="shared" si="59"/>
        <v>TEXAS COUNTY &amp; DISTRICT RET</v>
      </c>
    </row>
    <row r="2989" spans="1:9" x14ac:dyDescent="0.3">
      <c r="A2989" t="str">
        <f>""</f>
        <v/>
      </c>
      <c r="F2989" t="str">
        <f>""</f>
        <v/>
      </c>
      <c r="G2989" t="str">
        <f>""</f>
        <v/>
      </c>
      <c r="I2989" t="str">
        <f t="shared" si="59"/>
        <v>TEXAS COUNTY &amp; DISTRICT RET</v>
      </c>
    </row>
    <row r="2990" spans="1:9" x14ac:dyDescent="0.3">
      <c r="A2990" t="str">
        <f>""</f>
        <v/>
      </c>
      <c r="F2990" t="str">
        <f>""</f>
        <v/>
      </c>
      <c r="G2990" t="str">
        <f>""</f>
        <v/>
      </c>
      <c r="I2990" t="str">
        <f t="shared" si="59"/>
        <v>TEXAS COUNTY &amp; DISTRICT RET</v>
      </c>
    </row>
    <row r="2991" spans="1:9" x14ac:dyDescent="0.3">
      <c r="A2991" t="str">
        <f>""</f>
        <v/>
      </c>
      <c r="F2991" t="str">
        <f>""</f>
        <v/>
      </c>
      <c r="G2991" t="str">
        <f>""</f>
        <v/>
      </c>
      <c r="I2991" t="str">
        <f t="shared" si="59"/>
        <v>TEXAS COUNTY &amp; DISTRICT RET</v>
      </c>
    </row>
    <row r="2992" spans="1:9" x14ac:dyDescent="0.3">
      <c r="A2992" t="str">
        <f>""</f>
        <v/>
      </c>
      <c r="F2992" t="str">
        <f>""</f>
        <v/>
      </c>
      <c r="G2992" t="str">
        <f>""</f>
        <v/>
      </c>
      <c r="I2992" t="str">
        <f t="shared" si="59"/>
        <v>TEXAS COUNTY &amp; DISTRICT RET</v>
      </c>
    </row>
    <row r="2993" spans="1:9" x14ac:dyDescent="0.3">
      <c r="A2993" t="str">
        <f>""</f>
        <v/>
      </c>
      <c r="F2993" t="str">
        <f>""</f>
        <v/>
      </c>
      <c r="G2993" t="str">
        <f>""</f>
        <v/>
      </c>
      <c r="I2993" t="str">
        <f t="shared" si="59"/>
        <v>TEXAS COUNTY &amp; DISTRICT RET</v>
      </c>
    </row>
    <row r="2994" spans="1:9" x14ac:dyDescent="0.3">
      <c r="A2994" t="str">
        <f>""</f>
        <v/>
      </c>
      <c r="F2994" t="str">
        <f>""</f>
        <v/>
      </c>
      <c r="G2994" t="str">
        <f>""</f>
        <v/>
      </c>
      <c r="I2994" t="str">
        <f t="shared" si="59"/>
        <v>TEXAS COUNTY &amp; DISTRICT RET</v>
      </c>
    </row>
    <row r="2995" spans="1:9" x14ac:dyDescent="0.3">
      <c r="A2995" t="str">
        <f>""</f>
        <v/>
      </c>
      <c r="F2995" t="str">
        <f>""</f>
        <v/>
      </c>
      <c r="G2995" t="str">
        <f>""</f>
        <v/>
      </c>
      <c r="I2995" t="str">
        <f t="shared" si="59"/>
        <v>TEXAS COUNTY &amp; DISTRICT RET</v>
      </c>
    </row>
    <row r="2996" spans="1:9" x14ac:dyDescent="0.3">
      <c r="A2996" t="str">
        <f>""</f>
        <v/>
      </c>
      <c r="F2996" t="str">
        <f>""</f>
        <v/>
      </c>
      <c r="G2996" t="str">
        <f>""</f>
        <v/>
      </c>
      <c r="I2996" t="str">
        <f t="shared" si="59"/>
        <v>TEXAS COUNTY &amp; DISTRICT RET</v>
      </c>
    </row>
    <row r="2997" spans="1:9" x14ac:dyDescent="0.3">
      <c r="A2997" t="str">
        <f>""</f>
        <v/>
      </c>
      <c r="F2997" t="str">
        <f>""</f>
        <v/>
      </c>
      <c r="G2997" t="str">
        <f>""</f>
        <v/>
      </c>
      <c r="I2997" t="str">
        <f t="shared" si="59"/>
        <v>TEXAS COUNTY &amp; DISTRICT RET</v>
      </c>
    </row>
    <row r="2998" spans="1:9" x14ac:dyDescent="0.3">
      <c r="A2998" t="str">
        <f>""</f>
        <v/>
      </c>
      <c r="F2998" t="str">
        <f>""</f>
        <v/>
      </c>
      <c r="G2998" t="str">
        <f>""</f>
        <v/>
      </c>
      <c r="I2998" t="str">
        <f t="shared" si="59"/>
        <v>TEXAS COUNTY &amp; DISTRICT RET</v>
      </c>
    </row>
    <row r="2999" spans="1:9" x14ac:dyDescent="0.3">
      <c r="A2999" t="str">
        <f>""</f>
        <v/>
      </c>
      <c r="F2999" t="str">
        <f>""</f>
        <v/>
      </c>
      <c r="G2999" t="str">
        <f>""</f>
        <v/>
      </c>
      <c r="I2999" t="str">
        <f t="shared" ref="I2999:I3018" si="60">"TEXAS COUNTY &amp; DISTRICT RET"</f>
        <v>TEXAS COUNTY &amp; DISTRICT RET</v>
      </c>
    </row>
    <row r="3000" spans="1:9" x14ac:dyDescent="0.3">
      <c r="A3000" t="str">
        <f>""</f>
        <v/>
      </c>
      <c r="F3000" t="str">
        <f>""</f>
        <v/>
      </c>
      <c r="G3000" t="str">
        <f>""</f>
        <v/>
      </c>
      <c r="I3000" t="str">
        <f t="shared" si="60"/>
        <v>TEXAS COUNTY &amp; DISTRICT RET</v>
      </c>
    </row>
    <row r="3001" spans="1:9" x14ac:dyDescent="0.3">
      <c r="A3001" t="str">
        <f>""</f>
        <v/>
      </c>
      <c r="F3001" t="str">
        <f>""</f>
        <v/>
      </c>
      <c r="G3001" t="str">
        <f>""</f>
        <v/>
      </c>
      <c r="I3001" t="str">
        <f t="shared" si="60"/>
        <v>TEXAS COUNTY &amp; DISTRICT RET</v>
      </c>
    </row>
    <row r="3002" spans="1:9" x14ac:dyDescent="0.3">
      <c r="A3002" t="str">
        <f>""</f>
        <v/>
      </c>
      <c r="F3002" t="str">
        <f>""</f>
        <v/>
      </c>
      <c r="G3002" t="str">
        <f>""</f>
        <v/>
      </c>
      <c r="I3002" t="str">
        <f t="shared" si="60"/>
        <v>TEXAS COUNTY &amp; DISTRICT RET</v>
      </c>
    </row>
    <row r="3003" spans="1:9" x14ac:dyDescent="0.3">
      <c r="A3003" t="str">
        <f>""</f>
        <v/>
      </c>
      <c r="F3003" t="str">
        <f>""</f>
        <v/>
      </c>
      <c r="G3003" t="str">
        <f>""</f>
        <v/>
      </c>
      <c r="I3003" t="str">
        <f t="shared" si="60"/>
        <v>TEXAS COUNTY &amp; DISTRICT RET</v>
      </c>
    </row>
    <row r="3004" spans="1:9" x14ac:dyDescent="0.3">
      <c r="A3004" t="str">
        <f>""</f>
        <v/>
      </c>
      <c r="F3004" t="str">
        <f>""</f>
        <v/>
      </c>
      <c r="G3004" t="str">
        <f>""</f>
        <v/>
      </c>
      <c r="I3004" t="str">
        <f t="shared" si="60"/>
        <v>TEXAS COUNTY &amp; DISTRICT RET</v>
      </c>
    </row>
    <row r="3005" spans="1:9" x14ac:dyDescent="0.3">
      <c r="A3005" t="str">
        <f>""</f>
        <v/>
      </c>
      <c r="F3005" t="str">
        <f>""</f>
        <v/>
      </c>
      <c r="G3005" t="str">
        <f>""</f>
        <v/>
      </c>
      <c r="I3005" t="str">
        <f t="shared" si="60"/>
        <v>TEXAS COUNTY &amp; DISTRICT RET</v>
      </c>
    </row>
    <row r="3006" spans="1:9" x14ac:dyDescent="0.3">
      <c r="A3006" t="str">
        <f>""</f>
        <v/>
      </c>
      <c r="F3006" t="str">
        <f>""</f>
        <v/>
      </c>
      <c r="G3006" t="str">
        <f>""</f>
        <v/>
      </c>
      <c r="I3006" t="str">
        <f t="shared" si="60"/>
        <v>TEXAS COUNTY &amp; DISTRICT RET</v>
      </c>
    </row>
    <row r="3007" spans="1:9" x14ac:dyDescent="0.3">
      <c r="A3007" t="str">
        <f>""</f>
        <v/>
      </c>
      <c r="F3007" t="str">
        <f>""</f>
        <v/>
      </c>
      <c r="G3007" t="str">
        <f>""</f>
        <v/>
      </c>
      <c r="I3007" t="str">
        <f t="shared" si="60"/>
        <v>TEXAS COUNTY &amp; DISTRICT RET</v>
      </c>
    </row>
    <row r="3008" spans="1:9" x14ac:dyDescent="0.3">
      <c r="A3008" t="str">
        <f>""</f>
        <v/>
      </c>
      <c r="F3008" t="str">
        <f>""</f>
        <v/>
      </c>
      <c r="G3008" t="str">
        <f>""</f>
        <v/>
      </c>
      <c r="I3008" t="str">
        <f t="shared" si="60"/>
        <v>TEXAS COUNTY &amp; DISTRICT RET</v>
      </c>
    </row>
    <row r="3009" spans="1:9" x14ac:dyDescent="0.3">
      <c r="A3009" t="str">
        <f>""</f>
        <v/>
      </c>
      <c r="F3009" t="str">
        <f>""</f>
        <v/>
      </c>
      <c r="G3009" t="str">
        <f>""</f>
        <v/>
      </c>
      <c r="I3009" t="str">
        <f t="shared" si="60"/>
        <v>TEXAS COUNTY &amp; DISTRICT RET</v>
      </c>
    </row>
    <row r="3010" spans="1:9" x14ac:dyDescent="0.3">
      <c r="A3010" t="str">
        <f>""</f>
        <v/>
      </c>
      <c r="F3010" t="str">
        <f>""</f>
        <v/>
      </c>
      <c r="G3010" t="str">
        <f>""</f>
        <v/>
      </c>
      <c r="I3010" t="str">
        <f t="shared" si="60"/>
        <v>TEXAS COUNTY &amp; DISTRICT RET</v>
      </c>
    </row>
    <row r="3011" spans="1:9" x14ac:dyDescent="0.3">
      <c r="A3011" t="str">
        <f>""</f>
        <v/>
      </c>
      <c r="F3011" t="str">
        <f>""</f>
        <v/>
      </c>
      <c r="G3011" t="str">
        <f>""</f>
        <v/>
      </c>
      <c r="I3011" t="str">
        <f t="shared" si="60"/>
        <v>TEXAS COUNTY &amp; DISTRICT RET</v>
      </c>
    </row>
    <row r="3012" spans="1:9" x14ac:dyDescent="0.3">
      <c r="A3012" t="str">
        <f>""</f>
        <v/>
      </c>
      <c r="F3012" t="str">
        <f>""</f>
        <v/>
      </c>
      <c r="G3012" t="str">
        <f>""</f>
        <v/>
      </c>
      <c r="I3012" t="str">
        <f t="shared" si="60"/>
        <v>TEXAS COUNTY &amp; DISTRICT RET</v>
      </c>
    </row>
    <row r="3013" spans="1:9" x14ac:dyDescent="0.3">
      <c r="A3013" t="str">
        <f>""</f>
        <v/>
      </c>
      <c r="F3013" t="str">
        <f>""</f>
        <v/>
      </c>
      <c r="G3013" t="str">
        <f>""</f>
        <v/>
      </c>
      <c r="I3013" t="str">
        <f t="shared" si="60"/>
        <v>TEXAS COUNTY &amp; DISTRICT RET</v>
      </c>
    </row>
    <row r="3014" spans="1:9" x14ac:dyDescent="0.3">
      <c r="A3014" t="str">
        <f>""</f>
        <v/>
      </c>
      <c r="F3014" t="str">
        <f>""</f>
        <v/>
      </c>
      <c r="G3014" t="str">
        <f>""</f>
        <v/>
      </c>
      <c r="I3014" t="str">
        <f t="shared" si="60"/>
        <v>TEXAS COUNTY &amp; DISTRICT RET</v>
      </c>
    </row>
    <row r="3015" spans="1:9" x14ac:dyDescent="0.3">
      <c r="A3015" t="str">
        <f>""</f>
        <v/>
      </c>
      <c r="F3015" t="str">
        <f>""</f>
        <v/>
      </c>
      <c r="G3015" t="str">
        <f>""</f>
        <v/>
      </c>
      <c r="I3015" t="str">
        <f t="shared" si="60"/>
        <v>TEXAS COUNTY &amp; DISTRICT RET</v>
      </c>
    </row>
    <row r="3016" spans="1:9" x14ac:dyDescent="0.3">
      <c r="A3016" t="str">
        <f>""</f>
        <v/>
      </c>
      <c r="F3016" t="str">
        <f>""</f>
        <v/>
      </c>
      <c r="G3016" t="str">
        <f>""</f>
        <v/>
      </c>
      <c r="I3016" t="str">
        <f t="shared" si="60"/>
        <v>TEXAS COUNTY &amp; DISTRICT RET</v>
      </c>
    </row>
    <row r="3017" spans="1:9" x14ac:dyDescent="0.3">
      <c r="A3017" t="str">
        <f>""</f>
        <v/>
      </c>
      <c r="F3017" t="str">
        <f>""</f>
        <v/>
      </c>
      <c r="G3017" t="str">
        <f>""</f>
        <v/>
      </c>
      <c r="I3017" t="str">
        <f t="shared" si="60"/>
        <v>TEXAS COUNTY &amp; DISTRICT RET</v>
      </c>
    </row>
    <row r="3018" spans="1:9" x14ac:dyDescent="0.3">
      <c r="A3018" t="str">
        <f>""</f>
        <v/>
      </c>
      <c r="F3018" t="str">
        <f>""</f>
        <v/>
      </c>
      <c r="G3018" t="str">
        <f>""</f>
        <v/>
      </c>
      <c r="I3018" t="str">
        <f t="shared" si="60"/>
        <v>TEXAS COUNTY &amp; DISTRICT RET</v>
      </c>
    </row>
    <row r="3019" spans="1:9" x14ac:dyDescent="0.3">
      <c r="A3019" t="str">
        <f>""</f>
        <v/>
      </c>
      <c r="F3019" t="str">
        <f>"RET201712137296"</f>
        <v>RET201712137296</v>
      </c>
      <c r="G3019" t="str">
        <f>"TEXAS COUNTY  DISTRICT RET"</f>
        <v>TEXAS COUNTY  DISTRICT RET</v>
      </c>
      <c r="H3019" s="2">
        <v>5690.87</v>
      </c>
      <c r="I3019" t="str">
        <f>"TEXAS COUNTY  DISTRICT RET"</f>
        <v>TEXAS COUNTY  DISTRICT RET</v>
      </c>
    </row>
    <row r="3020" spans="1:9" x14ac:dyDescent="0.3">
      <c r="A3020" t="str">
        <f>""</f>
        <v/>
      </c>
      <c r="F3020" t="str">
        <f>""</f>
        <v/>
      </c>
      <c r="G3020" t="str">
        <f>""</f>
        <v/>
      </c>
      <c r="I3020" t="str">
        <f>"TEXAS COUNTY  DISTRICT RET"</f>
        <v>TEXAS COUNTY  DISTRICT RET</v>
      </c>
    </row>
    <row r="3021" spans="1:9" x14ac:dyDescent="0.3">
      <c r="A3021" t="str">
        <f>""</f>
        <v/>
      </c>
      <c r="F3021" t="str">
        <f>"RET201712137297"</f>
        <v>RET201712137297</v>
      </c>
      <c r="G3021" t="str">
        <f>"TEXAS COUNTY &amp; DISTRICT RET"</f>
        <v>TEXAS COUNTY &amp; DISTRICT RET</v>
      </c>
      <c r="H3021" s="2">
        <v>8181.44</v>
      </c>
      <c r="I3021" t="str">
        <f t="shared" ref="I3021:I3052" si="61">"TEXAS COUNTY &amp; DISTRICT RET"</f>
        <v>TEXAS COUNTY &amp; DISTRICT RET</v>
      </c>
    </row>
    <row r="3022" spans="1:9" x14ac:dyDescent="0.3">
      <c r="A3022" t="str">
        <f>""</f>
        <v/>
      </c>
      <c r="F3022" t="str">
        <f>""</f>
        <v/>
      </c>
      <c r="G3022" t="str">
        <f>""</f>
        <v/>
      </c>
      <c r="I3022" t="str">
        <f t="shared" si="61"/>
        <v>TEXAS COUNTY &amp; DISTRICT RET</v>
      </c>
    </row>
    <row r="3023" spans="1:9" x14ac:dyDescent="0.3">
      <c r="A3023" t="str">
        <f>""</f>
        <v/>
      </c>
      <c r="F3023" t="str">
        <f>"RET201712287505"</f>
        <v>RET201712287505</v>
      </c>
      <c r="G3023" t="str">
        <f>"TEXAS COUNTY &amp; DISTRICT RET"</f>
        <v>TEXAS COUNTY &amp; DISTRICT RET</v>
      </c>
      <c r="H3023" s="2">
        <v>138516.54999999999</v>
      </c>
      <c r="I3023" t="str">
        <f t="shared" si="61"/>
        <v>TEXAS COUNTY &amp; DISTRICT RET</v>
      </c>
    </row>
    <row r="3024" spans="1:9" x14ac:dyDescent="0.3">
      <c r="A3024" t="str">
        <f>""</f>
        <v/>
      </c>
      <c r="F3024" t="str">
        <f>""</f>
        <v/>
      </c>
      <c r="G3024" t="str">
        <f>""</f>
        <v/>
      </c>
      <c r="I3024" t="str">
        <f t="shared" si="61"/>
        <v>TEXAS COUNTY &amp; DISTRICT RET</v>
      </c>
    </row>
    <row r="3025" spans="1:9" x14ac:dyDescent="0.3">
      <c r="A3025" t="str">
        <f>""</f>
        <v/>
      </c>
      <c r="F3025" t="str">
        <f>""</f>
        <v/>
      </c>
      <c r="G3025" t="str">
        <f>""</f>
        <v/>
      </c>
      <c r="I3025" t="str">
        <f t="shared" si="61"/>
        <v>TEXAS COUNTY &amp; DISTRICT RET</v>
      </c>
    </row>
    <row r="3026" spans="1:9" x14ac:dyDescent="0.3">
      <c r="A3026" t="str">
        <f>""</f>
        <v/>
      </c>
      <c r="F3026" t="str">
        <f>""</f>
        <v/>
      </c>
      <c r="G3026" t="str">
        <f>""</f>
        <v/>
      </c>
      <c r="I3026" t="str">
        <f t="shared" si="61"/>
        <v>TEXAS COUNTY &amp; DISTRICT RET</v>
      </c>
    </row>
    <row r="3027" spans="1:9" x14ac:dyDescent="0.3">
      <c r="A3027" t="str">
        <f>""</f>
        <v/>
      </c>
      <c r="F3027" t="str">
        <f>""</f>
        <v/>
      </c>
      <c r="G3027" t="str">
        <f>""</f>
        <v/>
      </c>
      <c r="I3027" t="str">
        <f t="shared" si="61"/>
        <v>TEXAS COUNTY &amp; DISTRICT RET</v>
      </c>
    </row>
    <row r="3028" spans="1:9" x14ac:dyDescent="0.3">
      <c r="A3028" t="str">
        <f>""</f>
        <v/>
      </c>
      <c r="F3028" t="str">
        <f>""</f>
        <v/>
      </c>
      <c r="G3028" t="str">
        <f>""</f>
        <v/>
      </c>
      <c r="I3028" t="str">
        <f t="shared" si="61"/>
        <v>TEXAS COUNTY &amp; DISTRICT RET</v>
      </c>
    </row>
    <row r="3029" spans="1:9" x14ac:dyDescent="0.3">
      <c r="A3029" t="str">
        <f>""</f>
        <v/>
      </c>
      <c r="F3029" t="str">
        <f>""</f>
        <v/>
      </c>
      <c r="G3029" t="str">
        <f>""</f>
        <v/>
      </c>
      <c r="I3029" t="str">
        <f t="shared" si="61"/>
        <v>TEXAS COUNTY &amp; DISTRICT RET</v>
      </c>
    </row>
    <row r="3030" spans="1:9" x14ac:dyDescent="0.3">
      <c r="A3030" t="str">
        <f>""</f>
        <v/>
      </c>
      <c r="F3030" t="str">
        <f>""</f>
        <v/>
      </c>
      <c r="G3030" t="str">
        <f>""</f>
        <v/>
      </c>
      <c r="I3030" t="str">
        <f t="shared" si="61"/>
        <v>TEXAS COUNTY &amp; DISTRICT RET</v>
      </c>
    </row>
    <row r="3031" spans="1:9" x14ac:dyDescent="0.3">
      <c r="A3031" t="str">
        <f>""</f>
        <v/>
      </c>
      <c r="F3031" t="str">
        <f>""</f>
        <v/>
      </c>
      <c r="G3031" t="str">
        <f>""</f>
        <v/>
      </c>
      <c r="I3031" t="str">
        <f t="shared" si="61"/>
        <v>TEXAS COUNTY &amp; DISTRICT RET</v>
      </c>
    </row>
    <row r="3032" spans="1:9" x14ac:dyDescent="0.3">
      <c r="A3032" t="str">
        <f>""</f>
        <v/>
      </c>
      <c r="F3032" t="str">
        <f>""</f>
        <v/>
      </c>
      <c r="G3032" t="str">
        <f>""</f>
        <v/>
      </c>
      <c r="I3032" t="str">
        <f t="shared" si="61"/>
        <v>TEXAS COUNTY &amp; DISTRICT RET</v>
      </c>
    </row>
    <row r="3033" spans="1:9" x14ac:dyDescent="0.3">
      <c r="A3033" t="str">
        <f>""</f>
        <v/>
      </c>
      <c r="F3033" t="str">
        <f>""</f>
        <v/>
      </c>
      <c r="G3033" t="str">
        <f>""</f>
        <v/>
      </c>
      <c r="I3033" t="str">
        <f t="shared" si="61"/>
        <v>TEXAS COUNTY &amp; DISTRICT RET</v>
      </c>
    </row>
    <row r="3034" spans="1:9" x14ac:dyDescent="0.3">
      <c r="A3034" t="str">
        <f>""</f>
        <v/>
      </c>
      <c r="F3034" t="str">
        <f>""</f>
        <v/>
      </c>
      <c r="G3034" t="str">
        <f>""</f>
        <v/>
      </c>
      <c r="I3034" t="str">
        <f t="shared" si="61"/>
        <v>TEXAS COUNTY &amp; DISTRICT RET</v>
      </c>
    </row>
    <row r="3035" spans="1:9" x14ac:dyDescent="0.3">
      <c r="A3035" t="str">
        <f>""</f>
        <v/>
      </c>
      <c r="F3035" t="str">
        <f>""</f>
        <v/>
      </c>
      <c r="G3035" t="str">
        <f>""</f>
        <v/>
      </c>
      <c r="I3035" t="str">
        <f t="shared" si="61"/>
        <v>TEXAS COUNTY &amp; DISTRICT RET</v>
      </c>
    </row>
    <row r="3036" spans="1:9" x14ac:dyDescent="0.3">
      <c r="A3036" t="str">
        <f>""</f>
        <v/>
      </c>
      <c r="F3036" t="str">
        <f>""</f>
        <v/>
      </c>
      <c r="G3036" t="str">
        <f>""</f>
        <v/>
      </c>
      <c r="I3036" t="str">
        <f t="shared" si="61"/>
        <v>TEXAS COUNTY &amp; DISTRICT RET</v>
      </c>
    </row>
    <row r="3037" spans="1:9" x14ac:dyDescent="0.3">
      <c r="A3037" t="str">
        <f>""</f>
        <v/>
      </c>
      <c r="F3037" t="str">
        <f>""</f>
        <v/>
      </c>
      <c r="G3037" t="str">
        <f>""</f>
        <v/>
      </c>
      <c r="I3037" t="str">
        <f t="shared" si="61"/>
        <v>TEXAS COUNTY &amp; DISTRICT RET</v>
      </c>
    </row>
    <row r="3038" spans="1:9" x14ac:dyDescent="0.3">
      <c r="A3038" t="str">
        <f>""</f>
        <v/>
      </c>
      <c r="F3038" t="str">
        <f>""</f>
        <v/>
      </c>
      <c r="G3038" t="str">
        <f>""</f>
        <v/>
      </c>
      <c r="I3038" t="str">
        <f t="shared" si="61"/>
        <v>TEXAS COUNTY &amp; DISTRICT RET</v>
      </c>
    </row>
    <row r="3039" spans="1:9" x14ac:dyDescent="0.3">
      <c r="A3039" t="str">
        <f>""</f>
        <v/>
      </c>
      <c r="F3039" t="str">
        <f>""</f>
        <v/>
      </c>
      <c r="G3039" t="str">
        <f>""</f>
        <v/>
      </c>
      <c r="I3039" t="str">
        <f t="shared" si="61"/>
        <v>TEXAS COUNTY &amp; DISTRICT RET</v>
      </c>
    </row>
    <row r="3040" spans="1:9" x14ac:dyDescent="0.3">
      <c r="A3040" t="str">
        <f>""</f>
        <v/>
      </c>
      <c r="F3040" t="str">
        <f>""</f>
        <v/>
      </c>
      <c r="G3040" t="str">
        <f>""</f>
        <v/>
      </c>
      <c r="I3040" t="str">
        <f t="shared" si="61"/>
        <v>TEXAS COUNTY &amp; DISTRICT RET</v>
      </c>
    </row>
    <row r="3041" spans="1:9" x14ac:dyDescent="0.3">
      <c r="A3041" t="str">
        <f>""</f>
        <v/>
      </c>
      <c r="F3041" t="str">
        <f>""</f>
        <v/>
      </c>
      <c r="G3041" t="str">
        <f>""</f>
        <v/>
      </c>
      <c r="I3041" t="str">
        <f t="shared" si="61"/>
        <v>TEXAS COUNTY &amp; DISTRICT RET</v>
      </c>
    </row>
    <row r="3042" spans="1:9" x14ac:dyDescent="0.3">
      <c r="A3042" t="str">
        <f>""</f>
        <v/>
      </c>
      <c r="F3042" t="str">
        <f>""</f>
        <v/>
      </c>
      <c r="G3042" t="str">
        <f>""</f>
        <v/>
      </c>
      <c r="I3042" t="str">
        <f t="shared" si="61"/>
        <v>TEXAS COUNTY &amp; DISTRICT RET</v>
      </c>
    </row>
    <row r="3043" spans="1:9" x14ac:dyDescent="0.3">
      <c r="A3043" t="str">
        <f>""</f>
        <v/>
      </c>
      <c r="F3043" t="str">
        <f>""</f>
        <v/>
      </c>
      <c r="G3043" t="str">
        <f>""</f>
        <v/>
      </c>
      <c r="I3043" t="str">
        <f t="shared" si="61"/>
        <v>TEXAS COUNTY &amp; DISTRICT RET</v>
      </c>
    </row>
    <row r="3044" spans="1:9" x14ac:dyDescent="0.3">
      <c r="A3044" t="str">
        <f>""</f>
        <v/>
      </c>
      <c r="F3044" t="str">
        <f>""</f>
        <v/>
      </c>
      <c r="G3044" t="str">
        <f>""</f>
        <v/>
      </c>
      <c r="I3044" t="str">
        <f t="shared" si="61"/>
        <v>TEXAS COUNTY &amp; DISTRICT RET</v>
      </c>
    </row>
    <row r="3045" spans="1:9" x14ac:dyDescent="0.3">
      <c r="A3045" t="str">
        <f>""</f>
        <v/>
      </c>
      <c r="F3045" t="str">
        <f>""</f>
        <v/>
      </c>
      <c r="G3045" t="str">
        <f>""</f>
        <v/>
      </c>
      <c r="I3045" t="str">
        <f t="shared" si="61"/>
        <v>TEXAS COUNTY &amp; DISTRICT RET</v>
      </c>
    </row>
    <row r="3046" spans="1:9" x14ac:dyDescent="0.3">
      <c r="A3046" t="str">
        <f>""</f>
        <v/>
      </c>
      <c r="F3046" t="str">
        <f>""</f>
        <v/>
      </c>
      <c r="G3046" t="str">
        <f>""</f>
        <v/>
      </c>
      <c r="I3046" t="str">
        <f t="shared" si="61"/>
        <v>TEXAS COUNTY &amp; DISTRICT RET</v>
      </c>
    </row>
    <row r="3047" spans="1:9" x14ac:dyDescent="0.3">
      <c r="A3047" t="str">
        <f>""</f>
        <v/>
      </c>
      <c r="F3047" t="str">
        <f>""</f>
        <v/>
      </c>
      <c r="G3047" t="str">
        <f>""</f>
        <v/>
      </c>
      <c r="I3047" t="str">
        <f t="shared" si="61"/>
        <v>TEXAS COUNTY &amp; DISTRICT RET</v>
      </c>
    </row>
    <row r="3048" spans="1:9" x14ac:dyDescent="0.3">
      <c r="A3048" t="str">
        <f>""</f>
        <v/>
      </c>
      <c r="F3048" t="str">
        <f>""</f>
        <v/>
      </c>
      <c r="G3048" t="str">
        <f>""</f>
        <v/>
      </c>
      <c r="I3048" t="str">
        <f t="shared" si="61"/>
        <v>TEXAS COUNTY &amp; DISTRICT RET</v>
      </c>
    </row>
    <row r="3049" spans="1:9" x14ac:dyDescent="0.3">
      <c r="A3049" t="str">
        <f>""</f>
        <v/>
      </c>
      <c r="F3049" t="str">
        <f>""</f>
        <v/>
      </c>
      <c r="G3049" t="str">
        <f>""</f>
        <v/>
      </c>
      <c r="I3049" t="str">
        <f t="shared" si="61"/>
        <v>TEXAS COUNTY &amp; DISTRICT RET</v>
      </c>
    </row>
    <row r="3050" spans="1:9" x14ac:dyDescent="0.3">
      <c r="A3050" t="str">
        <f>""</f>
        <v/>
      </c>
      <c r="F3050" t="str">
        <f>""</f>
        <v/>
      </c>
      <c r="G3050" t="str">
        <f>""</f>
        <v/>
      </c>
      <c r="I3050" t="str">
        <f t="shared" si="61"/>
        <v>TEXAS COUNTY &amp; DISTRICT RET</v>
      </c>
    </row>
    <row r="3051" spans="1:9" x14ac:dyDescent="0.3">
      <c r="A3051" t="str">
        <f>""</f>
        <v/>
      </c>
      <c r="F3051" t="str">
        <f>""</f>
        <v/>
      </c>
      <c r="G3051" t="str">
        <f>""</f>
        <v/>
      </c>
      <c r="I3051" t="str">
        <f t="shared" si="61"/>
        <v>TEXAS COUNTY &amp; DISTRICT RET</v>
      </c>
    </row>
    <row r="3052" spans="1:9" x14ac:dyDescent="0.3">
      <c r="A3052" t="str">
        <f>""</f>
        <v/>
      </c>
      <c r="F3052" t="str">
        <f>""</f>
        <v/>
      </c>
      <c r="G3052" t="str">
        <f>""</f>
        <v/>
      </c>
      <c r="I3052" t="str">
        <f t="shared" si="61"/>
        <v>TEXAS COUNTY &amp; DISTRICT RET</v>
      </c>
    </row>
    <row r="3053" spans="1:9" x14ac:dyDescent="0.3">
      <c r="A3053" t="str">
        <f>""</f>
        <v/>
      </c>
      <c r="F3053" t="str">
        <f>""</f>
        <v/>
      </c>
      <c r="G3053" t="str">
        <f>""</f>
        <v/>
      </c>
      <c r="I3053" t="str">
        <f t="shared" ref="I3053:I3073" si="62">"TEXAS COUNTY &amp; DISTRICT RET"</f>
        <v>TEXAS COUNTY &amp; DISTRICT RET</v>
      </c>
    </row>
    <row r="3054" spans="1:9" x14ac:dyDescent="0.3">
      <c r="A3054" t="str">
        <f>""</f>
        <v/>
      </c>
      <c r="F3054" t="str">
        <f>""</f>
        <v/>
      </c>
      <c r="G3054" t="str">
        <f>""</f>
        <v/>
      </c>
      <c r="I3054" t="str">
        <f t="shared" si="62"/>
        <v>TEXAS COUNTY &amp; DISTRICT RET</v>
      </c>
    </row>
    <row r="3055" spans="1:9" x14ac:dyDescent="0.3">
      <c r="A3055" t="str">
        <f>""</f>
        <v/>
      </c>
      <c r="F3055" t="str">
        <f>""</f>
        <v/>
      </c>
      <c r="G3055" t="str">
        <f>""</f>
        <v/>
      </c>
      <c r="I3055" t="str">
        <f t="shared" si="62"/>
        <v>TEXAS COUNTY &amp; DISTRICT RET</v>
      </c>
    </row>
    <row r="3056" spans="1:9" x14ac:dyDescent="0.3">
      <c r="A3056" t="str">
        <f>""</f>
        <v/>
      </c>
      <c r="F3056" t="str">
        <f>""</f>
        <v/>
      </c>
      <c r="G3056" t="str">
        <f>""</f>
        <v/>
      </c>
      <c r="I3056" t="str">
        <f t="shared" si="62"/>
        <v>TEXAS COUNTY &amp; DISTRICT RET</v>
      </c>
    </row>
    <row r="3057" spans="1:9" x14ac:dyDescent="0.3">
      <c r="A3057" t="str">
        <f>""</f>
        <v/>
      </c>
      <c r="F3057" t="str">
        <f>""</f>
        <v/>
      </c>
      <c r="G3057" t="str">
        <f>""</f>
        <v/>
      </c>
      <c r="I3057" t="str">
        <f t="shared" si="62"/>
        <v>TEXAS COUNTY &amp; DISTRICT RET</v>
      </c>
    </row>
    <row r="3058" spans="1:9" x14ac:dyDescent="0.3">
      <c r="A3058" t="str">
        <f>""</f>
        <v/>
      </c>
      <c r="F3058" t="str">
        <f>""</f>
        <v/>
      </c>
      <c r="G3058" t="str">
        <f>""</f>
        <v/>
      </c>
      <c r="I3058" t="str">
        <f t="shared" si="62"/>
        <v>TEXAS COUNTY &amp; DISTRICT RET</v>
      </c>
    </row>
    <row r="3059" spans="1:9" x14ac:dyDescent="0.3">
      <c r="A3059" t="str">
        <f>""</f>
        <v/>
      </c>
      <c r="F3059" t="str">
        <f>""</f>
        <v/>
      </c>
      <c r="G3059" t="str">
        <f>""</f>
        <v/>
      </c>
      <c r="I3059" t="str">
        <f t="shared" si="62"/>
        <v>TEXAS COUNTY &amp; DISTRICT RET</v>
      </c>
    </row>
    <row r="3060" spans="1:9" x14ac:dyDescent="0.3">
      <c r="A3060" t="str">
        <f>""</f>
        <v/>
      </c>
      <c r="F3060" t="str">
        <f>""</f>
        <v/>
      </c>
      <c r="G3060" t="str">
        <f>""</f>
        <v/>
      </c>
      <c r="I3060" t="str">
        <f t="shared" si="62"/>
        <v>TEXAS COUNTY &amp; DISTRICT RET</v>
      </c>
    </row>
    <row r="3061" spans="1:9" x14ac:dyDescent="0.3">
      <c r="A3061" t="str">
        <f>""</f>
        <v/>
      </c>
      <c r="F3061" t="str">
        <f>""</f>
        <v/>
      </c>
      <c r="G3061" t="str">
        <f>""</f>
        <v/>
      </c>
      <c r="I3061" t="str">
        <f t="shared" si="62"/>
        <v>TEXAS COUNTY &amp; DISTRICT RET</v>
      </c>
    </row>
    <row r="3062" spans="1:9" x14ac:dyDescent="0.3">
      <c r="A3062" t="str">
        <f>""</f>
        <v/>
      </c>
      <c r="F3062" t="str">
        <f>""</f>
        <v/>
      </c>
      <c r="G3062" t="str">
        <f>""</f>
        <v/>
      </c>
      <c r="I3062" t="str">
        <f t="shared" si="62"/>
        <v>TEXAS COUNTY &amp; DISTRICT RET</v>
      </c>
    </row>
    <row r="3063" spans="1:9" x14ac:dyDescent="0.3">
      <c r="A3063" t="str">
        <f>""</f>
        <v/>
      </c>
      <c r="F3063" t="str">
        <f>""</f>
        <v/>
      </c>
      <c r="G3063" t="str">
        <f>""</f>
        <v/>
      </c>
      <c r="I3063" t="str">
        <f t="shared" si="62"/>
        <v>TEXAS COUNTY &amp; DISTRICT RET</v>
      </c>
    </row>
    <row r="3064" spans="1:9" x14ac:dyDescent="0.3">
      <c r="A3064" t="str">
        <f>""</f>
        <v/>
      </c>
      <c r="F3064" t="str">
        <f>""</f>
        <v/>
      </c>
      <c r="G3064" t="str">
        <f>""</f>
        <v/>
      </c>
      <c r="I3064" t="str">
        <f t="shared" si="62"/>
        <v>TEXAS COUNTY &amp; DISTRICT RET</v>
      </c>
    </row>
    <row r="3065" spans="1:9" x14ac:dyDescent="0.3">
      <c r="A3065" t="str">
        <f>""</f>
        <v/>
      </c>
      <c r="F3065" t="str">
        <f>""</f>
        <v/>
      </c>
      <c r="G3065" t="str">
        <f>""</f>
        <v/>
      </c>
      <c r="I3065" t="str">
        <f t="shared" si="62"/>
        <v>TEXAS COUNTY &amp; DISTRICT RET</v>
      </c>
    </row>
    <row r="3066" spans="1:9" x14ac:dyDescent="0.3">
      <c r="A3066" t="str">
        <f>""</f>
        <v/>
      </c>
      <c r="F3066" t="str">
        <f>""</f>
        <v/>
      </c>
      <c r="G3066" t="str">
        <f>""</f>
        <v/>
      </c>
      <c r="I3066" t="str">
        <f t="shared" si="62"/>
        <v>TEXAS COUNTY &amp; DISTRICT RET</v>
      </c>
    </row>
    <row r="3067" spans="1:9" x14ac:dyDescent="0.3">
      <c r="A3067" t="str">
        <f>""</f>
        <v/>
      </c>
      <c r="F3067" t="str">
        <f>""</f>
        <v/>
      </c>
      <c r="G3067" t="str">
        <f>""</f>
        <v/>
      </c>
      <c r="I3067" t="str">
        <f t="shared" si="62"/>
        <v>TEXAS COUNTY &amp; DISTRICT RET</v>
      </c>
    </row>
    <row r="3068" spans="1:9" x14ac:dyDescent="0.3">
      <c r="A3068" t="str">
        <f>""</f>
        <v/>
      </c>
      <c r="F3068" t="str">
        <f>""</f>
        <v/>
      </c>
      <c r="G3068" t="str">
        <f>""</f>
        <v/>
      </c>
      <c r="I3068" t="str">
        <f t="shared" si="62"/>
        <v>TEXAS COUNTY &amp; DISTRICT RET</v>
      </c>
    </row>
    <row r="3069" spans="1:9" x14ac:dyDescent="0.3">
      <c r="A3069" t="str">
        <f>""</f>
        <v/>
      </c>
      <c r="F3069" t="str">
        <f>""</f>
        <v/>
      </c>
      <c r="G3069" t="str">
        <f>""</f>
        <v/>
      </c>
      <c r="I3069" t="str">
        <f t="shared" si="62"/>
        <v>TEXAS COUNTY &amp; DISTRICT RET</v>
      </c>
    </row>
    <row r="3070" spans="1:9" x14ac:dyDescent="0.3">
      <c r="A3070" t="str">
        <f>""</f>
        <v/>
      </c>
      <c r="F3070" t="str">
        <f>""</f>
        <v/>
      </c>
      <c r="G3070" t="str">
        <f>""</f>
        <v/>
      </c>
      <c r="I3070" t="str">
        <f t="shared" si="62"/>
        <v>TEXAS COUNTY &amp; DISTRICT RET</v>
      </c>
    </row>
    <row r="3071" spans="1:9" x14ac:dyDescent="0.3">
      <c r="A3071" t="str">
        <f>""</f>
        <v/>
      </c>
      <c r="F3071" t="str">
        <f>""</f>
        <v/>
      </c>
      <c r="G3071" t="str">
        <f>""</f>
        <v/>
      </c>
      <c r="I3071" t="str">
        <f t="shared" si="62"/>
        <v>TEXAS COUNTY &amp; DISTRICT RET</v>
      </c>
    </row>
    <row r="3072" spans="1:9" x14ac:dyDescent="0.3">
      <c r="A3072" t="str">
        <f>""</f>
        <v/>
      </c>
      <c r="F3072" t="str">
        <f>""</f>
        <v/>
      </c>
      <c r="G3072" t="str">
        <f>""</f>
        <v/>
      </c>
      <c r="I3072" t="str">
        <f t="shared" si="62"/>
        <v>TEXAS COUNTY &amp; DISTRICT RET</v>
      </c>
    </row>
    <row r="3073" spans="1:9" x14ac:dyDescent="0.3">
      <c r="A3073" t="str">
        <f>""</f>
        <v/>
      </c>
      <c r="F3073" t="str">
        <f>""</f>
        <v/>
      </c>
      <c r="G3073" t="str">
        <f>""</f>
        <v/>
      </c>
      <c r="I3073" t="str">
        <f t="shared" si="62"/>
        <v>TEXAS COUNTY &amp; DISTRICT RET</v>
      </c>
    </row>
    <row r="3074" spans="1:9" x14ac:dyDescent="0.3">
      <c r="A3074" t="str">
        <f>""</f>
        <v/>
      </c>
      <c r="F3074" t="str">
        <f>"RET201712287506"</f>
        <v>RET201712287506</v>
      </c>
      <c r="G3074" t="str">
        <f>"TEXAS COUNTY  DISTRICT RET"</f>
        <v>TEXAS COUNTY  DISTRICT RET</v>
      </c>
      <c r="H3074" s="2">
        <v>5698.53</v>
      </c>
      <c r="I3074" t="str">
        <f>"TEXAS COUNTY  DISTRICT RET"</f>
        <v>TEXAS COUNTY  DISTRICT RET</v>
      </c>
    </row>
    <row r="3075" spans="1:9" x14ac:dyDescent="0.3">
      <c r="A3075" t="str">
        <f>""</f>
        <v/>
      </c>
      <c r="F3075" t="str">
        <f>""</f>
        <v/>
      </c>
      <c r="G3075" t="str">
        <f>""</f>
        <v/>
      </c>
      <c r="I3075" t="str">
        <f>"TEXAS COUNTY  DISTRICT RET"</f>
        <v>TEXAS COUNTY  DISTRICT RET</v>
      </c>
    </row>
    <row r="3076" spans="1:9" x14ac:dyDescent="0.3">
      <c r="A3076" t="str">
        <f>""</f>
        <v/>
      </c>
      <c r="F3076" t="str">
        <f>"RET201712287507"</f>
        <v>RET201712287507</v>
      </c>
      <c r="G3076" t="str">
        <f>"TEXAS COUNTY &amp; DISTRICT RET"</f>
        <v>TEXAS COUNTY &amp; DISTRICT RET</v>
      </c>
      <c r="H3076" s="2">
        <v>7962.21</v>
      </c>
      <c r="I3076" t="str">
        <f>"TEXAS COUNTY &amp; DISTRICT RET"</f>
        <v>TEXAS COUNTY &amp; DISTRICT RET</v>
      </c>
    </row>
    <row r="3077" spans="1:9" x14ac:dyDescent="0.3">
      <c r="A3077" t="str">
        <f>""</f>
        <v/>
      </c>
      <c r="F3077" t="str">
        <f>""</f>
        <v/>
      </c>
      <c r="G3077" t="str">
        <f>""</f>
        <v/>
      </c>
      <c r="I3077" t="str">
        <f>"TEXAS COUNTY &amp; DISTRICT RET"</f>
        <v>TEXAS COUNTY &amp; DISTRICT RET</v>
      </c>
    </row>
    <row r="3078" spans="1:9" x14ac:dyDescent="0.3">
      <c r="A3078" t="str">
        <f>"002457"</f>
        <v>002457</v>
      </c>
      <c r="B3078" t="s">
        <v>622</v>
      </c>
      <c r="C3078">
        <v>46061</v>
      </c>
      <c r="D3078" s="2">
        <v>1075</v>
      </c>
      <c r="E3078" s="1">
        <v>43091</v>
      </c>
      <c r="F3078" t="str">
        <f>"LEG201711296859"</f>
        <v>LEG201711296859</v>
      </c>
      <c r="G3078" t="str">
        <f>"TEXAS LEGAL PROTECTION PLAN"</f>
        <v>TEXAS LEGAL PROTECTION PLAN</v>
      </c>
      <c r="H3078" s="2">
        <v>530</v>
      </c>
      <c r="I3078" t="str">
        <f>"TEXAS LEGAL PROTECTION PLAN"</f>
        <v>TEXAS LEGAL PROTECTION PLAN</v>
      </c>
    </row>
    <row r="3079" spans="1:9" x14ac:dyDescent="0.3">
      <c r="A3079" t="str">
        <f>""</f>
        <v/>
      </c>
      <c r="F3079" t="str">
        <f>"LEG201712137295"</f>
        <v>LEG201712137295</v>
      </c>
      <c r="G3079" t="str">
        <f>"TEXAS LEGAL PROTECTION PLAN"</f>
        <v>TEXAS LEGAL PROTECTION PLAN</v>
      </c>
      <c r="H3079" s="2">
        <v>545</v>
      </c>
      <c r="I3079" t="str">
        <f>"TEXAS LEGAL PROTECTION PLAN"</f>
        <v>TEXAS LEGAL PROTECTION PLAN</v>
      </c>
    </row>
    <row r="3080" spans="1:9" x14ac:dyDescent="0.3">
      <c r="A3080" t="str">
        <f>"T14362"</f>
        <v>T14362</v>
      </c>
      <c r="B3080" t="s">
        <v>623</v>
      </c>
      <c r="C3080">
        <v>46040</v>
      </c>
      <c r="D3080" s="2">
        <v>186</v>
      </c>
      <c r="E3080" s="1">
        <v>43070</v>
      </c>
      <c r="F3080" t="str">
        <f>"SL6201711296859"</f>
        <v>SL6201711296859</v>
      </c>
      <c r="G3080" t="str">
        <f>"TG STUDENT LOAN - P CROUCH"</f>
        <v>TG STUDENT LOAN - P CROUCH</v>
      </c>
      <c r="H3080" s="2">
        <v>186</v>
      </c>
      <c r="I3080" t="str">
        <f>"TG STUDENT LOAN - P CROUCH"</f>
        <v>TG STUDENT LOAN - P CROUCH</v>
      </c>
    </row>
    <row r="3081" spans="1:9" x14ac:dyDescent="0.3">
      <c r="A3081" t="str">
        <f>"T14362"</f>
        <v>T14362</v>
      </c>
      <c r="B3081" t="s">
        <v>623</v>
      </c>
      <c r="C3081">
        <v>46060</v>
      </c>
      <c r="D3081" s="2">
        <v>186</v>
      </c>
      <c r="E3081" s="1">
        <v>43084</v>
      </c>
      <c r="F3081" t="str">
        <f>"SL6201712137295"</f>
        <v>SL6201712137295</v>
      </c>
      <c r="G3081" t="str">
        <f>"TG STUDENT LOAN - P CROUCH"</f>
        <v>TG STUDENT LOAN - P CROUCH</v>
      </c>
      <c r="H3081" s="2">
        <v>186</v>
      </c>
      <c r="I3081" t="str">
        <f>"TG STUDENT LOAN - P CROUCH"</f>
        <v>TG STUDENT LOAN - P CROUCH</v>
      </c>
    </row>
    <row r="3082" spans="1:9" x14ac:dyDescent="0.3">
      <c r="A3082" t="str">
        <f>"T14362"</f>
        <v>T14362</v>
      </c>
      <c r="B3082" t="s">
        <v>623</v>
      </c>
      <c r="C3082">
        <v>46086</v>
      </c>
      <c r="D3082" s="2">
        <v>186</v>
      </c>
      <c r="E3082" s="1">
        <v>43098</v>
      </c>
      <c r="F3082" t="str">
        <f>"SL6201712287505"</f>
        <v>SL6201712287505</v>
      </c>
      <c r="G3082" t="str">
        <f>"TG STUDENT LOAN - P CROUCH"</f>
        <v>TG STUDENT LOAN - P CROUCH</v>
      </c>
      <c r="H3082" s="2">
        <v>186</v>
      </c>
      <c r="I3082" t="str">
        <f>"TG STUDENT LOAN - P CROUCH"</f>
        <v>TG STUDENT LOAN - P CROUCH</v>
      </c>
    </row>
    <row r="3083" spans="1:9" x14ac:dyDescent="0.3">
      <c r="A3083" t="str">
        <f>"T10887"</f>
        <v>T10887</v>
      </c>
      <c r="B3083" t="s">
        <v>624</v>
      </c>
      <c r="C3083">
        <v>46039</v>
      </c>
      <c r="D3083" s="2">
        <v>378.02</v>
      </c>
      <c r="E3083" s="1">
        <v>43070</v>
      </c>
      <c r="F3083" t="str">
        <f>"S10201711296859"</f>
        <v>S10201711296859</v>
      </c>
      <c r="G3083" t="str">
        <f t="shared" ref="G3083:G3088" si="63">"STUDENT LOAN"</f>
        <v>STUDENT LOAN</v>
      </c>
      <c r="H3083" s="2">
        <v>165.37</v>
      </c>
      <c r="I3083" t="str">
        <f t="shared" ref="I3083:I3088" si="64">"STUDENT LOAN"</f>
        <v>STUDENT LOAN</v>
      </c>
    </row>
    <row r="3084" spans="1:9" x14ac:dyDescent="0.3">
      <c r="A3084" t="str">
        <f>""</f>
        <v/>
      </c>
      <c r="F3084" t="str">
        <f>"SL9201711296859"</f>
        <v>SL9201711296859</v>
      </c>
      <c r="G3084" t="str">
        <f t="shared" si="63"/>
        <v>STUDENT LOAN</v>
      </c>
      <c r="H3084" s="2">
        <v>212.65</v>
      </c>
      <c r="I3084" t="str">
        <f t="shared" si="64"/>
        <v>STUDENT LOAN</v>
      </c>
    </row>
    <row r="3085" spans="1:9" x14ac:dyDescent="0.3">
      <c r="A3085" t="str">
        <f>"T10887"</f>
        <v>T10887</v>
      </c>
      <c r="B3085" t="s">
        <v>624</v>
      </c>
      <c r="C3085">
        <v>46059</v>
      </c>
      <c r="D3085" s="2">
        <v>378.02</v>
      </c>
      <c r="E3085" s="1">
        <v>43084</v>
      </c>
      <c r="F3085" t="str">
        <f>"S10201712137295"</f>
        <v>S10201712137295</v>
      </c>
      <c r="G3085" t="str">
        <f t="shared" si="63"/>
        <v>STUDENT LOAN</v>
      </c>
      <c r="H3085" s="2">
        <v>165.37</v>
      </c>
      <c r="I3085" t="str">
        <f t="shared" si="64"/>
        <v>STUDENT LOAN</v>
      </c>
    </row>
    <row r="3086" spans="1:9" x14ac:dyDescent="0.3">
      <c r="A3086" t="str">
        <f>""</f>
        <v/>
      </c>
      <c r="F3086" t="str">
        <f>"SL9201712137295"</f>
        <v>SL9201712137295</v>
      </c>
      <c r="G3086" t="str">
        <f t="shared" si="63"/>
        <v>STUDENT LOAN</v>
      </c>
      <c r="H3086" s="2">
        <v>212.65</v>
      </c>
      <c r="I3086" t="str">
        <f t="shared" si="64"/>
        <v>STUDENT LOAN</v>
      </c>
    </row>
    <row r="3087" spans="1:9" x14ac:dyDescent="0.3">
      <c r="A3087" t="str">
        <f>"T10887"</f>
        <v>T10887</v>
      </c>
      <c r="B3087" t="s">
        <v>624</v>
      </c>
      <c r="C3087">
        <v>46085</v>
      </c>
      <c r="D3087" s="2">
        <v>378.02</v>
      </c>
      <c r="E3087" s="1">
        <v>43098</v>
      </c>
      <c r="F3087" t="str">
        <f>"S10201712287505"</f>
        <v>S10201712287505</v>
      </c>
      <c r="G3087" t="str">
        <f t="shared" si="63"/>
        <v>STUDENT LOAN</v>
      </c>
      <c r="H3087" s="2">
        <v>165.37</v>
      </c>
      <c r="I3087" t="str">
        <f t="shared" si="64"/>
        <v>STUDENT LOAN</v>
      </c>
    </row>
    <row r="3088" spans="1:9" x14ac:dyDescent="0.3">
      <c r="A3088" t="str">
        <f>""</f>
        <v/>
      </c>
      <c r="F3088" t="str">
        <f>"SL9201712287505"</f>
        <v>SL9201712287505</v>
      </c>
      <c r="G3088" t="str">
        <f t="shared" si="63"/>
        <v>STUDENT LOAN</v>
      </c>
      <c r="H3088" s="2">
        <v>212.65</v>
      </c>
      <c r="I3088" t="str">
        <f t="shared" si="64"/>
        <v>STUDENT LOAN</v>
      </c>
    </row>
    <row r="3089" spans="1:9" x14ac:dyDescent="0.3">
      <c r="A3089" t="str">
        <f>"004767"</f>
        <v>004767</v>
      </c>
      <c r="B3089" t="s">
        <v>573</v>
      </c>
      <c r="C3089">
        <v>0</v>
      </c>
      <c r="D3089" s="2">
        <v>14056.95</v>
      </c>
      <c r="E3089" s="1">
        <v>43070</v>
      </c>
      <c r="F3089" t="str">
        <f>"FSA201711296859"</f>
        <v>FSA201711296859</v>
      </c>
      <c r="G3089" t="str">
        <f>"WAGE WORKS"</f>
        <v>WAGE WORKS</v>
      </c>
      <c r="H3089" s="2">
        <v>8925.91</v>
      </c>
      <c r="I3089" t="str">
        <f t="shared" ref="I3089:I3100" si="65">"WAGE WORKS"</f>
        <v>WAGE WORKS</v>
      </c>
    </row>
    <row r="3090" spans="1:9" x14ac:dyDescent="0.3">
      <c r="A3090" t="str">
        <f>""</f>
        <v/>
      </c>
      <c r="F3090" t="str">
        <f>"FSA201711296860"</f>
        <v>FSA201711296860</v>
      </c>
      <c r="G3090" t="str">
        <f>"WAGE WORKS"</f>
        <v>WAGE WORKS</v>
      </c>
      <c r="H3090" s="2">
        <v>574</v>
      </c>
      <c r="I3090" t="str">
        <f t="shared" si="65"/>
        <v>WAGE WORKS</v>
      </c>
    </row>
    <row r="3091" spans="1:9" x14ac:dyDescent="0.3">
      <c r="A3091" t="str">
        <f>""</f>
        <v/>
      </c>
      <c r="F3091" t="str">
        <f>"FSC201711296859"</f>
        <v>FSC201711296859</v>
      </c>
      <c r="G3091" t="str">
        <f>"WAGE WORKS"</f>
        <v>WAGE WORKS</v>
      </c>
      <c r="H3091" s="2">
        <v>1133.44</v>
      </c>
      <c r="I3091" t="str">
        <f t="shared" si="65"/>
        <v>WAGE WORKS</v>
      </c>
    </row>
    <row r="3092" spans="1:9" x14ac:dyDescent="0.3">
      <c r="A3092" t="str">
        <f>""</f>
        <v/>
      </c>
      <c r="F3092" t="str">
        <f>""</f>
        <v/>
      </c>
      <c r="G3092" t="str">
        <f>""</f>
        <v/>
      </c>
      <c r="I3092" t="str">
        <f t="shared" si="65"/>
        <v>WAGE WORKS</v>
      </c>
    </row>
    <row r="3093" spans="1:9" x14ac:dyDescent="0.3">
      <c r="A3093" t="str">
        <f>""</f>
        <v/>
      </c>
      <c r="F3093" t="str">
        <f>""</f>
        <v/>
      </c>
      <c r="G3093" t="str">
        <f>""</f>
        <v/>
      </c>
      <c r="I3093" t="str">
        <f t="shared" si="65"/>
        <v>WAGE WORKS</v>
      </c>
    </row>
    <row r="3094" spans="1:9" x14ac:dyDescent="0.3">
      <c r="A3094" t="str">
        <f>""</f>
        <v/>
      </c>
      <c r="F3094" t="str">
        <f>""</f>
        <v/>
      </c>
      <c r="G3094" t="str">
        <f>""</f>
        <v/>
      </c>
      <c r="I3094" t="str">
        <f t="shared" si="65"/>
        <v>WAGE WORKS</v>
      </c>
    </row>
    <row r="3095" spans="1:9" x14ac:dyDescent="0.3">
      <c r="A3095" t="str">
        <f>""</f>
        <v/>
      </c>
      <c r="F3095" t="str">
        <f>""</f>
        <v/>
      </c>
      <c r="G3095" t="str">
        <f>""</f>
        <v/>
      </c>
      <c r="I3095" t="str">
        <f t="shared" si="65"/>
        <v>WAGE WORKS</v>
      </c>
    </row>
    <row r="3096" spans="1:9" x14ac:dyDescent="0.3">
      <c r="A3096" t="str">
        <f>""</f>
        <v/>
      </c>
      <c r="F3096" t="str">
        <f>""</f>
        <v/>
      </c>
      <c r="G3096" t="str">
        <f>""</f>
        <v/>
      </c>
      <c r="I3096" t="str">
        <f t="shared" si="65"/>
        <v>WAGE WORKS</v>
      </c>
    </row>
    <row r="3097" spans="1:9" x14ac:dyDescent="0.3">
      <c r="A3097" t="str">
        <f>""</f>
        <v/>
      </c>
      <c r="F3097" t="str">
        <f>""</f>
        <v/>
      </c>
      <c r="G3097" t="str">
        <f>""</f>
        <v/>
      </c>
      <c r="I3097" t="str">
        <f t="shared" si="65"/>
        <v>WAGE WORKS</v>
      </c>
    </row>
    <row r="3098" spans="1:9" x14ac:dyDescent="0.3">
      <c r="A3098" t="str">
        <f>""</f>
        <v/>
      </c>
      <c r="F3098" t="str">
        <f>""</f>
        <v/>
      </c>
      <c r="G3098" t="str">
        <f>""</f>
        <v/>
      </c>
      <c r="I3098" t="str">
        <f t="shared" si="65"/>
        <v>WAGE WORKS</v>
      </c>
    </row>
    <row r="3099" spans="1:9" x14ac:dyDescent="0.3">
      <c r="A3099" t="str">
        <f>""</f>
        <v/>
      </c>
      <c r="F3099" t="str">
        <f>""</f>
        <v/>
      </c>
      <c r="G3099" t="str">
        <f>""</f>
        <v/>
      </c>
      <c r="I3099" t="str">
        <f t="shared" si="65"/>
        <v>WAGE WORKS</v>
      </c>
    </row>
    <row r="3100" spans="1:9" x14ac:dyDescent="0.3">
      <c r="A3100" t="str">
        <f>""</f>
        <v/>
      </c>
      <c r="F3100" t="str">
        <f>""</f>
        <v/>
      </c>
      <c r="G3100" t="str">
        <f>""</f>
        <v/>
      </c>
      <c r="I3100" t="str">
        <f t="shared" si="65"/>
        <v>WAGE WORKS</v>
      </c>
    </row>
    <row r="3101" spans="1:9" x14ac:dyDescent="0.3">
      <c r="A3101" t="str">
        <f>""</f>
        <v/>
      </c>
      <c r="F3101" t="str">
        <f>"FSF201711296859"</f>
        <v>FSF201711296859</v>
      </c>
      <c r="G3101" t="str">
        <f>"WAGE WORKS - FSA &amp; HRA FEES"</f>
        <v>WAGE WORKS - FSA &amp; HRA FEES</v>
      </c>
      <c r="H3101" s="2">
        <v>567.63</v>
      </c>
      <c r="I3101" t="str">
        <f t="shared" ref="I3101:I3140" si="66">"WAGE WORKS - FSA &amp; HRA FEES"</f>
        <v>WAGE WORKS - FSA &amp; HRA FEES</v>
      </c>
    </row>
    <row r="3102" spans="1:9" x14ac:dyDescent="0.3">
      <c r="A3102" t="str">
        <f>""</f>
        <v/>
      </c>
      <c r="F3102" t="str">
        <f>""</f>
        <v/>
      </c>
      <c r="G3102" t="str">
        <f>""</f>
        <v/>
      </c>
      <c r="I3102" t="str">
        <f t="shared" si="66"/>
        <v>WAGE WORKS - FSA &amp; HRA FEES</v>
      </c>
    </row>
    <row r="3103" spans="1:9" x14ac:dyDescent="0.3">
      <c r="A3103" t="str">
        <f>""</f>
        <v/>
      </c>
      <c r="F3103" t="str">
        <f>""</f>
        <v/>
      </c>
      <c r="G3103" t="str">
        <f>""</f>
        <v/>
      </c>
      <c r="I3103" t="str">
        <f t="shared" si="66"/>
        <v>WAGE WORKS - FSA &amp; HRA FEES</v>
      </c>
    </row>
    <row r="3104" spans="1:9" x14ac:dyDescent="0.3">
      <c r="A3104" t="str">
        <f>""</f>
        <v/>
      </c>
      <c r="F3104" t="str">
        <f>""</f>
        <v/>
      </c>
      <c r="G3104" t="str">
        <f>""</f>
        <v/>
      </c>
      <c r="I3104" t="str">
        <f t="shared" si="66"/>
        <v>WAGE WORKS - FSA &amp; HRA FEES</v>
      </c>
    </row>
    <row r="3105" spans="1:9" x14ac:dyDescent="0.3">
      <c r="A3105" t="str">
        <f>""</f>
        <v/>
      </c>
      <c r="F3105" t="str">
        <f>""</f>
        <v/>
      </c>
      <c r="G3105" t="str">
        <f>""</f>
        <v/>
      </c>
      <c r="I3105" t="str">
        <f t="shared" si="66"/>
        <v>WAGE WORKS - FSA &amp; HRA FEES</v>
      </c>
    </row>
    <row r="3106" spans="1:9" x14ac:dyDescent="0.3">
      <c r="A3106" t="str">
        <f>""</f>
        <v/>
      </c>
      <c r="F3106" t="str">
        <f>""</f>
        <v/>
      </c>
      <c r="G3106" t="str">
        <f>""</f>
        <v/>
      </c>
      <c r="I3106" t="str">
        <f t="shared" si="66"/>
        <v>WAGE WORKS - FSA &amp; HRA FEES</v>
      </c>
    </row>
    <row r="3107" spans="1:9" x14ac:dyDescent="0.3">
      <c r="A3107" t="str">
        <f>""</f>
        <v/>
      </c>
      <c r="F3107" t="str">
        <f>""</f>
        <v/>
      </c>
      <c r="G3107" t="str">
        <f>""</f>
        <v/>
      </c>
      <c r="I3107" t="str">
        <f t="shared" si="66"/>
        <v>WAGE WORKS - FSA &amp; HRA FEES</v>
      </c>
    </row>
    <row r="3108" spans="1:9" x14ac:dyDescent="0.3">
      <c r="A3108" t="str">
        <f>""</f>
        <v/>
      </c>
      <c r="F3108" t="str">
        <f>""</f>
        <v/>
      </c>
      <c r="G3108" t="str">
        <f>""</f>
        <v/>
      </c>
      <c r="I3108" t="str">
        <f t="shared" si="66"/>
        <v>WAGE WORKS - FSA &amp; HRA FEES</v>
      </c>
    </row>
    <row r="3109" spans="1:9" x14ac:dyDescent="0.3">
      <c r="A3109" t="str">
        <f>""</f>
        <v/>
      </c>
      <c r="F3109" t="str">
        <f>""</f>
        <v/>
      </c>
      <c r="G3109" t="str">
        <f>""</f>
        <v/>
      </c>
      <c r="I3109" t="str">
        <f t="shared" si="66"/>
        <v>WAGE WORKS - FSA &amp; HRA FEES</v>
      </c>
    </row>
    <row r="3110" spans="1:9" x14ac:dyDescent="0.3">
      <c r="A3110" t="str">
        <f>""</f>
        <v/>
      </c>
      <c r="F3110" t="str">
        <f>""</f>
        <v/>
      </c>
      <c r="G3110" t="str">
        <f>""</f>
        <v/>
      </c>
      <c r="I3110" t="str">
        <f t="shared" si="66"/>
        <v>WAGE WORKS - FSA &amp; HRA FEES</v>
      </c>
    </row>
    <row r="3111" spans="1:9" x14ac:dyDescent="0.3">
      <c r="A3111" t="str">
        <f>""</f>
        <v/>
      </c>
      <c r="F3111" t="str">
        <f>""</f>
        <v/>
      </c>
      <c r="G3111" t="str">
        <f>""</f>
        <v/>
      </c>
      <c r="I3111" t="str">
        <f t="shared" si="66"/>
        <v>WAGE WORKS - FSA &amp; HRA FEES</v>
      </c>
    </row>
    <row r="3112" spans="1:9" x14ac:dyDescent="0.3">
      <c r="A3112" t="str">
        <f>""</f>
        <v/>
      </c>
      <c r="F3112" t="str">
        <f>""</f>
        <v/>
      </c>
      <c r="G3112" t="str">
        <f>""</f>
        <v/>
      </c>
      <c r="I3112" t="str">
        <f t="shared" si="66"/>
        <v>WAGE WORKS - FSA &amp; HRA FEES</v>
      </c>
    </row>
    <row r="3113" spans="1:9" x14ac:dyDescent="0.3">
      <c r="A3113" t="str">
        <f>""</f>
        <v/>
      </c>
      <c r="F3113" t="str">
        <f>""</f>
        <v/>
      </c>
      <c r="G3113" t="str">
        <f>""</f>
        <v/>
      </c>
      <c r="I3113" t="str">
        <f t="shared" si="66"/>
        <v>WAGE WORKS - FSA &amp; HRA FEES</v>
      </c>
    </row>
    <row r="3114" spans="1:9" x14ac:dyDescent="0.3">
      <c r="A3114" t="str">
        <f>""</f>
        <v/>
      </c>
      <c r="F3114" t="str">
        <f>""</f>
        <v/>
      </c>
      <c r="G3114" t="str">
        <f>""</f>
        <v/>
      </c>
      <c r="I3114" t="str">
        <f t="shared" si="66"/>
        <v>WAGE WORKS - FSA &amp; HRA FEES</v>
      </c>
    </row>
    <row r="3115" spans="1:9" x14ac:dyDescent="0.3">
      <c r="A3115" t="str">
        <f>""</f>
        <v/>
      </c>
      <c r="F3115" t="str">
        <f>""</f>
        <v/>
      </c>
      <c r="G3115" t="str">
        <f>""</f>
        <v/>
      </c>
      <c r="I3115" t="str">
        <f t="shared" si="66"/>
        <v>WAGE WORKS - FSA &amp; HRA FEES</v>
      </c>
    </row>
    <row r="3116" spans="1:9" x14ac:dyDescent="0.3">
      <c r="A3116" t="str">
        <f>""</f>
        <v/>
      </c>
      <c r="F3116" t="str">
        <f>""</f>
        <v/>
      </c>
      <c r="G3116" t="str">
        <f>""</f>
        <v/>
      </c>
      <c r="I3116" t="str">
        <f t="shared" si="66"/>
        <v>WAGE WORKS - FSA &amp; HRA FEES</v>
      </c>
    </row>
    <row r="3117" spans="1:9" x14ac:dyDescent="0.3">
      <c r="A3117" t="str">
        <f>""</f>
        <v/>
      </c>
      <c r="F3117" t="str">
        <f>""</f>
        <v/>
      </c>
      <c r="G3117" t="str">
        <f>""</f>
        <v/>
      </c>
      <c r="I3117" t="str">
        <f t="shared" si="66"/>
        <v>WAGE WORKS - FSA &amp; HRA FEES</v>
      </c>
    </row>
    <row r="3118" spans="1:9" x14ac:dyDescent="0.3">
      <c r="A3118" t="str">
        <f>""</f>
        <v/>
      </c>
      <c r="F3118" t="str">
        <f>""</f>
        <v/>
      </c>
      <c r="G3118" t="str">
        <f>""</f>
        <v/>
      </c>
      <c r="I3118" t="str">
        <f t="shared" si="66"/>
        <v>WAGE WORKS - FSA &amp; HRA FEES</v>
      </c>
    </row>
    <row r="3119" spans="1:9" x14ac:dyDescent="0.3">
      <c r="A3119" t="str">
        <f>""</f>
        <v/>
      </c>
      <c r="F3119" t="str">
        <f>""</f>
        <v/>
      </c>
      <c r="G3119" t="str">
        <f>""</f>
        <v/>
      </c>
      <c r="I3119" t="str">
        <f t="shared" si="66"/>
        <v>WAGE WORKS - FSA &amp; HRA FEES</v>
      </c>
    </row>
    <row r="3120" spans="1:9" x14ac:dyDescent="0.3">
      <c r="A3120" t="str">
        <f>""</f>
        <v/>
      </c>
      <c r="F3120" t="str">
        <f>""</f>
        <v/>
      </c>
      <c r="G3120" t="str">
        <f>""</f>
        <v/>
      </c>
      <c r="I3120" t="str">
        <f t="shared" si="66"/>
        <v>WAGE WORKS - FSA &amp; HRA FEES</v>
      </c>
    </row>
    <row r="3121" spans="1:9" x14ac:dyDescent="0.3">
      <c r="A3121" t="str">
        <f>""</f>
        <v/>
      </c>
      <c r="F3121" t="str">
        <f>""</f>
        <v/>
      </c>
      <c r="G3121" t="str">
        <f>""</f>
        <v/>
      </c>
      <c r="I3121" t="str">
        <f t="shared" si="66"/>
        <v>WAGE WORKS - FSA &amp; HRA FEES</v>
      </c>
    </row>
    <row r="3122" spans="1:9" x14ac:dyDescent="0.3">
      <c r="A3122" t="str">
        <f>""</f>
        <v/>
      </c>
      <c r="F3122" t="str">
        <f>""</f>
        <v/>
      </c>
      <c r="G3122" t="str">
        <f>""</f>
        <v/>
      </c>
      <c r="I3122" t="str">
        <f t="shared" si="66"/>
        <v>WAGE WORKS - FSA &amp; HRA FEES</v>
      </c>
    </row>
    <row r="3123" spans="1:9" x14ac:dyDescent="0.3">
      <c r="A3123" t="str">
        <f>""</f>
        <v/>
      </c>
      <c r="F3123" t="str">
        <f>""</f>
        <v/>
      </c>
      <c r="G3123" t="str">
        <f>""</f>
        <v/>
      </c>
      <c r="I3123" t="str">
        <f t="shared" si="66"/>
        <v>WAGE WORKS - FSA &amp; HRA FEES</v>
      </c>
    </row>
    <row r="3124" spans="1:9" x14ac:dyDescent="0.3">
      <c r="A3124" t="str">
        <f>""</f>
        <v/>
      </c>
      <c r="F3124" t="str">
        <f>""</f>
        <v/>
      </c>
      <c r="G3124" t="str">
        <f>""</f>
        <v/>
      </c>
      <c r="I3124" t="str">
        <f t="shared" si="66"/>
        <v>WAGE WORKS - FSA &amp; HRA FEES</v>
      </c>
    </row>
    <row r="3125" spans="1:9" x14ac:dyDescent="0.3">
      <c r="A3125" t="str">
        <f>""</f>
        <v/>
      </c>
      <c r="F3125" t="str">
        <f>""</f>
        <v/>
      </c>
      <c r="G3125" t="str">
        <f>""</f>
        <v/>
      </c>
      <c r="I3125" t="str">
        <f t="shared" si="66"/>
        <v>WAGE WORKS - FSA &amp; HRA FEES</v>
      </c>
    </row>
    <row r="3126" spans="1:9" x14ac:dyDescent="0.3">
      <c r="A3126" t="str">
        <f>""</f>
        <v/>
      </c>
      <c r="F3126" t="str">
        <f>""</f>
        <v/>
      </c>
      <c r="G3126" t="str">
        <f>""</f>
        <v/>
      </c>
      <c r="I3126" t="str">
        <f t="shared" si="66"/>
        <v>WAGE WORKS - FSA &amp; HRA FEES</v>
      </c>
    </row>
    <row r="3127" spans="1:9" x14ac:dyDescent="0.3">
      <c r="A3127" t="str">
        <f>""</f>
        <v/>
      </c>
      <c r="F3127" t="str">
        <f>""</f>
        <v/>
      </c>
      <c r="G3127" t="str">
        <f>""</f>
        <v/>
      </c>
      <c r="I3127" t="str">
        <f t="shared" si="66"/>
        <v>WAGE WORKS - FSA &amp; HRA FEES</v>
      </c>
    </row>
    <row r="3128" spans="1:9" x14ac:dyDescent="0.3">
      <c r="A3128" t="str">
        <f>""</f>
        <v/>
      </c>
      <c r="F3128" t="str">
        <f>""</f>
        <v/>
      </c>
      <c r="G3128" t="str">
        <f>""</f>
        <v/>
      </c>
      <c r="I3128" t="str">
        <f t="shared" si="66"/>
        <v>WAGE WORKS - FSA &amp; HRA FEES</v>
      </c>
    </row>
    <row r="3129" spans="1:9" x14ac:dyDescent="0.3">
      <c r="A3129" t="str">
        <f>""</f>
        <v/>
      </c>
      <c r="F3129" t="str">
        <f>""</f>
        <v/>
      </c>
      <c r="G3129" t="str">
        <f>""</f>
        <v/>
      </c>
      <c r="I3129" t="str">
        <f t="shared" si="66"/>
        <v>WAGE WORKS - FSA &amp; HRA FEES</v>
      </c>
    </row>
    <row r="3130" spans="1:9" x14ac:dyDescent="0.3">
      <c r="A3130" t="str">
        <f>""</f>
        <v/>
      </c>
      <c r="F3130" t="str">
        <f>""</f>
        <v/>
      </c>
      <c r="G3130" t="str">
        <f>""</f>
        <v/>
      </c>
      <c r="I3130" t="str">
        <f t="shared" si="66"/>
        <v>WAGE WORKS - FSA &amp; HRA FEES</v>
      </c>
    </row>
    <row r="3131" spans="1:9" x14ac:dyDescent="0.3">
      <c r="A3131" t="str">
        <f>""</f>
        <v/>
      </c>
      <c r="F3131" t="str">
        <f>""</f>
        <v/>
      </c>
      <c r="G3131" t="str">
        <f>""</f>
        <v/>
      </c>
      <c r="I3131" t="str">
        <f t="shared" si="66"/>
        <v>WAGE WORKS - FSA &amp; HRA FEES</v>
      </c>
    </row>
    <row r="3132" spans="1:9" x14ac:dyDescent="0.3">
      <c r="A3132" t="str">
        <f>""</f>
        <v/>
      </c>
      <c r="F3132" t="str">
        <f>""</f>
        <v/>
      </c>
      <c r="G3132" t="str">
        <f>""</f>
        <v/>
      </c>
      <c r="I3132" t="str">
        <f t="shared" si="66"/>
        <v>WAGE WORKS - FSA &amp; HRA FEES</v>
      </c>
    </row>
    <row r="3133" spans="1:9" x14ac:dyDescent="0.3">
      <c r="A3133" t="str">
        <f>""</f>
        <v/>
      </c>
      <c r="F3133" t="str">
        <f>""</f>
        <v/>
      </c>
      <c r="G3133" t="str">
        <f>""</f>
        <v/>
      </c>
      <c r="I3133" t="str">
        <f t="shared" si="66"/>
        <v>WAGE WORKS - FSA &amp; HRA FEES</v>
      </c>
    </row>
    <row r="3134" spans="1:9" x14ac:dyDescent="0.3">
      <c r="A3134" t="str">
        <f>""</f>
        <v/>
      </c>
      <c r="F3134" t="str">
        <f>""</f>
        <v/>
      </c>
      <c r="G3134" t="str">
        <f>""</f>
        <v/>
      </c>
      <c r="I3134" t="str">
        <f t="shared" si="66"/>
        <v>WAGE WORKS - FSA &amp; HRA FEES</v>
      </c>
    </row>
    <row r="3135" spans="1:9" x14ac:dyDescent="0.3">
      <c r="A3135" t="str">
        <f>""</f>
        <v/>
      </c>
      <c r="F3135" t="str">
        <f>""</f>
        <v/>
      </c>
      <c r="G3135" t="str">
        <f>""</f>
        <v/>
      </c>
      <c r="I3135" t="str">
        <f t="shared" si="66"/>
        <v>WAGE WORKS - FSA &amp; HRA FEES</v>
      </c>
    </row>
    <row r="3136" spans="1:9" x14ac:dyDescent="0.3">
      <c r="A3136" t="str">
        <f>""</f>
        <v/>
      </c>
      <c r="F3136" t="str">
        <f>""</f>
        <v/>
      </c>
      <c r="G3136" t="str">
        <f>""</f>
        <v/>
      </c>
      <c r="I3136" t="str">
        <f t="shared" si="66"/>
        <v>WAGE WORKS - FSA &amp; HRA FEES</v>
      </c>
    </row>
    <row r="3137" spans="1:9" x14ac:dyDescent="0.3">
      <c r="A3137" t="str">
        <f>""</f>
        <v/>
      </c>
      <c r="F3137" t="str">
        <f>""</f>
        <v/>
      </c>
      <c r="G3137" t="str">
        <f>""</f>
        <v/>
      </c>
      <c r="I3137" t="str">
        <f t="shared" si="66"/>
        <v>WAGE WORKS - FSA &amp; HRA FEES</v>
      </c>
    </row>
    <row r="3138" spans="1:9" x14ac:dyDescent="0.3">
      <c r="A3138" t="str">
        <f>""</f>
        <v/>
      </c>
      <c r="F3138" t="str">
        <f>""</f>
        <v/>
      </c>
      <c r="G3138" t="str">
        <f>""</f>
        <v/>
      </c>
      <c r="I3138" t="str">
        <f t="shared" si="66"/>
        <v>WAGE WORKS - FSA &amp; HRA FEES</v>
      </c>
    </row>
    <row r="3139" spans="1:9" x14ac:dyDescent="0.3">
      <c r="A3139" t="str">
        <f>""</f>
        <v/>
      </c>
      <c r="F3139" t="str">
        <f>""</f>
        <v/>
      </c>
      <c r="G3139" t="str">
        <f>""</f>
        <v/>
      </c>
      <c r="I3139" t="str">
        <f t="shared" si="66"/>
        <v>WAGE WORKS - FSA &amp; HRA FEES</v>
      </c>
    </row>
    <row r="3140" spans="1:9" x14ac:dyDescent="0.3">
      <c r="A3140" t="str">
        <f>""</f>
        <v/>
      </c>
      <c r="F3140" t="str">
        <f>"FSF201711296860"</f>
        <v>FSF201711296860</v>
      </c>
      <c r="G3140" t="str">
        <f>"WAGE WORKS - FSA &amp; HRA FEES"</f>
        <v>WAGE WORKS - FSA &amp; HRA FEES</v>
      </c>
      <c r="H3140" s="2">
        <v>25.97</v>
      </c>
      <c r="I3140" t="str">
        <f t="shared" si="66"/>
        <v>WAGE WORKS - FSA &amp; HRA FEES</v>
      </c>
    </row>
    <row r="3141" spans="1:9" x14ac:dyDescent="0.3">
      <c r="A3141" t="str">
        <f>""</f>
        <v/>
      </c>
      <c r="F3141" t="str">
        <f>"FSO201711296859"</f>
        <v>FSO201711296859</v>
      </c>
      <c r="G3141" t="str">
        <f>"WAGE WORKS - FSA FEES"</f>
        <v>WAGE WORKS - FSA FEES</v>
      </c>
      <c r="H3141" s="2">
        <v>13.02</v>
      </c>
      <c r="I3141" t="str">
        <f t="shared" ref="I3141:I3149" si="67">"WAGE WORKS - FSA FEES"</f>
        <v>WAGE WORKS - FSA FEES</v>
      </c>
    </row>
    <row r="3142" spans="1:9" x14ac:dyDescent="0.3">
      <c r="A3142" t="str">
        <f>""</f>
        <v/>
      </c>
      <c r="F3142" t="str">
        <f>""</f>
        <v/>
      </c>
      <c r="G3142" t="str">
        <f>""</f>
        <v/>
      </c>
      <c r="I3142" t="str">
        <f t="shared" si="67"/>
        <v>WAGE WORKS - FSA FEES</v>
      </c>
    </row>
    <row r="3143" spans="1:9" x14ac:dyDescent="0.3">
      <c r="A3143" t="str">
        <f>""</f>
        <v/>
      </c>
      <c r="F3143" t="str">
        <f>""</f>
        <v/>
      </c>
      <c r="G3143" t="str">
        <f>""</f>
        <v/>
      </c>
      <c r="I3143" t="str">
        <f t="shared" si="67"/>
        <v>WAGE WORKS - FSA FEES</v>
      </c>
    </row>
    <row r="3144" spans="1:9" x14ac:dyDescent="0.3">
      <c r="A3144" t="str">
        <f>""</f>
        <v/>
      </c>
      <c r="F3144" t="str">
        <f>""</f>
        <v/>
      </c>
      <c r="G3144" t="str">
        <f>""</f>
        <v/>
      </c>
      <c r="I3144" t="str">
        <f t="shared" si="67"/>
        <v>WAGE WORKS - FSA FEES</v>
      </c>
    </row>
    <row r="3145" spans="1:9" x14ac:dyDescent="0.3">
      <c r="A3145" t="str">
        <f>""</f>
        <v/>
      </c>
      <c r="F3145" t="str">
        <f>""</f>
        <v/>
      </c>
      <c r="G3145" t="str">
        <f>""</f>
        <v/>
      </c>
      <c r="I3145" t="str">
        <f t="shared" si="67"/>
        <v>WAGE WORKS - FSA FEES</v>
      </c>
    </row>
    <row r="3146" spans="1:9" x14ac:dyDescent="0.3">
      <c r="A3146" t="str">
        <f>""</f>
        <v/>
      </c>
      <c r="F3146" t="str">
        <f>""</f>
        <v/>
      </c>
      <c r="G3146" t="str">
        <f>""</f>
        <v/>
      </c>
      <c r="I3146" t="str">
        <f t="shared" si="67"/>
        <v>WAGE WORKS - FSA FEES</v>
      </c>
    </row>
    <row r="3147" spans="1:9" x14ac:dyDescent="0.3">
      <c r="A3147" t="str">
        <f>""</f>
        <v/>
      </c>
      <c r="F3147" t="str">
        <f>""</f>
        <v/>
      </c>
      <c r="G3147" t="str">
        <f>""</f>
        <v/>
      </c>
      <c r="I3147" t="str">
        <f t="shared" si="67"/>
        <v>WAGE WORKS - FSA FEES</v>
      </c>
    </row>
    <row r="3148" spans="1:9" x14ac:dyDescent="0.3">
      <c r="A3148" t="str">
        <f>""</f>
        <v/>
      </c>
      <c r="F3148" t="str">
        <f>""</f>
        <v/>
      </c>
      <c r="G3148" t="str">
        <f>""</f>
        <v/>
      </c>
      <c r="I3148" t="str">
        <f t="shared" si="67"/>
        <v>WAGE WORKS - FSA FEES</v>
      </c>
    </row>
    <row r="3149" spans="1:9" x14ac:dyDescent="0.3">
      <c r="A3149" t="str">
        <f>""</f>
        <v/>
      </c>
      <c r="F3149" t="str">
        <f>"FSO201711296860"</f>
        <v>FSO201711296860</v>
      </c>
      <c r="G3149" t="str">
        <f>"WAGE WORKS - FSA FEES"</f>
        <v>WAGE WORKS - FSA FEES</v>
      </c>
      <c r="H3149" s="2">
        <v>1.86</v>
      </c>
      <c r="I3149" t="str">
        <f t="shared" si="67"/>
        <v>WAGE WORKS - FSA FEES</v>
      </c>
    </row>
    <row r="3150" spans="1:9" x14ac:dyDescent="0.3">
      <c r="A3150" t="str">
        <f>""</f>
        <v/>
      </c>
      <c r="F3150" t="str">
        <f>"HRA201711296859"</f>
        <v>HRA201711296859</v>
      </c>
      <c r="G3150" t="str">
        <f>"WAGE WORKS"</f>
        <v>WAGE WORKS</v>
      </c>
      <c r="H3150" s="2">
        <v>2333.38</v>
      </c>
      <c r="I3150" t="str">
        <f t="shared" ref="I3150:I3155" si="68">"WAGE WORKS"</f>
        <v>WAGE WORKS</v>
      </c>
    </row>
    <row r="3151" spans="1:9" x14ac:dyDescent="0.3">
      <c r="A3151" t="str">
        <f>""</f>
        <v/>
      </c>
      <c r="F3151" t="str">
        <f>""</f>
        <v/>
      </c>
      <c r="G3151" t="str">
        <f>""</f>
        <v/>
      </c>
      <c r="I3151" t="str">
        <f t="shared" si="68"/>
        <v>WAGE WORKS</v>
      </c>
    </row>
    <row r="3152" spans="1:9" x14ac:dyDescent="0.3">
      <c r="A3152" t="str">
        <f>""</f>
        <v/>
      </c>
      <c r="F3152" t="str">
        <f>""</f>
        <v/>
      </c>
      <c r="G3152" t="str">
        <f>""</f>
        <v/>
      </c>
      <c r="I3152" t="str">
        <f t="shared" si="68"/>
        <v>WAGE WORKS</v>
      </c>
    </row>
    <row r="3153" spans="1:9" x14ac:dyDescent="0.3">
      <c r="A3153" t="str">
        <f>""</f>
        <v/>
      </c>
      <c r="F3153" t="str">
        <f>""</f>
        <v/>
      </c>
      <c r="G3153" t="str">
        <f>""</f>
        <v/>
      </c>
      <c r="I3153" t="str">
        <f t="shared" si="68"/>
        <v>WAGE WORKS</v>
      </c>
    </row>
    <row r="3154" spans="1:9" x14ac:dyDescent="0.3">
      <c r="A3154" t="str">
        <f>""</f>
        <v/>
      </c>
      <c r="F3154" t="str">
        <f>""</f>
        <v/>
      </c>
      <c r="G3154" t="str">
        <f>""</f>
        <v/>
      </c>
      <c r="I3154" t="str">
        <f t="shared" si="68"/>
        <v>WAGE WORKS</v>
      </c>
    </row>
    <row r="3155" spans="1:9" x14ac:dyDescent="0.3">
      <c r="A3155" t="str">
        <f>""</f>
        <v/>
      </c>
      <c r="F3155" t="str">
        <f>""</f>
        <v/>
      </c>
      <c r="G3155" t="str">
        <f>""</f>
        <v/>
      </c>
      <c r="I3155" t="str">
        <f t="shared" si="68"/>
        <v>WAGE WORKS</v>
      </c>
    </row>
    <row r="3156" spans="1:9" x14ac:dyDescent="0.3">
      <c r="A3156" t="str">
        <f>""</f>
        <v/>
      </c>
      <c r="F3156" t="str">
        <f>"HRF201711296859"</f>
        <v>HRF201711296859</v>
      </c>
      <c r="G3156" t="str">
        <f>"WAGE WORKS - HRA FEES"</f>
        <v>WAGE WORKS - HRA FEES</v>
      </c>
      <c r="H3156" s="2">
        <v>466.86</v>
      </c>
      <c r="I3156" t="str">
        <f t="shared" ref="I3156:I3194" si="69">"WAGE WORKS - HRA FEES"</f>
        <v>WAGE WORKS - HRA FEES</v>
      </c>
    </row>
    <row r="3157" spans="1:9" x14ac:dyDescent="0.3">
      <c r="A3157" t="str">
        <f>""</f>
        <v/>
      </c>
      <c r="F3157" t="str">
        <f>""</f>
        <v/>
      </c>
      <c r="G3157" t="str">
        <f>""</f>
        <v/>
      </c>
      <c r="I3157" t="str">
        <f t="shared" si="69"/>
        <v>WAGE WORKS - HRA FEES</v>
      </c>
    </row>
    <row r="3158" spans="1:9" x14ac:dyDescent="0.3">
      <c r="A3158" t="str">
        <f>""</f>
        <v/>
      </c>
      <c r="F3158" t="str">
        <f>""</f>
        <v/>
      </c>
      <c r="G3158" t="str">
        <f>""</f>
        <v/>
      </c>
      <c r="I3158" t="str">
        <f t="shared" si="69"/>
        <v>WAGE WORKS - HRA FEES</v>
      </c>
    </row>
    <row r="3159" spans="1:9" x14ac:dyDescent="0.3">
      <c r="A3159" t="str">
        <f>""</f>
        <v/>
      </c>
      <c r="F3159" t="str">
        <f>""</f>
        <v/>
      </c>
      <c r="G3159" t="str">
        <f>""</f>
        <v/>
      </c>
      <c r="I3159" t="str">
        <f t="shared" si="69"/>
        <v>WAGE WORKS - HRA FEES</v>
      </c>
    </row>
    <row r="3160" spans="1:9" x14ac:dyDescent="0.3">
      <c r="A3160" t="str">
        <f>""</f>
        <v/>
      </c>
      <c r="F3160" t="str">
        <f>""</f>
        <v/>
      </c>
      <c r="G3160" t="str">
        <f>""</f>
        <v/>
      </c>
      <c r="I3160" t="str">
        <f t="shared" si="69"/>
        <v>WAGE WORKS - HRA FEES</v>
      </c>
    </row>
    <row r="3161" spans="1:9" x14ac:dyDescent="0.3">
      <c r="A3161" t="str">
        <f>""</f>
        <v/>
      </c>
      <c r="F3161" t="str">
        <f>""</f>
        <v/>
      </c>
      <c r="G3161" t="str">
        <f>""</f>
        <v/>
      </c>
      <c r="I3161" t="str">
        <f t="shared" si="69"/>
        <v>WAGE WORKS - HRA FEES</v>
      </c>
    </row>
    <row r="3162" spans="1:9" x14ac:dyDescent="0.3">
      <c r="A3162" t="str">
        <f>""</f>
        <v/>
      </c>
      <c r="F3162" t="str">
        <f>""</f>
        <v/>
      </c>
      <c r="G3162" t="str">
        <f>""</f>
        <v/>
      </c>
      <c r="I3162" t="str">
        <f t="shared" si="69"/>
        <v>WAGE WORKS - HRA FEES</v>
      </c>
    </row>
    <row r="3163" spans="1:9" x14ac:dyDescent="0.3">
      <c r="A3163" t="str">
        <f>""</f>
        <v/>
      </c>
      <c r="F3163" t="str">
        <f>""</f>
        <v/>
      </c>
      <c r="G3163" t="str">
        <f>""</f>
        <v/>
      </c>
      <c r="I3163" t="str">
        <f t="shared" si="69"/>
        <v>WAGE WORKS - HRA FEES</v>
      </c>
    </row>
    <row r="3164" spans="1:9" x14ac:dyDescent="0.3">
      <c r="A3164" t="str">
        <f>""</f>
        <v/>
      </c>
      <c r="F3164" t="str">
        <f>""</f>
        <v/>
      </c>
      <c r="G3164" t="str">
        <f>""</f>
        <v/>
      </c>
      <c r="I3164" t="str">
        <f t="shared" si="69"/>
        <v>WAGE WORKS - HRA FEES</v>
      </c>
    </row>
    <row r="3165" spans="1:9" x14ac:dyDescent="0.3">
      <c r="A3165" t="str">
        <f>""</f>
        <v/>
      </c>
      <c r="F3165" t="str">
        <f>""</f>
        <v/>
      </c>
      <c r="G3165" t="str">
        <f>""</f>
        <v/>
      </c>
      <c r="I3165" t="str">
        <f t="shared" si="69"/>
        <v>WAGE WORKS - HRA FEES</v>
      </c>
    </row>
    <row r="3166" spans="1:9" x14ac:dyDescent="0.3">
      <c r="A3166" t="str">
        <f>""</f>
        <v/>
      </c>
      <c r="F3166" t="str">
        <f>""</f>
        <v/>
      </c>
      <c r="G3166" t="str">
        <f>""</f>
        <v/>
      </c>
      <c r="I3166" t="str">
        <f t="shared" si="69"/>
        <v>WAGE WORKS - HRA FEES</v>
      </c>
    </row>
    <row r="3167" spans="1:9" x14ac:dyDescent="0.3">
      <c r="A3167" t="str">
        <f>""</f>
        <v/>
      </c>
      <c r="F3167" t="str">
        <f>""</f>
        <v/>
      </c>
      <c r="G3167" t="str">
        <f>""</f>
        <v/>
      </c>
      <c r="I3167" t="str">
        <f t="shared" si="69"/>
        <v>WAGE WORKS - HRA FEES</v>
      </c>
    </row>
    <row r="3168" spans="1:9" x14ac:dyDescent="0.3">
      <c r="A3168" t="str">
        <f>""</f>
        <v/>
      </c>
      <c r="F3168" t="str">
        <f>""</f>
        <v/>
      </c>
      <c r="G3168" t="str">
        <f>""</f>
        <v/>
      </c>
      <c r="I3168" t="str">
        <f t="shared" si="69"/>
        <v>WAGE WORKS - HRA FEES</v>
      </c>
    </row>
    <row r="3169" spans="1:9" x14ac:dyDescent="0.3">
      <c r="A3169" t="str">
        <f>""</f>
        <v/>
      </c>
      <c r="F3169" t="str">
        <f>""</f>
        <v/>
      </c>
      <c r="G3169" t="str">
        <f>""</f>
        <v/>
      </c>
      <c r="I3169" t="str">
        <f t="shared" si="69"/>
        <v>WAGE WORKS - HRA FEES</v>
      </c>
    </row>
    <row r="3170" spans="1:9" x14ac:dyDescent="0.3">
      <c r="A3170" t="str">
        <f>""</f>
        <v/>
      </c>
      <c r="F3170" t="str">
        <f>""</f>
        <v/>
      </c>
      <c r="G3170" t="str">
        <f>""</f>
        <v/>
      </c>
      <c r="I3170" t="str">
        <f t="shared" si="69"/>
        <v>WAGE WORKS - HRA FEES</v>
      </c>
    </row>
    <row r="3171" spans="1:9" x14ac:dyDescent="0.3">
      <c r="A3171" t="str">
        <f>""</f>
        <v/>
      </c>
      <c r="F3171" t="str">
        <f>""</f>
        <v/>
      </c>
      <c r="G3171" t="str">
        <f>""</f>
        <v/>
      </c>
      <c r="I3171" t="str">
        <f t="shared" si="69"/>
        <v>WAGE WORKS - HRA FEES</v>
      </c>
    </row>
    <row r="3172" spans="1:9" x14ac:dyDescent="0.3">
      <c r="A3172" t="str">
        <f>""</f>
        <v/>
      </c>
      <c r="F3172" t="str">
        <f>""</f>
        <v/>
      </c>
      <c r="G3172" t="str">
        <f>""</f>
        <v/>
      </c>
      <c r="I3172" t="str">
        <f t="shared" si="69"/>
        <v>WAGE WORKS - HRA FEES</v>
      </c>
    </row>
    <row r="3173" spans="1:9" x14ac:dyDescent="0.3">
      <c r="A3173" t="str">
        <f>""</f>
        <v/>
      </c>
      <c r="F3173" t="str">
        <f>""</f>
        <v/>
      </c>
      <c r="G3173" t="str">
        <f>""</f>
        <v/>
      </c>
      <c r="I3173" t="str">
        <f t="shared" si="69"/>
        <v>WAGE WORKS - HRA FEES</v>
      </c>
    </row>
    <row r="3174" spans="1:9" x14ac:dyDescent="0.3">
      <c r="A3174" t="str">
        <f>""</f>
        <v/>
      </c>
      <c r="F3174" t="str">
        <f>""</f>
        <v/>
      </c>
      <c r="G3174" t="str">
        <f>""</f>
        <v/>
      </c>
      <c r="I3174" t="str">
        <f t="shared" si="69"/>
        <v>WAGE WORKS - HRA FEES</v>
      </c>
    </row>
    <row r="3175" spans="1:9" x14ac:dyDescent="0.3">
      <c r="A3175" t="str">
        <f>""</f>
        <v/>
      </c>
      <c r="F3175" t="str">
        <f>""</f>
        <v/>
      </c>
      <c r="G3175" t="str">
        <f>""</f>
        <v/>
      </c>
      <c r="I3175" t="str">
        <f t="shared" si="69"/>
        <v>WAGE WORKS - HRA FEES</v>
      </c>
    </row>
    <row r="3176" spans="1:9" x14ac:dyDescent="0.3">
      <c r="A3176" t="str">
        <f>""</f>
        <v/>
      </c>
      <c r="F3176" t="str">
        <f>""</f>
        <v/>
      </c>
      <c r="G3176" t="str">
        <f>""</f>
        <v/>
      </c>
      <c r="I3176" t="str">
        <f t="shared" si="69"/>
        <v>WAGE WORKS - HRA FEES</v>
      </c>
    </row>
    <row r="3177" spans="1:9" x14ac:dyDescent="0.3">
      <c r="A3177" t="str">
        <f>""</f>
        <v/>
      </c>
      <c r="F3177" t="str">
        <f>""</f>
        <v/>
      </c>
      <c r="G3177" t="str">
        <f>""</f>
        <v/>
      </c>
      <c r="I3177" t="str">
        <f t="shared" si="69"/>
        <v>WAGE WORKS - HRA FEES</v>
      </c>
    </row>
    <row r="3178" spans="1:9" x14ac:dyDescent="0.3">
      <c r="A3178" t="str">
        <f>""</f>
        <v/>
      </c>
      <c r="F3178" t="str">
        <f>""</f>
        <v/>
      </c>
      <c r="G3178" t="str">
        <f>""</f>
        <v/>
      </c>
      <c r="I3178" t="str">
        <f t="shared" si="69"/>
        <v>WAGE WORKS - HRA FEES</v>
      </c>
    </row>
    <row r="3179" spans="1:9" x14ac:dyDescent="0.3">
      <c r="A3179" t="str">
        <f>""</f>
        <v/>
      </c>
      <c r="F3179" t="str">
        <f>""</f>
        <v/>
      </c>
      <c r="G3179" t="str">
        <f>""</f>
        <v/>
      </c>
      <c r="I3179" t="str">
        <f t="shared" si="69"/>
        <v>WAGE WORKS - HRA FEES</v>
      </c>
    </row>
    <row r="3180" spans="1:9" x14ac:dyDescent="0.3">
      <c r="A3180" t="str">
        <f>""</f>
        <v/>
      </c>
      <c r="F3180" t="str">
        <f>""</f>
        <v/>
      </c>
      <c r="G3180" t="str">
        <f>""</f>
        <v/>
      </c>
      <c r="I3180" t="str">
        <f t="shared" si="69"/>
        <v>WAGE WORKS - HRA FEES</v>
      </c>
    </row>
    <row r="3181" spans="1:9" x14ac:dyDescent="0.3">
      <c r="A3181" t="str">
        <f>""</f>
        <v/>
      </c>
      <c r="F3181" t="str">
        <f>""</f>
        <v/>
      </c>
      <c r="G3181" t="str">
        <f>""</f>
        <v/>
      </c>
      <c r="I3181" t="str">
        <f t="shared" si="69"/>
        <v>WAGE WORKS - HRA FEES</v>
      </c>
    </row>
    <row r="3182" spans="1:9" x14ac:dyDescent="0.3">
      <c r="A3182" t="str">
        <f>""</f>
        <v/>
      </c>
      <c r="F3182" t="str">
        <f>""</f>
        <v/>
      </c>
      <c r="G3182" t="str">
        <f>""</f>
        <v/>
      </c>
      <c r="I3182" t="str">
        <f t="shared" si="69"/>
        <v>WAGE WORKS - HRA FEES</v>
      </c>
    </row>
    <row r="3183" spans="1:9" x14ac:dyDescent="0.3">
      <c r="A3183" t="str">
        <f>""</f>
        <v/>
      </c>
      <c r="F3183" t="str">
        <f>""</f>
        <v/>
      </c>
      <c r="G3183" t="str">
        <f>""</f>
        <v/>
      </c>
      <c r="I3183" t="str">
        <f t="shared" si="69"/>
        <v>WAGE WORKS - HRA FEES</v>
      </c>
    </row>
    <row r="3184" spans="1:9" x14ac:dyDescent="0.3">
      <c r="A3184" t="str">
        <f>""</f>
        <v/>
      </c>
      <c r="F3184" t="str">
        <f>""</f>
        <v/>
      </c>
      <c r="G3184" t="str">
        <f>""</f>
        <v/>
      </c>
      <c r="I3184" t="str">
        <f t="shared" si="69"/>
        <v>WAGE WORKS - HRA FEES</v>
      </c>
    </row>
    <row r="3185" spans="1:9" x14ac:dyDescent="0.3">
      <c r="A3185" t="str">
        <f>""</f>
        <v/>
      </c>
      <c r="F3185" t="str">
        <f>""</f>
        <v/>
      </c>
      <c r="G3185" t="str">
        <f>""</f>
        <v/>
      </c>
      <c r="I3185" t="str">
        <f t="shared" si="69"/>
        <v>WAGE WORKS - HRA FEES</v>
      </c>
    </row>
    <row r="3186" spans="1:9" x14ac:dyDescent="0.3">
      <c r="A3186" t="str">
        <f>""</f>
        <v/>
      </c>
      <c r="F3186" t="str">
        <f>""</f>
        <v/>
      </c>
      <c r="G3186" t="str">
        <f>""</f>
        <v/>
      </c>
      <c r="I3186" t="str">
        <f t="shared" si="69"/>
        <v>WAGE WORKS - HRA FEES</v>
      </c>
    </row>
    <row r="3187" spans="1:9" x14ac:dyDescent="0.3">
      <c r="A3187" t="str">
        <f>""</f>
        <v/>
      </c>
      <c r="F3187" t="str">
        <f>""</f>
        <v/>
      </c>
      <c r="G3187" t="str">
        <f>""</f>
        <v/>
      </c>
      <c r="I3187" t="str">
        <f t="shared" si="69"/>
        <v>WAGE WORKS - HRA FEES</v>
      </c>
    </row>
    <row r="3188" spans="1:9" x14ac:dyDescent="0.3">
      <c r="A3188" t="str">
        <f>""</f>
        <v/>
      </c>
      <c r="F3188" t="str">
        <f>""</f>
        <v/>
      </c>
      <c r="G3188" t="str">
        <f>""</f>
        <v/>
      </c>
      <c r="I3188" t="str">
        <f t="shared" si="69"/>
        <v>WAGE WORKS - HRA FEES</v>
      </c>
    </row>
    <row r="3189" spans="1:9" x14ac:dyDescent="0.3">
      <c r="A3189" t="str">
        <f>""</f>
        <v/>
      </c>
      <c r="F3189" t="str">
        <f>""</f>
        <v/>
      </c>
      <c r="G3189" t="str">
        <f>""</f>
        <v/>
      </c>
      <c r="I3189" t="str">
        <f t="shared" si="69"/>
        <v>WAGE WORKS - HRA FEES</v>
      </c>
    </row>
    <row r="3190" spans="1:9" x14ac:dyDescent="0.3">
      <c r="A3190" t="str">
        <f>""</f>
        <v/>
      </c>
      <c r="F3190" t="str">
        <f>""</f>
        <v/>
      </c>
      <c r="G3190" t="str">
        <f>""</f>
        <v/>
      </c>
      <c r="I3190" t="str">
        <f t="shared" si="69"/>
        <v>WAGE WORKS - HRA FEES</v>
      </c>
    </row>
    <row r="3191" spans="1:9" x14ac:dyDescent="0.3">
      <c r="A3191" t="str">
        <f>""</f>
        <v/>
      </c>
      <c r="F3191" t="str">
        <f>""</f>
        <v/>
      </c>
      <c r="G3191" t="str">
        <f>""</f>
        <v/>
      </c>
      <c r="I3191" t="str">
        <f t="shared" si="69"/>
        <v>WAGE WORKS - HRA FEES</v>
      </c>
    </row>
    <row r="3192" spans="1:9" x14ac:dyDescent="0.3">
      <c r="A3192" t="str">
        <f>""</f>
        <v/>
      </c>
      <c r="F3192" t="str">
        <f>""</f>
        <v/>
      </c>
      <c r="G3192" t="str">
        <f>""</f>
        <v/>
      </c>
      <c r="I3192" t="str">
        <f t="shared" si="69"/>
        <v>WAGE WORKS - HRA FEES</v>
      </c>
    </row>
    <row r="3193" spans="1:9" x14ac:dyDescent="0.3">
      <c r="A3193" t="str">
        <f>""</f>
        <v/>
      </c>
      <c r="F3193" t="str">
        <f>""</f>
        <v/>
      </c>
      <c r="G3193" t="str">
        <f>""</f>
        <v/>
      </c>
      <c r="I3193" t="str">
        <f t="shared" si="69"/>
        <v>WAGE WORKS - HRA FEES</v>
      </c>
    </row>
    <row r="3194" spans="1:9" x14ac:dyDescent="0.3">
      <c r="A3194" t="str">
        <f>""</f>
        <v/>
      </c>
      <c r="F3194" t="str">
        <f>"HRF201711296860"</f>
        <v>HRF201711296860</v>
      </c>
      <c r="G3194" t="str">
        <f>"WAGE WORKS - HRA FEES"</f>
        <v>WAGE WORKS - HRA FEES</v>
      </c>
      <c r="H3194" s="2">
        <v>14.88</v>
      </c>
      <c r="I3194" t="str">
        <f t="shared" si="69"/>
        <v>WAGE WORKS - HRA FEES</v>
      </c>
    </row>
    <row r="3195" spans="1:9" x14ac:dyDescent="0.3">
      <c r="A3195" t="str">
        <f>"004767"</f>
        <v>004767</v>
      </c>
      <c r="B3195" t="s">
        <v>573</v>
      </c>
      <c r="C3195">
        <v>0</v>
      </c>
      <c r="D3195" s="2">
        <v>12060.63</v>
      </c>
      <c r="E3195" s="1">
        <v>43084</v>
      </c>
      <c r="F3195" t="str">
        <f>"FSA201712137295"</f>
        <v>FSA201712137295</v>
      </c>
      <c r="G3195" t="str">
        <f>"WAGE WORKS"</f>
        <v>WAGE WORKS</v>
      </c>
      <c r="H3195" s="2">
        <v>8925.91</v>
      </c>
      <c r="I3195" t="str">
        <f t="shared" ref="I3195:I3206" si="70">"WAGE WORKS"</f>
        <v>WAGE WORKS</v>
      </c>
    </row>
    <row r="3196" spans="1:9" x14ac:dyDescent="0.3">
      <c r="A3196" t="str">
        <f>""</f>
        <v/>
      </c>
      <c r="F3196" t="str">
        <f>"FSA201712137296"</f>
        <v>FSA201712137296</v>
      </c>
      <c r="G3196" t="str">
        <f>"WAGE WORKS"</f>
        <v>WAGE WORKS</v>
      </c>
      <c r="H3196" s="2">
        <v>574</v>
      </c>
      <c r="I3196" t="str">
        <f t="shared" si="70"/>
        <v>WAGE WORKS</v>
      </c>
    </row>
    <row r="3197" spans="1:9" x14ac:dyDescent="0.3">
      <c r="A3197" t="str">
        <f>""</f>
        <v/>
      </c>
      <c r="F3197" t="str">
        <f>"FSC201712137295"</f>
        <v>FSC201712137295</v>
      </c>
      <c r="G3197" t="str">
        <f>"WAGE WORKS"</f>
        <v>WAGE WORKS</v>
      </c>
      <c r="H3197" s="2">
        <v>1133.44</v>
      </c>
      <c r="I3197" t="str">
        <f t="shared" si="70"/>
        <v>WAGE WORKS</v>
      </c>
    </row>
    <row r="3198" spans="1:9" x14ac:dyDescent="0.3">
      <c r="A3198" t="str">
        <f>""</f>
        <v/>
      </c>
      <c r="F3198" t="str">
        <f>""</f>
        <v/>
      </c>
      <c r="G3198" t="str">
        <f>""</f>
        <v/>
      </c>
      <c r="I3198" t="str">
        <f t="shared" si="70"/>
        <v>WAGE WORKS</v>
      </c>
    </row>
    <row r="3199" spans="1:9" x14ac:dyDescent="0.3">
      <c r="A3199" t="str">
        <f>""</f>
        <v/>
      </c>
      <c r="F3199" t="str">
        <f>""</f>
        <v/>
      </c>
      <c r="G3199" t="str">
        <f>""</f>
        <v/>
      </c>
      <c r="I3199" t="str">
        <f t="shared" si="70"/>
        <v>WAGE WORKS</v>
      </c>
    </row>
    <row r="3200" spans="1:9" x14ac:dyDescent="0.3">
      <c r="A3200" t="str">
        <f>""</f>
        <v/>
      </c>
      <c r="F3200" t="str">
        <f>""</f>
        <v/>
      </c>
      <c r="G3200" t="str">
        <f>""</f>
        <v/>
      </c>
      <c r="I3200" t="str">
        <f t="shared" si="70"/>
        <v>WAGE WORKS</v>
      </c>
    </row>
    <row r="3201" spans="1:9" x14ac:dyDescent="0.3">
      <c r="A3201" t="str">
        <f>""</f>
        <v/>
      </c>
      <c r="F3201" t="str">
        <f>""</f>
        <v/>
      </c>
      <c r="G3201" t="str">
        <f>""</f>
        <v/>
      </c>
      <c r="I3201" t="str">
        <f t="shared" si="70"/>
        <v>WAGE WORKS</v>
      </c>
    </row>
    <row r="3202" spans="1:9" x14ac:dyDescent="0.3">
      <c r="A3202" t="str">
        <f>""</f>
        <v/>
      </c>
      <c r="F3202" t="str">
        <f>""</f>
        <v/>
      </c>
      <c r="G3202" t="str">
        <f>""</f>
        <v/>
      </c>
      <c r="I3202" t="str">
        <f t="shared" si="70"/>
        <v>WAGE WORKS</v>
      </c>
    </row>
    <row r="3203" spans="1:9" x14ac:dyDescent="0.3">
      <c r="A3203" t="str">
        <f>""</f>
        <v/>
      </c>
      <c r="F3203" t="str">
        <f>""</f>
        <v/>
      </c>
      <c r="G3203" t="str">
        <f>""</f>
        <v/>
      </c>
      <c r="I3203" t="str">
        <f t="shared" si="70"/>
        <v>WAGE WORKS</v>
      </c>
    </row>
    <row r="3204" spans="1:9" x14ac:dyDescent="0.3">
      <c r="A3204" t="str">
        <f>""</f>
        <v/>
      </c>
      <c r="F3204" t="str">
        <f>""</f>
        <v/>
      </c>
      <c r="G3204" t="str">
        <f>""</f>
        <v/>
      </c>
      <c r="I3204" t="str">
        <f t="shared" si="70"/>
        <v>WAGE WORKS</v>
      </c>
    </row>
    <row r="3205" spans="1:9" x14ac:dyDescent="0.3">
      <c r="A3205" t="str">
        <f>""</f>
        <v/>
      </c>
      <c r="F3205" t="str">
        <f>""</f>
        <v/>
      </c>
      <c r="G3205" t="str">
        <f>""</f>
        <v/>
      </c>
      <c r="I3205" t="str">
        <f t="shared" si="70"/>
        <v>WAGE WORKS</v>
      </c>
    </row>
    <row r="3206" spans="1:9" x14ac:dyDescent="0.3">
      <c r="A3206" t="str">
        <f>""</f>
        <v/>
      </c>
      <c r="F3206" t="str">
        <f>""</f>
        <v/>
      </c>
      <c r="G3206" t="str">
        <f>""</f>
        <v/>
      </c>
      <c r="I3206" t="str">
        <f t="shared" si="70"/>
        <v>WAGE WORKS</v>
      </c>
    </row>
    <row r="3207" spans="1:9" x14ac:dyDescent="0.3">
      <c r="A3207" t="str">
        <f>""</f>
        <v/>
      </c>
      <c r="F3207" t="str">
        <f>"FSF201712137295"</f>
        <v>FSF201712137295</v>
      </c>
      <c r="G3207" t="str">
        <f>"WAGE WORKS - FSA &amp; HRA FEES"</f>
        <v>WAGE WORKS - FSA &amp; HRA FEES</v>
      </c>
      <c r="H3207" s="2">
        <v>567.63</v>
      </c>
      <c r="I3207" t="str">
        <f t="shared" ref="I3207:I3246" si="71">"WAGE WORKS - FSA &amp; HRA FEES"</f>
        <v>WAGE WORKS - FSA &amp; HRA FEES</v>
      </c>
    </row>
    <row r="3208" spans="1:9" x14ac:dyDescent="0.3">
      <c r="A3208" t="str">
        <f>""</f>
        <v/>
      </c>
      <c r="F3208" t="str">
        <f>""</f>
        <v/>
      </c>
      <c r="G3208" t="str">
        <f>""</f>
        <v/>
      </c>
      <c r="I3208" t="str">
        <f t="shared" si="71"/>
        <v>WAGE WORKS - FSA &amp; HRA FEES</v>
      </c>
    </row>
    <row r="3209" spans="1:9" x14ac:dyDescent="0.3">
      <c r="A3209" t="str">
        <f>""</f>
        <v/>
      </c>
      <c r="F3209" t="str">
        <f>""</f>
        <v/>
      </c>
      <c r="G3209" t="str">
        <f>""</f>
        <v/>
      </c>
      <c r="I3209" t="str">
        <f t="shared" si="71"/>
        <v>WAGE WORKS - FSA &amp; HRA FEES</v>
      </c>
    </row>
    <row r="3210" spans="1:9" x14ac:dyDescent="0.3">
      <c r="A3210" t="str">
        <f>""</f>
        <v/>
      </c>
      <c r="F3210" t="str">
        <f>""</f>
        <v/>
      </c>
      <c r="G3210" t="str">
        <f>""</f>
        <v/>
      </c>
      <c r="I3210" t="str">
        <f t="shared" si="71"/>
        <v>WAGE WORKS - FSA &amp; HRA FEES</v>
      </c>
    </row>
    <row r="3211" spans="1:9" x14ac:dyDescent="0.3">
      <c r="A3211" t="str">
        <f>""</f>
        <v/>
      </c>
      <c r="F3211" t="str">
        <f>""</f>
        <v/>
      </c>
      <c r="G3211" t="str">
        <f>""</f>
        <v/>
      </c>
      <c r="I3211" t="str">
        <f t="shared" si="71"/>
        <v>WAGE WORKS - FSA &amp; HRA FEES</v>
      </c>
    </row>
    <row r="3212" spans="1:9" x14ac:dyDescent="0.3">
      <c r="A3212" t="str">
        <f>""</f>
        <v/>
      </c>
      <c r="F3212" t="str">
        <f>""</f>
        <v/>
      </c>
      <c r="G3212" t="str">
        <f>""</f>
        <v/>
      </c>
      <c r="I3212" t="str">
        <f t="shared" si="71"/>
        <v>WAGE WORKS - FSA &amp; HRA FEES</v>
      </c>
    </row>
    <row r="3213" spans="1:9" x14ac:dyDescent="0.3">
      <c r="A3213" t="str">
        <f>""</f>
        <v/>
      </c>
      <c r="F3213" t="str">
        <f>""</f>
        <v/>
      </c>
      <c r="G3213" t="str">
        <f>""</f>
        <v/>
      </c>
      <c r="I3213" t="str">
        <f t="shared" si="71"/>
        <v>WAGE WORKS - FSA &amp; HRA FEES</v>
      </c>
    </row>
    <row r="3214" spans="1:9" x14ac:dyDescent="0.3">
      <c r="A3214" t="str">
        <f>""</f>
        <v/>
      </c>
      <c r="F3214" t="str">
        <f>""</f>
        <v/>
      </c>
      <c r="G3214" t="str">
        <f>""</f>
        <v/>
      </c>
      <c r="I3214" t="str">
        <f t="shared" si="71"/>
        <v>WAGE WORKS - FSA &amp; HRA FEES</v>
      </c>
    </row>
    <row r="3215" spans="1:9" x14ac:dyDescent="0.3">
      <c r="A3215" t="str">
        <f>""</f>
        <v/>
      </c>
      <c r="F3215" t="str">
        <f>""</f>
        <v/>
      </c>
      <c r="G3215" t="str">
        <f>""</f>
        <v/>
      </c>
      <c r="I3215" t="str">
        <f t="shared" si="71"/>
        <v>WAGE WORKS - FSA &amp; HRA FEES</v>
      </c>
    </row>
    <row r="3216" spans="1:9" x14ac:dyDescent="0.3">
      <c r="A3216" t="str">
        <f>""</f>
        <v/>
      </c>
      <c r="F3216" t="str">
        <f>""</f>
        <v/>
      </c>
      <c r="G3216" t="str">
        <f>""</f>
        <v/>
      </c>
      <c r="I3216" t="str">
        <f t="shared" si="71"/>
        <v>WAGE WORKS - FSA &amp; HRA FEES</v>
      </c>
    </row>
    <row r="3217" spans="1:9" x14ac:dyDescent="0.3">
      <c r="A3217" t="str">
        <f>""</f>
        <v/>
      </c>
      <c r="F3217" t="str">
        <f>""</f>
        <v/>
      </c>
      <c r="G3217" t="str">
        <f>""</f>
        <v/>
      </c>
      <c r="I3217" t="str">
        <f t="shared" si="71"/>
        <v>WAGE WORKS - FSA &amp; HRA FEES</v>
      </c>
    </row>
    <row r="3218" spans="1:9" x14ac:dyDescent="0.3">
      <c r="A3218" t="str">
        <f>""</f>
        <v/>
      </c>
      <c r="F3218" t="str">
        <f>""</f>
        <v/>
      </c>
      <c r="G3218" t="str">
        <f>""</f>
        <v/>
      </c>
      <c r="I3218" t="str">
        <f t="shared" si="71"/>
        <v>WAGE WORKS - FSA &amp; HRA FEES</v>
      </c>
    </row>
    <row r="3219" spans="1:9" x14ac:dyDescent="0.3">
      <c r="A3219" t="str">
        <f>""</f>
        <v/>
      </c>
      <c r="F3219" t="str">
        <f>""</f>
        <v/>
      </c>
      <c r="G3219" t="str">
        <f>""</f>
        <v/>
      </c>
      <c r="I3219" t="str">
        <f t="shared" si="71"/>
        <v>WAGE WORKS - FSA &amp; HRA FEES</v>
      </c>
    </row>
    <row r="3220" spans="1:9" x14ac:dyDescent="0.3">
      <c r="A3220" t="str">
        <f>""</f>
        <v/>
      </c>
      <c r="F3220" t="str">
        <f>""</f>
        <v/>
      </c>
      <c r="G3220" t="str">
        <f>""</f>
        <v/>
      </c>
      <c r="I3220" t="str">
        <f t="shared" si="71"/>
        <v>WAGE WORKS - FSA &amp; HRA FEES</v>
      </c>
    </row>
    <row r="3221" spans="1:9" x14ac:dyDescent="0.3">
      <c r="A3221" t="str">
        <f>""</f>
        <v/>
      </c>
      <c r="F3221" t="str">
        <f>""</f>
        <v/>
      </c>
      <c r="G3221" t="str">
        <f>""</f>
        <v/>
      </c>
      <c r="I3221" t="str">
        <f t="shared" si="71"/>
        <v>WAGE WORKS - FSA &amp; HRA FEES</v>
      </c>
    </row>
    <row r="3222" spans="1:9" x14ac:dyDescent="0.3">
      <c r="A3222" t="str">
        <f>""</f>
        <v/>
      </c>
      <c r="F3222" t="str">
        <f>""</f>
        <v/>
      </c>
      <c r="G3222" t="str">
        <f>""</f>
        <v/>
      </c>
      <c r="I3222" t="str">
        <f t="shared" si="71"/>
        <v>WAGE WORKS - FSA &amp; HRA FEES</v>
      </c>
    </row>
    <row r="3223" spans="1:9" x14ac:dyDescent="0.3">
      <c r="A3223" t="str">
        <f>""</f>
        <v/>
      </c>
      <c r="F3223" t="str">
        <f>""</f>
        <v/>
      </c>
      <c r="G3223" t="str">
        <f>""</f>
        <v/>
      </c>
      <c r="I3223" t="str">
        <f t="shared" si="71"/>
        <v>WAGE WORKS - FSA &amp; HRA FEES</v>
      </c>
    </row>
    <row r="3224" spans="1:9" x14ac:dyDescent="0.3">
      <c r="A3224" t="str">
        <f>""</f>
        <v/>
      </c>
      <c r="F3224" t="str">
        <f>""</f>
        <v/>
      </c>
      <c r="G3224" t="str">
        <f>""</f>
        <v/>
      </c>
      <c r="I3224" t="str">
        <f t="shared" si="71"/>
        <v>WAGE WORKS - FSA &amp; HRA FEES</v>
      </c>
    </row>
    <row r="3225" spans="1:9" x14ac:dyDescent="0.3">
      <c r="A3225" t="str">
        <f>""</f>
        <v/>
      </c>
      <c r="F3225" t="str">
        <f>""</f>
        <v/>
      </c>
      <c r="G3225" t="str">
        <f>""</f>
        <v/>
      </c>
      <c r="I3225" t="str">
        <f t="shared" si="71"/>
        <v>WAGE WORKS - FSA &amp; HRA FEES</v>
      </c>
    </row>
    <row r="3226" spans="1:9" x14ac:dyDescent="0.3">
      <c r="A3226" t="str">
        <f>""</f>
        <v/>
      </c>
      <c r="F3226" t="str">
        <f>""</f>
        <v/>
      </c>
      <c r="G3226" t="str">
        <f>""</f>
        <v/>
      </c>
      <c r="I3226" t="str">
        <f t="shared" si="71"/>
        <v>WAGE WORKS - FSA &amp; HRA FEES</v>
      </c>
    </row>
    <row r="3227" spans="1:9" x14ac:dyDescent="0.3">
      <c r="A3227" t="str">
        <f>""</f>
        <v/>
      </c>
      <c r="F3227" t="str">
        <f>""</f>
        <v/>
      </c>
      <c r="G3227" t="str">
        <f>""</f>
        <v/>
      </c>
      <c r="I3227" t="str">
        <f t="shared" si="71"/>
        <v>WAGE WORKS - FSA &amp; HRA FEES</v>
      </c>
    </row>
    <row r="3228" spans="1:9" x14ac:dyDescent="0.3">
      <c r="A3228" t="str">
        <f>""</f>
        <v/>
      </c>
      <c r="F3228" t="str">
        <f>""</f>
        <v/>
      </c>
      <c r="G3228" t="str">
        <f>""</f>
        <v/>
      </c>
      <c r="I3228" t="str">
        <f t="shared" si="71"/>
        <v>WAGE WORKS - FSA &amp; HRA FEES</v>
      </c>
    </row>
    <row r="3229" spans="1:9" x14ac:dyDescent="0.3">
      <c r="A3229" t="str">
        <f>""</f>
        <v/>
      </c>
      <c r="F3229" t="str">
        <f>""</f>
        <v/>
      </c>
      <c r="G3229" t="str">
        <f>""</f>
        <v/>
      </c>
      <c r="I3229" t="str">
        <f t="shared" si="71"/>
        <v>WAGE WORKS - FSA &amp; HRA FEES</v>
      </c>
    </row>
    <row r="3230" spans="1:9" x14ac:dyDescent="0.3">
      <c r="A3230" t="str">
        <f>""</f>
        <v/>
      </c>
      <c r="F3230" t="str">
        <f>""</f>
        <v/>
      </c>
      <c r="G3230" t="str">
        <f>""</f>
        <v/>
      </c>
      <c r="I3230" t="str">
        <f t="shared" si="71"/>
        <v>WAGE WORKS - FSA &amp; HRA FEES</v>
      </c>
    </row>
    <row r="3231" spans="1:9" x14ac:dyDescent="0.3">
      <c r="A3231" t="str">
        <f>""</f>
        <v/>
      </c>
      <c r="F3231" t="str">
        <f>""</f>
        <v/>
      </c>
      <c r="G3231" t="str">
        <f>""</f>
        <v/>
      </c>
      <c r="I3231" t="str">
        <f t="shared" si="71"/>
        <v>WAGE WORKS - FSA &amp; HRA FEES</v>
      </c>
    </row>
    <row r="3232" spans="1:9" x14ac:dyDescent="0.3">
      <c r="A3232" t="str">
        <f>""</f>
        <v/>
      </c>
      <c r="F3232" t="str">
        <f>""</f>
        <v/>
      </c>
      <c r="G3232" t="str">
        <f>""</f>
        <v/>
      </c>
      <c r="I3232" t="str">
        <f t="shared" si="71"/>
        <v>WAGE WORKS - FSA &amp; HRA FEES</v>
      </c>
    </row>
    <row r="3233" spans="1:9" x14ac:dyDescent="0.3">
      <c r="A3233" t="str">
        <f>""</f>
        <v/>
      </c>
      <c r="F3233" t="str">
        <f>""</f>
        <v/>
      </c>
      <c r="G3233" t="str">
        <f>""</f>
        <v/>
      </c>
      <c r="I3233" t="str">
        <f t="shared" si="71"/>
        <v>WAGE WORKS - FSA &amp; HRA FEES</v>
      </c>
    </row>
    <row r="3234" spans="1:9" x14ac:dyDescent="0.3">
      <c r="A3234" t="str">
        <f>""</f>
        <v/>
      </c>
      <c r="F3234" t="str">
        <f>""</f>
        <v/>
      </c>
      <c r="G3234" t="str">
        <f>""</f>
        <v/>
      </c>
      <c r="I3234" t="str">
        <f t="shared" si="71"/>
        <v>WAGE WORKS - FSA &amp; HRA FEES</v>
      </c>
    </row>
    <row r="3235" spans="1:9" x14ac:dyDescent="0.3">
      <c r="A3235" t="str">
        <f>""</f>
        <v/>
      </c>
      <c r="F3235" t="str">
        <f>""</f>
        <v/>
      </c>
      <c r="G3235" t="str">
        <f>""</f>
        <v/>
      </c>
      <c r="I3235" t="str">
        <f t="shared" si="71"/>
        <v>WAGE WORKS - FSA &amp; HRA FEES</v>
      </c>
    </row>
    <row r="3236" spans="1:9" x14ac:dyDescent="0.3">
      <c r="A3236" t="str">
        <f>""</f>
        <v/>
      </c>
      <c r="F3236" t="str">
        <f>""</f>
        <v/>
      </c>
      <c r="G3236" t="str">
        <f>""</f>
        <v/>
      </c>
      <c r="I3236" t="str">
        <f t="shared" si="71"/>
        <v>WAGE WORKS - FSA &amp; HRA FEES</v>
      </c>
    </row>
    <row r="3237" spans="1:9" x14ac:dyDescent="0.3">
      <c r="A3237" t="str">
        <f>""</f>
        <v/>
      </c>
      <c r="F3237" t="str">
        <f>""</f>
        <v/>
      </c>
      <c r="G3237" t="str">
        <f>""</f>
        <v/>
      </c>
      <c r="I3237" t="str">
        <f t="shared" si="71"/>
        <v>WAGE WORKS - FSA &amp; HRA FEES</v>
      </c>
    </row>
    <row r="3238" spans="1:9" x14ac:dyDescent="0.3">
      <c r="A3238" t="str">
        <f>""</f>
        <v/>
      </c>
      <c r="F3238" t="str">
        <f>""</f>
        <v/>
      </c>
      <c r="G3238" t="str">
        <f>""</f>
        <v/>
      </c>
      <c r="I3238" t="str">
        <f t="shared" si="71"/>
        <v>WAGE WORKS - FSA &amp; HRA FEES</v>
      </c>
    </row>
    <row r="3239" spans="1:9" x14ac:dyDescent="0.3">
      <c r="A3239" t="str">
        <f>""</f>
        <v/>
      </c>
      <c r="F3239" t="str">
        <f>""</f>
        <v/>
      </c>
      <c r="G3239" t="str">
        <f>""</f>
        <v/>
      </c>
      <c r="I3239" t="str">
        <f t="shared" si="71"/>
        <v>WAGE WORKS - FSA &amp; HRA FEES</v>
      </c>
    </row>
    <row r="3240" spans="1:9" x14ac:dyDescent="0.3">
      <c r="A3240" t="str">
        <f>""</f>
        <v/>
      </c>
      <c r="F3240" t="str">
        <f>""</f>
        <v/>
      </c>
      <c r="G3240" t="str">
        <f>""</f>
        <v/>
      </c>
      <c r="I3240" t="str">
        <f t="shared" si="71"/>
        <v>WAGE WORKS - FSA &amp; HRA FEES</v>
      </c>
    </row>
    <row r="3241" spans="1:9" x14ac:dyDescent="0.3">
      <c r="A3241" t="str">
        <f>""</f>
        <v/>
      </c>
      <c r="F3241" t="str">
        <f>""</f>
        <v/>
      </c>
      <c r="G3241" t="str">
        <f>""</f>
        <v/>
      </c>
      <c r="I3241" t="str">
        <f t="shared" si="71"/>
        <v>WAGE WORKS - FSA &amp; HRA FEES</v>
      </c>
    </row>
    <row r="3242" spans="1:9" x14ac:dyDescent="0.3">
      <c r="A3242" t="str">
        <f>""</f>
        <v/>
      </c>
      <c r="F3242" t="str">
        <f>""</f>
        <v/>
      </c>
      <c r="G3242" t="str">
        <f>""</f>
        <v/>
      </c>
      <c r="I3242" t="str">
        <f t="shared" si="71"/>
        <v>WAGE WORKS - FSA &amp; HRA FEES</v>
      </c>
    </row>
    <row r="3243" spans="1:9" x14ac:dyDescent="0.3">
      <c r="A3243" t="str">
        <f>""</f>
        <v/>
      </c>
      <c r="F3243" t="str">
        <f>""</f>
        <v/>
      </c>
      <c r="G3243" t="str">
        <f>""</f>
        <v/>
      </c>
      <c r="I3243" t="str">
        <f t="shared" si="71"/>
        <v>WAGE WORKS - FSA &amp; HRA FEES</v>
      </c>
    </row>
    <row r="3244" spans="1:9" x14ac:dyDescent="0.3">
      <c r="A3244" t="str">
        <f>""</f>
        <v/>
      </c>
      <c r="F3244" t="str">
        <f>""</f>
        <v/>
      </c>
      <c r="G3244" t="str">
        <f>""</f>
        <v/>
      </c>
      <c r="I3244" t="str">
        <f t="shared" si="71"/>
        <v>WAGE WORKS - FSA &amp; HRA FEES</v>
      </c>
    </row>
    <row r="3245" spans="1:9" x14ac:dyDescent="0.3">
      <c r="A3245" t="str">
        <f>""</f>
        <v/>
      </c>
      <c r="F3245" t="str">
        <f>""</f>
        <v/>
      </c>
      <c r="G3245" t="str">
        <f>""</f>
        <v/>
      </c>
      <c r="I3245" t="str">
        <f t="shared" si="71"/>
        <v>WAGE WORKS - FSA &amp; HRA FEES</v>
      </c>
    </row>
    <row r="3246" spans="1:9" x14ac:dyDescent="0.3">
      <c r="A3246" t="str">
        <f>""</f>
        <v/>
      </c>
      <c r="F3246" t="str">
        <f>"FSF201712137296"</f>
        <v>FSF201712137296</v>
      </c>
      <c r="G3246" t="str">
        <f>"WAGE WORKS - FSA &amp; HRA FEES"</f>
        <v>WAGE WORKS - FSA &amp; HRA FEES</v>
      </c>
      <c r="H3246" s="2">
        <v>25.97</v>
      </c>
      <c r="I3246" t="str">
        <f t="shared" si="71"/>
        <v>WAGE WORKS - FSA &amp; HRA FEES</v>
      </c>
    </row>
    <row r="3247" spans="1:9" x14ac:dyDescent="0.3">
      <c r="A3247" t="str">
        <f>""</f>
        <v/>
      </c>
      <c r="F3247" t="str">
        <f>"FSO201712137295"</f>
        <v>FSO201712137295</v>
      </c>
      <c r="G3247" t="str">
        <f>"WAGE WORKS - FSA FEES"</f>
        <v>WAGE WORKS - FSA FEES</v>
      </c>
      <c r="H3247" s="2">
        <v>13.02</v>
      </c>
      <c r="I3247" t="str">
        <f t="shared" ref="I3247:I3255" si="72">"WAGE WORKS - FSA FEES"</f>
        <v>WAGE WORKS - FSA FEES</v>
      </c>
    </row>
    <row r="3248" spans="1:9" x14ac:dyDescent="0.3">
      <c r="A3248" t="str">
        <f>""</f>
        <v/>
      </c>
      <c r="F3248" t="str">
        <f>""</f>
        <v/>
      </c>
      <c r="G3248" t="str">
        <f>""</f>
        <v/>
      </c>
      <c r="I3248" t="str">
        <f t="shared" si="72"/>
        <v>WAGE WORKS - FSA FEES</v>
      </c>
    </row>
    <row r="3249" spans="1:9" x14ac:dyDescent="0.3">
      <c r="A3249" t="str">
        <f>""</f>
        <v/>
      </c>
      <c r="F3249" t="str">
        <f>""</f>
        <v/>
      </c>
      <c r="G3249" t="str">
        <f>""</f>
        <v/>
      </c>
      <c r="I3249" t="str">
        <f t="shared" si="72"/>
        <v>WAGE WORKS - FSA FEES</v>
      </c>
    </row>
    <row r="3250" spans="1:9" x14ac:dyDescent="0.3">
      <c r="A3250" t="str">
        <f>""</f>
        <v/>
      </c>
      <c r="F3250" t="str">
        <f>""</f>
        <v/>
      </c>
      <c r="G3250" t="str">
        <f>""</f>
        <v/>
      </c>
      <c r="I3250" t="str">
        <f t="shared" si="72"/>
        <v>WAGE WORKS - FSA FEES</v>
      </c>
    </row>
    <row r="3251" spans="1:9" x14ac:dyDescent="0.3">
      <c r="A3251" t="str">
        <f>""</f>
        <v/>
      </c>
      <c r="F3251" t="str">
        <f>""</f>
        <v/>
      </c>
      <c r="G3251" t="str">
        <f>""</f>
        <v/>
      </c>
      <c r="I3251" t="str">
        <f t="shared" si="72"/>
        <v>WAGE WORKS - FSA FEES</v>
      </c>
    </row>
    <row r="3252" spans="1:9" x14ac:dyDescent="0.3">
      <c r="A3252" t="str">
        <f>""</f>
        <v/>
      </c>
      <c r="F3252" t="str">
        <f>""</f>
        <v/>
      </c>
      <c r="G3252" t="str">
        <f>""</f>
        <v/>
      </c>
      <c r="I3252" t="str">
        <f t="shared" si="72"/>
        <v>WAGE WORKS - FSA FEES</v>
      </c>
    </row>
    <row r="3253" spans="1:9" x14ac:dyDescent="0.3">
      <c r="A3253" t="str">
        <f>""</f>
        <v/>
      </c>
      <c r="F3253" t="str">
        <f>""</f>
        <v/>
      </c>
      <c r="G3253" t="str">
        <f>""</f>
        <v/>
      </c>
      <c r="I3253" t="str">
        <f t="shared" si="72"/>
        <v>WAGE WORKS - FSA FEES</v>
      </c>
    </row>
    <row r="3254" spans="1:9" x14ac:dyDescent="0.3">
      <c r="A3254" t="str">
        <f>""</f>
        <v/>
      </c>
      <c r="F3254" t="str">
        <f>""</f>
        <v/>
      </c>
      <c r="G3254" t="str">
        <f>""</f>
        <v/>
      </c>
      <c r="I3254" t="str">
        <f t="shared" si="72"/>
        <v>WAGE WORKS - FSA FEES</v>
      </c>
    </row>
    <row r="3255" spans="1:9" x14ac:dyDescent="0.3">
      <c r="A3255" t="str">
        <f>""</f>
        <v/>
      </c>
      <c r="F3255" t="str">
        <f>"FSO201712137296"</f>
        <v>FSO201712137296</v>
      </c>
      <c r="G3255" t="str">
        <f>"WAGE WORKS - FSA FEES"</f>
        <v>WAGE WORKS - FSA FEES</v>
      </c>
      <c r="H3255" s="2">
        <v>1.86</v>
      </c>
      <c r="I3255" t="str">
        <f t="shared" si="72"/>
        <v>WAGE WORKS - FSA FEES</v>
      </c>
    </row>
    <row r="3256" spans="1:9" x14ac:dyDescent="0.3">
      <c r="A3256" t="str">
        <f>""</f>
        <v/>
      </c>
      <c r="F3256" t="str">
        <f>"HRA201712137295"</f>
        <v>HRA201712137295</v>
      </c>
      <c r="G3256" t="str">
        <f>"WAGE WORKS"</f>
        <v>WAGE WORKS</v>
      </c>
      <c r="H3256" s="2">
        <v>333.34</v>
      </c>
      <c r="I3256" t="str">
        <f>"WAGE WORKS"</f>
        <v>WAGE WORKS</v>
      </c>
    </row>
    <row r="3257" spans="1:9" x14ac:dyDescent="0.3">
      <c r="A3257" t="str">
        <f>""</f>
        <v/>
      </c>
      <c r="F3257" t="str">
        <f>"HRF201712137295"</f>
        <v>HRF201712137295</v>
      </c>
      <c r="G3257" t="str">
        <f>"WAGE WORKS - HRA FEES"</f>
        <v>WAGE WORKS - HRA FEES</v>
      </c>
      <c r="H3257" s="2">
        <v>470.58</v>
      </c>
      <c r="I3257" t="str">
        <f t="shared" ref="I3257:I3295" si="73">"WAGE WORKS - HRA FEES"</f>
        <v>WAGE WORKS - HRA FEES</v>
      </c>
    </row>
    <row r="3258" spans="1:9" x14ac:dyDescent="0.3">
      <c r="A3258" t="str">
        <f>""</f>
        <v/>
      </c>
      <c r="F3258" t="str">
        <f>""</f>
        <v/>
      </c>
      <c r="G3258" t="str">
        <f>""</f>
        <v/>
      </c>
      <c r="I3258" t="str">
        <f t="shared" si="73"/>
        <v>WAGE WORKS - HRA FEES</v>
      </c>
    </row>
    <row r="3259" spans="1:9" x14ac:dyDescent="0.3">
      <c r="A3259" t="str">
        <f>""</f>
        <v/>
      </c>
      <c r="F3259" t="str">
        <f>""</f>
        <v/>
      </c>
      <c r="G3259" t="str">
        <f>""</f>
        <v/>
      </c>
      <c r="I3259" t="str">
        <f t="shared" si="73"/>
        <v>WAGE WORKS - HRA FEES</v>
      </c>
    </row>
    <row r="3260" spans="1:9" x14ac:dyDescent="0.3">
      <c r="A3260" t="str">
        <f>""</f>
        <v/>
      </c>
      <c r="F3260" t="str">
        <f>""</f>
        <v/>
      </c>
      <c r="G3260" t="str">
        <f>""</f>
        <v/>
      </c>
      <c r="I3260" t="str">
        <f t="shared" si="73"/>
        <v>WAGE WORKS - HRA FEES</v>
      </c>
    </row>
    <row r="3261" spans="1:9" x14ac:dyDescent="0.3">
      <c r="A3261" t="str">
        <f>""</f>
        <v/>
      </c>
      <c r="F3261" t="str">
        <f>""</f>
        <v/>
      </c>
      <c r="G3261" t="str">
        <f>""</f>
        <v/>
      </c>
      <c r="I3261" t="str">
        <f t="shared" si="73"/>
        <v>WAGE WORKS - HRA FEES</v>
      </c>
    </row>
    <row r="3262" spans="1:9" x14ac:dyDescent="0.3">
      <c r="A3262" t="str">
        <f>""</f>
        <v/>
      </c>
      <c r="F3262" t="str">
        <f>""</f>
        <v/>
      </c>
      <c r="G3262" t="str">
        <f>""</f>
        <v/>
      </c>
      <c r="I3262" t="str">
        <f t="shared" si="73"/>
        <v>WAGE WORKS - HRA FEES</v>
      </c>
    </row>
    <row r="3263" spans="1:9" x14ac:dyDescent="0.3">
      <c r="A3263" t="str">
        <f>""</f>
        <v/>
      </c>
      <c r="F3263" t="str">
        <f>""</f>
        <v/>
      </c>
      <c r="G3263" t="str">
        <f>""</f>
        <v/>
      </c>
      <c r="I3263" t="str">
        <f t="shared" si="73"/>
        <v>WAGE WORKS - HRA FEES</v>
      </c>
    </row>
    <row r="3264" spans="1:9" x14ac:dyDescent="0.3">
      <c r="A3264" t="str">
        <f>""</f>
        <v/>
      </c>
      <c r="F3264" t="str">
        <f>""</f>
        <v/>
      </c>
      <c r="G3264" t="str">
        <f>""</f>
        <v/>
      </c>
      <c r="I3264" t="str">
        <f t="shared" si="73"/>
        <v>WAGE WORKS - HRA FEES</v>
      </c>
    </row>
    <row r="3265" spans="1:9" x14ac:dyDescent="0.3">
      <c r="A3265" t="str">
        <f>""</f>
        <v/>
      </c>
      <c r="F3265" t="str">
        <f>""</f>
        <v/>
      </c>
      <c r="G3265" t="str">
        <f>""</f>
        <v/>
      </c>
      <c r="I3265" t="str">
        <f t="shared" si="73"/>
        <v>WAGE WORKS - HRA FEES</v>
      </c>
    </row>
    <row r="3266" spans="1:9" x14ac:dyDescent="0.3">
      <c r="A3266" t="str">
        <f>""</f>
        <v/>
      </c>
      <c r="F3266" t="str">
        <f>""</f>
        <v/>
      </c>
      <c r="G3266" t="str">
        <f>""</f>
        <v/>
      </c>
      <c r="I3266" t="str">
        <f t="shared" si="73"/>
        <v>WAGE WORKS - HRA FEES</v>
      </c>
    </row>
    <row r="3267" spans="1:9" x14ac:dyDescent="0.3">
      <c r="A3267" t="str">
        <f>""</f>
        <v/>
      </c>
      <c r="F3267" t="str">
        <f>""</f>
        <v/>
      </c>
      <c r="G3267" t="str">
        <f>""</f>
        <v/>
      </c>
      <c r="I3267" t="str">
        <f t="shared" si="73"/>
        <v>WAGE WORKS - HRA FEES</v>
      </c>
    </row>
    <row r="3268" spans="1:9" x14ac:dyDescent="0.3">
      <c r="A3268" t="str">
        <f>""</f>
        <v/>
      </c>
      <c r="F3268" t="str">
        <f>""</f>
        <v/>
      </c>
      <c r="G3268" t="str">
        <f>""</f>
        <v/>
      </c>
      <c r="I3268" t="str">
        <f t="shared" si="73"/>
        <v>WAGE WORKS - HRA FEES</v>
      </c>
    </row>
    <row r="3269" spans="1:9" x14ac:dyDescent="0.3">
      <c r="A3269" t="str">
        <f>""</f>
        <v/>
      </c>
      <c r="F3269" t="str">
        <f>""</f>
        <v/>
      </c>
      <c r="G3269" t="str">
        <f>""</f>
        <v/>
      </c>
      <c r="I3269" t="str">
        <f t="shared" si="73"/>
        <v>WAGE WORKS - HRA FEES</v>
      </c>
    </row>
    <row r="3270" spans="1:9" x14ac:dyDescent="0.3">
      <c r="A3270" t="str">
        <f>""</f>
        <v/>
      </c>
      <c r="F3270" t="str">
        <f>""</f>
        <v/>
      </c>
      <c r="G3270" t="str">
        <f>""</f>
        <v/>
      </c>
      <c r="I3270" t="str">
        <f t="shared" si="73"/>
        <v>WAGE WORKS - HRA FEES</v>
      </c>
    </row>
    <row r="3271" spans="1:9" x14ac:dyDescent="0.3">
      <c r="A3271" t="str">
        <f>""</f>
        <v/>
      </c>
      <c r="F3271" t="str">
        <f>""</f>
        <v/>
      </c>
      <c r="G3271" t="str">
        <f>""</f>
        <v/>
      </c>
      <c r="I3271" t="str">
        <f t="shared" si="73"/>
        <v>WAGE WORKS - HRA FEES</v>
      </c>
    </row>
    <row r="3272" spans="1:9" x14ac:dyDescent="0.3">
      <c r="A3272" t="str">
        <f>""</f>
        <v/>
      </c>
      <c r="F3272" t="str">
        <f>""</f>
        <v/>
      </c>
      <c r="G3272" t="str">
        <f>""</f>
        <v/>
      </c>
      <c r="I3272" t="str">
        <f t="shared" si="73"/>
        <v>WAGE WORKS - HRA FEES</v>
      </c>
    </row>
    <row r="3273" spans="1:9" x14ac:dyDescent="0.3">
      <c r="A3273" t="str">
        <f>""</f>
        <v/>
      </c>
      <c r="F3273" t="str">
        <f>""</f>
        <v/>
      </c>
      <c r="G3273" t="str">
        <f>""</f>
        <v/>
      </c>
      <c r="I3273" t="str">
        <f t="shared" si="73"/>
        <v>WAGE WORKS - HRA FEES</v>
      </c>
    </row>
    <row r="3274" spans="1:9" x14ac:dyDescent="0.3">
      <c r="A3274" t="str">
        <f>""</f>
        <v/>
      </c>
      <c r="F3274" t="str">
        <f>""</f>
        <v/>
      </c>
      <c r="G3274" t="str">
        <f>""</f>
        <v/>
      </c>
      <c r="I3274" t="str">
        <f t="shared" si="73"/>
        <v>WAGE WORKS - HRA FEES</v>
      </c>
    </row>
    <row r="3275" spans="1:9" x14ac:dyDescent="0.3">
      <c r="A3275" t="str">
        <f>""</f>
        <v/>
      </c>
      <c r="F3275" t="str">
        <f>""</f>
        <v/>
      </c>
      <c r="G3275" t="str">
        <f>""</f>
        <v/>
      </c>
      <c r="I3275" t="str">
        <f t="shared" si="73"/>
        <v>WAGE WORKS - HRA FEES</v>
      </c>
    </row>
    <row r="3276" spans="1:9" x14ac:dyDescent="0.3">
      <c r="A3276" t="str">
        <f>""</f>
        <v/>
      </c>
      <c r="F3276" t="str">
        <f>""</f>
        <v/>
      </c>
      <c r="G3276" t="str">
        <f>""</f>
        <v/>
      </c>
      <c r="I3276" t="str">
        <f t="shared" si="73"/>
        <v>WAGE WORKS - HRA FEES</v>
      </c>
    </row>
    <row r="3277" spans="1:9" x14ac:dyDescent="0.3">
      <c r="A3277" t="str">
        <f>""</f>
        <v/>
      </c>
      <c r="F3277" t="str">
        <f>""</f>
        <v/>
      </c>
      <c r="G3277" t="str">
        <f>""</f>
        <v/>
      </c>
      <c r="I3277" t="str">
        <f t="shared" si="73"/>
        <v>WAGE WORKS - HRA FEES</v>
      </c>
    </row>
    <row r="3278" spans="1:9" x14ac:dyDescent="0.3">
      <c r="A3278" t="str">
        <f>""</f>
        <v/>
      </c>
      <c r="F3278" t="str">
        <f>""</f>
        <v/>
      </c>
      <c r="G3278" t="str">
        <f>""</f>
        <v/>
      </c>
      <c r="I3278" t="str">
        <f t="shared" si="73"/>
        <v>WAGE WORKS - HRA FEES</v>
      </c>
    </row>
    <row r="3279" spans="1:9" x14ac:dyDescent="0.3">
      <c r="A3279" t="str">
        <f>""</f>
        <v/>
      </c>
      <c r="F3279" t="str">
        <f>""</f>
        <v/>
      </c>
      <c r="G3279" t="str">
        <f>""</f>
        <v/>
      </c>
      <c r="I3279" t="str">
        <f t="shared" si="73"/>
        <v>WAGE WORKS - HRA FEES</v>
      </c>
    </row>
    <row r="3280" spans="1:9" x14ac:dyDescent="0.3">
      <c r="A3280" t="str">
        <f>""</f>
        <v/>
      </c>
      <c r="F3280" t="str">
        <f>""</f>
        <v/>
      </c>
      <c r="G3280" t="str">
        <f>""</f>
        <v/>
      </c>
      <c r="I3280" t="str">
        <f t="shared" si="73"/>
        <v>WAGE WORKS - HRA FEES</v>
      </c>
    </row>
    <row r="3281" spans="1:9" x14ac:dyDescent="0.3">
      <c r="A3281" t="str">
        <f>""</f>
        <v/>
      </c>
      <c r="F3281" t="str">
        <f>""</f>
        <v/>
      </c>
      <c r="G3281" t="str">
        <f>""</f>
        <v/>
      </c>
      <c r="I3281" t="str">
        <f t="shared" si="73"/>
        <v>WAGE WORKS - HRA FEES</v>
      </c>
    </row>
    <row r="3282" spans="1:9" x14ac:dyDescent="0.3">
      <c r="A3282" t="str">
        <f>""</f>
        <v/>
      </c>
      <c r="F3282" t="str">
        <f>""</f>
        <v/>
      </c>
      <c r="G3282" t="str">
        <f>""</f>
        <v/>
      </c>
      <c r="I3282" t="str">
        <f t="shared" si="73"/>
        <v>WAGE WORKS - HRA FEES</v>
      </c>
    </row>
    <row r="3283" spans="1:9" x14ac:dyDescent="0.3">
      <c r="A3283" t="str">
        <f>""</f>
        <v/>
      </c>
      <c r="F3283" t="str">
        <f>""</f>
        <v/>
      </c>
      <c r="G3283" t="str">
        <f>""</f>
        <v/>
      </c>
      <c r="I3283" t="str">
        <f t="shared" si="73"/>
        <v>WAGE WORKS - HRA FEES</v>
      </c>
    </row>
    <row r="3284" spans="1:9" x14ac:dyDescent="0.3">
      <c r="A3284" t="str">
        <f>""</f>
        <v/>
      </c>
      <c r="F3284" t="str">
        <f>""</f>
        <v/>
      </c>
      <c r="G3284" t="str">
        <f>""</f>
        <v/>
      </c>
      <c r="I3284" t="str">
        <f t="shared" si="73"/>
        <v>WAGE WORKS - HRA FEES</v>
      </c>
    </row>
    <row r="3285" spans="1:9" x14ac:dyDescent="0.3">
      <c r="A3285" t="str">
        <f>""</f>
        <v/>
      </c>
      <c r="F3285" t="str">
        <f>""</f>
        <v/>
      </c>
      <c r="G3285" t="str">
        <f>""</f>
        <v/>
      </c>
      <c r="I3285" t="str">
        <f t="shared" si="73"/>
        <v>WAGE WORKS - HRA FEES</v>
      </c>
    </row>
    <row r="3286" spans="1:9" x14ac:dyDescent="0.3">
      <c r="A3286" t="str">
        <f>""</f>
        <v/>
      </c>
      <c r="F3286" t="str">
        <f>""</f>
        <v/>
      </c>
      <c r="G3286" t="str">
        <f>""</f>
        <v/>
      </c>
      <c r="I3286" t="str">
        <f t="shared" si="73"/>
        <v>WAGE WORKS - HRA FEES</v>
      </c>
    </row>
    <row r="3287" spans="1:9" x14ac:dyDescent="0.3">
      <c r="A3287" t="str">
        <f>""</f>
        <v/>
      </c>
      <c r="F3287" t="str">
        <f>""</f>
        <v/>
      </c>
      <c r="G3287" t="str">
        <f>""</f>
        <v/>
      </c>
      <c r="I3287" t="str">
        <f t="shared" si="73"/>
        <v>WAGE WORKS - HRA FEES</v>
      </c>
    </row>
    <row r="3288" spans="1:9" x14ac:dyDescent="0.3">
      <c r="A3288" t="str">
        <f>""</f>
        <v/>
      </c>
      <c r="F3288" t="str">
        <f>""</f>
        <v/>
      </c>
      <c r="G3288" t="str">
        <f>""</f>
        <v/>
      </c>
      <c r="I3288" t="str">
        <f t="shared" si="73"/>
        <v>WAGE WORKS - HRA FEES</v>
      </c>
    </row>
    <row r="3289" spans="1:9" x14ac:dyDescent="0.3">
      <c r="A3289" t="str">
        <f>""</f>
        <v/>
      </c>
      <c r="F3289" t="str">
        <f>""</f>
        <v/>
      </c>
      <c r="G3289" t="str">
        <f>""</f>
        <v/>
      </c>
      <c r="I3289" t="str">
        <f t="shared" si="73"/>
        <v>WAGE WORKS - HRA FEES</v>
      </c>
    </row>
    <row r="3290" spans="1:9" x14ac:dyDescent="0.3">
      <c r="A3290" t="str">
        <f>""</f>
        <v/>
      </c>
      <c r="F3290" t="str">
        <f>""</f>
        <v/>
      </c>
      <c r="G3290" t="str">
        <f>""</f>
        <v/>
      </c>
      <c r="I3290" t="str">
        <f t="shared" si="73"/>
        <v>WAGE WORKS - HRA FEES</v>
      </c>
    </row>
    <row r="3291" spans="1:9" x14ac:dyDescent="0.3">
      <c r="A3291" t="str">
        <f>""</f>
        <v/>
      </c>
      <c r="F3291" t="str">
        <f>""</f>
        <v/>
      </c>
      <c r="G3291" t="str">
        <f>""</f>
        <v/>
      </c>
      <c r="I3291" t="str">
        <f t="shared" si="73"/>
        <v>WAGE WORKS - HRA FEES</v>
      </c>
    </row>
    <row r="3292" spans="1:9" x14ac:dyDescent="0.3">
      <c r="A3292" t="str">
        <f>""</f>
        <v/>
      </c>
      <c r="F3292" t="str">
        <f>""</f>
        <v/>
      </c>
      <c r="G3292" t="str">
        <f>""</f>
        <v/>
      </c>
      <c r="I3292" t="str">
        <f t="shared" si="73"/>
        <v>WAGE WORKS - HRA FEES</v>
      </c>
    </row>
    <row r="3293" spans="1:9" x14ac:dyDescent="0.3">
      <c r="A3293" t="str">
        <f>""</f>
        <v/>
      </c>
      <c r="F3293" t="str">
        <f>""</f>
        <v/>
      </c>
      <c r="G3293" t="str">
        <f>""</f>
        <v/>
      </c>
      <c r="I3293" t="str">
        <f t="shared" si="73"/>
        <v>WAGE WORKS - HRA FEES</v>
      </c>
    </row>
    <row r="3294" spans="1:9" x14ac:dyDescent="0.3">
      <c r="A3294" t="str">
        <f>""</f>
        <v/>
      </c>
      <c r="F3294" t="str">
        <f>""</f>
        <v/>
      </c>
      <c r="G3294" t="str">
        <f>""</f>
        <v/>
      </c>
      <c r="I3294" t="str">
        <f t="shared" si="73"/>
        <v>WAGE WORKS - HRA FEES</v>
      </c>
    </row>
    <row r="3295" spans="1:9" x14ac:dyDescent="0.3">
      <c r="A3295" t="str">
        <f>""</f>
        <v/>
      </c>
      <c r="C3295" s="3" t="s">
        <v>625</v>
      </c>
      <c r="D3295" s="2">
        <f>SUM(D2:D3294)</f>
        <v>3660410.2600000016</v>
      </c>
      <c r="F3295" t="str">
        <f>"HRF201712137296"</f>
        <v>HRF201712137296</v>
      </c>
      <c r="G3295" t="str">
        <f>"WAGE WORKS - HRA FEES"</f>
        <v>WAGE WORKS - HRA FEES</v>
      </c>
      <c r="H3295" s="2">
        <v>14.88</v>
      </c>
      <c r="I3295" t="str">
        <f t="shared" si="73"/>
        <v>WAGE WORKS - HRA FEES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AP-CHK-RPT-20180430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Ingram, Laurie</cp:lastModifiedBy>
  <dcterms:created xsi:type="dcterms:W3CDTF">2018-05-01T02:18:15Z</dcterms:created>
  <dcterms:modified xsi:type="dcterms:W3CDTF">2018-06-28T14:29:58Z</dcterms:modified>
</cp:coreProperties>
</file>